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tris42.sharepoint.com/sites/gad_wrkgrp_actuarial/pspsactuarialwork/Central/Factors &amp; Guidance/2024 Guidance Review/4. Online portal/3. Import data/3. Factor tables/0_client_friendly/Ready to be uploaded/2025-03/"/>
    </mc:Choice>
  </mc:AlternateContent>
  <xr:revisionPtr revIDLastSave="129" documentId="8_{9DA4B64E-2913-437F-939A-2856A05520A9}" xr6:coauthVersionLast="47" xr6:coauthVersionMax="47" xr10:uidLastSave="{4BF1BABD-B9D9-407F-ABBD-E7AF3096FFCF}"/>
  <bookViews>
    <workbookView xWindow="-30828" yWindow="24" windowWidth="30936" windowHeight="16776" firstSheet="6" activeTab="6" xr2:uid="{00000000-000D-0000-FFFF-FFFF00000000}"/>
  </bookViews>
  <sheets>
    <sheet name="Cover" sheetId="1" r:id="rId1"/>
    <sheet name="Purpose of spreadsheet" sheetId="77" r:id="rId2"/>
    <sheet name="Version Control" sheetId="78" r:id="rId3"/>
    <sheet name="Summary - PCSPS_EW" sheetId="84" state="hidden" r:id="rId4"/>
    <sheet name="AnnGenHiddenLists" sheetId="103" state="hidden" r:id="rId5"/>
    <sheet name="x-Series Number" sheetId="102" state="hidden" r:id="rId6"/>
    <sheet name="Factor List" sheetId="55" r:id="rId7"/>
    <sheet name="Assumptions" sheetId="235" r:id="rId8"/>
    <sheet name="x-201" sheetId="104" r:id="rId9"/>
    <sheet name="x-202" sheetId="105" r:id="rId10"/>
    <sheet name="x-203" sheetId="106" r:id="rId11"/>
    <sheet name="x-204" sheetId="107" r:id="rId12"/>
    <sheet name="x-205" sheetId="108" r:id="rId13"/>
    <sheet name="x-207" sheetId="110" r:id="rId14"/>
    <sheet name="x-208" sheetId="111" r:id="rId15"/>
    <sheet name="x-209" sheetId="112" r:id="rId16"/>
    <sheet name="x-211" sheetId="114" r:id="rId17"/>
    <sheet name="x-212" sheetId="115" r:id="rId18"/>
    <sheet name="x-213" sheetId="120" r:id="rId19"/>
    <sheet name="x-214" sheetId="121" r:id="rId20"/>
    <sheet name="x-215" sheetId="190" r:id="rId21"/>
    <sheet name="x-216" sheetId="191" r:id="rId22"/>
    <sheet name="x-217" sheetId="192" r:id="rId23"/>
    <sheet name="x-218" sheetId="193" r:id="rId24"/>
    <sheet name="x-223" sheetId="198" r:id="rId25"/>
    <sheet name="x-301" sheetId="116" r:id="rId26"/>
    <sheet name="x-302" sheetId="117" r:id="rId27"/>
    <sheet name="x-303" sheetId="118" r:id="rId28"/>
    <sheet name="x-304" sheetId="119" r:id="rId29"/>
    <sheet name="x-305" sheetId="143" r:id="rId30"/>
    <sheet name="x-306" sheetId="144" r:id="rId31"/>
    <sheet name="x-307" sheetId="145" r:id="rId32"/>
    <sheet name="x-401" sheetId="122" r:id="rId33"/>
    <sheet name="x-402" sheetId="123" r:id="rId34"/>
    <sheet name="x-403" sheetId="124" r:id="rId35"/>
    <sheet name="x-404" sheetId="125" r:id="rId36"/>
    <sheet name="x-405" sheetId="126" r:id="rId37"/>
    <sheet name="x-406" sheetId="127" r:id="rId38"/>
    <sheet name="x-407" sheetId="128" r:id="rId39"/>
    <sheet name="x-408" sheetId="129" r:id="rId40"/>
    <sheet name="x-409" sheetId="130" r:id="rId41"/>
    <sheet name="x-410" sheetId="131" r:id="rId42"/>
    <sheet name="x-411" sheetId="132" r:id="rId43"/>
    <sheet name="x-412" sheetId="133" r:id="rId44"/>
    <sheet name="x-413" sheetId="134" r:id="rId45"/>
    <sheet name="x-414" sheetId="135" r:id="rId46"/>
    <sheet name="x-415" sheetId="136" r:id="rId47"/>
    <sheet name="x-416" sheetId="137" r:id="rId48"/>
    <sheet name="x-417" sheetId="138" r:id="rId49"/>
    <sheet name="x-418" sheetId="139" r:id="rId50"/>
    <sheet name="x-419" sheetId="140" r:id="rId51"/>
    <sheet name="x-420" sheetId="141" r:id="rId52"/>
    <sheet name="x-421" sheetId="142" r:id="rId53"/>
    <sheet name="x-501" sheetId="146" r:id="rId54"/>
    <sheet name="x-502" sheetId="147" r:id="rId55"/>
    <sheet name="x-503" sheetId="148" r:id="rId56"/>
    <sheet name="x-504" sheetId="149" r:id="rId57"/>
    <sheet name="x-505" sheetId="237" r:id="rId58"/>
    <sheet name="x-601" sheetId="150" r:id="rId59"/>
    <sheet name="x-602" sheetId="151" r:id="rId60"/>
    <sheet name="x-603" sheetId="152" r:id="rId61"/>
    <sheet name="x-604" sheetId="153" r:id="rId62"/>
    <sheet name="x-605" sheetId="154" r:id="rId63"/>
    <sheet name="x-606" sheetId="155" r:id="rId64"/>
    <sheet name="x-607" sheetId="156" r:id="rId65"/>
    <sheet name="x-608" sheetId="157" r:id="rId66"/>
    <sheet name="x-609" sheetId="158" r:id="rId67"/>
    <sheet name="x-610" sheetId="159" r:id="rId68"/>
    <sheet name="x-611" sheetId="160" r:id="rId69"/>
    <sheet name="x-612" sheetId="161" r:id="rId70"/>
    <sheet name="x-613" sheetId="162" r:id="rId71"/>
    <sheet name="x-614" sheetId="163" r:id="rId72"/>
    <sheet name="x-615" sheetId="164" r:id="rId73"/>
    <sheet name="x-616" sheetId="165" r:id="rId74"/>
    <sheet name="x-617" sheetId="166" r:id="rId75"/>
    <sheet name="x-701" sheetId="209" r:id="rId76"/>
    <sheet name="x-702" sheetId="210" r:id="rId77"/>
    <sheet name="x-703" sheetId="211" r:id="rId78"/>
    <sheet name="x-704" sheetId="212" r:id="rId79"/>
    <sheet name="x-705" sheetId="213" r:id="rId80"/>
    <sheet name="x-706" sheetId="214" r:id="rId81"/>
    <sheet name="x-707" sheetId="215" r:id="rId82"/>
    <sheet name="x-708" sheetId="216" r:id="rId83"/>
    <sheet name="x-709" sheetId="217" r:id="rId84"/>
    <sheet name="x-710" sheetId="218" r:id="rId85"/>
    <sheet name="x-711" sheetId="219" r:id="rId86"/>
    <sheet name="x-712" sheetId="220" r:id="rId87"/>
    <sheet name="x-713" sheetId="221" r:id="rId88"/>
    <sheet name="x-714" sheetId="167" r:id="rId89"/>
    <sheet name="x-715" sheetId="168" r:id="rId90"/>
    <sheet name="x-716" sheetId="169" r:id="rId91"/>
    <sheet name="x-717" sheetId="170" r:id="rId92"/>
    <sheet name="x-718" sheetId="171" r:id="rId93"/>
    <sheet name="x-719" sheetId="172" r:id="rId94"/>
    <sheet name="x-720" sheetId="173" r:id="rId95"/>
    <sheet name="x-721" sheetId="174" r:id="rId96"/>
    <sheet name="x-725" sheetId="178" r:id="rId97"/>
    <sheet name="x-726" sheetId="179" r:id="rId98"/>
    <sheet name="x-727" sheetId="180" r:id="rId99"/>
    <sheet name="x-728" sheetId="181" r:id="rId100"/>
    <sheet name="x-729" sheetId="182" r:id="rId101"/>
    <sheet name="x-730" sheetId="183" r:id="rId102"/>
    <sheet name="x-731" sheetId="184" r:id="rId103"/>
    <sheet name="x-732" sheetId="185" r:id="rId104"/>
    <sheet name="x-733" sheetId="186" r:id="rId105"/>
    <sheet name="x-734" sheetId="187" r:id="rId106"/>
    <sheet name="x-735" sheetId="188" r:id="rId107"/>
    <sheet name="x-736" sheetId="189" r:id="rId108"/>
    <sheet name="x-801" sheetId="199" r:id="rId109"/>
    <sheet name="x-802" sheetId="200" r:id="rId110"/>
    <sheet name="x-803" sheetId="201" r:id="rId111"/>
    <sheet name="x-804" sheetId="202" r:id="rId112"/>
    <sheet name="x-805" sheetId="203" r:id="rId113"/>
    <sheet name="x-806" sheetId="204" r:id="rId114"/>
    <sheet name="x-807" sheetId="205" r:id="rId115"/>
    <sheet name="x-808" sheetId="206" r:id="rId116"/>
    <sheet name="x-810" sheetId="208" r:id="rId117"/>
    <sheet name="x-811" sheetId="222" r:id="rId118"/>
    <sheet name="x-812" sheetId="223" r:id="rId119"/>
    <sheet name="x-813" sheetId="224" r:id="rId120"/>
    <sheet name="x-814" sheetId="225" r:id="rId121"/>
    <sheet name="x-815" sheetId="239" r:id="rId122"/>
    <sheet name="x-816" sheetId="240" r:id="rId123"/>
  </sheets>
  <definedNames>
    <definedName name="_xlnm._FilterDatabase" localSheetId="6" hidden="1">'Factor List'!$A$7:$P$132</definedName>
    <definedName name="_xlnm.Print_Area" localSheetId="3">'Summary - PCSPS_EW'!$A$1:$K$224</definedName>
    <definedName name="_xlnm.Print_Area" localSheetId="5">'x-Series Number'!$A$25:$N$47</definedName>
    <definedName name="TABLE_AGE_DEF_1" localSheetId="8">'x-201'!$B$12</definedName>
    <definedName name="TABLE_AGE_DEF_1" localSheetId="9">'x-202'!$B$12</definedName>
    <definedName name="TABLE_AGE_DEF_1" localSheetId="10">'x-203'!$B$12</definedName>
    <definedName name="TABLE_AGE_DEF_1" localSheetId="11">'x-204'!$B$12</definedName>
    <definedName name="TABLE_AGE_DEF_1" localSheetId="12">'x-205'!$B$12</definedName>
    <definedName name="TABLE_AGE_DEF_1" localSheetId="13">'x-207'!$B$12</definedName>
    <definedName name="TABLE_AGE_DEF_1" localSheetId="14">'x-208'!$B$12</definedName>
    <definedName name="TABLE_AGE_DEF_1" localSheetId="15">'x-209'!$B$12</definedName>
    <definedName name="TABLE_AGE_DEF_1" localSheetId="16">'x-211'!$B$12</definedName>
    <definedName name="TABLE_AGE_DEF_1" localSheetId="17">'x-212'!$B$12</definedName>
    <definedName name="TABLE_AGE_DEF_1" localSheetId="18">'x-213'!$B$12</definedName>
    <definedName name="TABLE_AGE_DEF_1" localSheetId="19">'x-214'!$B$12</definedName>
    <definedName name="TABLE_AGE_DEF_1" localSheetId="20">'x-215'!$B$12</definedName>
    <definedName name="TABLE_AGE_DEF_1" localSheetId="21">'x-216'!$B$12</definedName>
    <definedName name="TABLE_AGE_DEF_1" localSheetId="22">'x-217'!$B$12</definedName>
    <definedName name="TABLE_AGE_DEF_1" localSheetId="23">'x-218'!$B$12</definedName>
    <definedName name="TABLE_AGE_DEF_1" localSheetId="24">'x-223'!$B$12</definedName>
    <definedName name="TABLE_AGE_DEF_1" localSheetId="25">'x-301'!$B$12</definedName>
    <definedName name="TABLE_AGE_DEF_1" localSheetId="26">'x-302'!$B$12</definedName>
    <definedName name="TABLE_AGE_DEF_1" localSheetId="27">'x-303'!$B$12</definedName>
    <definedName name="TABLE_AGE_DEF_1" localSheetId="28">'x-304'!$B$12</definedName>
    <definedName name="TABLE_AGE_DEF_1" localSheetId="29">'x-305'!$B$12</definedName>
    <definedName name="TABLE_AGE_DEF_1" localSheetId="30">'x-306'!$B$12</definedName>
    <definedName name="TABLE_AGE_DEF_1" localSheetId="31">'x-307'!$B$12</definedName>
    <definedName name="TABLE_AGE_DEF_1" localSheetId="32">'x-401'!$B$12</definedName>
    <definedName name="TABLE_AGE_DEF_1" localSheetId="33">'x-402'!$B$12</definedName>
    <definedName name="TABLE_AGE_DEF_1" localSheetId="34">'x-403'!$B$12</definedName>
    <definedName name="TABLE_AGE_DEF_1" localSheetId="35">'x-404'!$B$12</definedName>
    <definedName name="TABLE_AGE_DEF_1" localSheetId="36">'x-405'!$B$12</definedName>
    <definedName name="TABLE_AGE_DEF_1" localSheetId="37">'x-406'!$B$12</definedName>
    <definedName name="TABLE_AGE_DEF_1" localSheetId="38">'x-407'!$B$12</definedName>
    <definedName name="TABLE_AGE_DEF_1" localSheetId="39">'x-408'!$B$12</definedName>
    <definedName name="TABLE_AGE_DEF_1" localSheetId="40">'x-409'!$B$12</definedName>
    <definedName name="TABLE_AGE_DEF_1" localSheetId="41">'x-410'!$B$12</definedName>
    <definedName name="TABLE_AGE_DEF_1" localSheetId="42">'x-411'!$B$12</definedName>
    <definedName name="TABLE_AGE_DEF_1" localSheetId="43">'x-412'!$B$12</definedName>
    <definedName name="TABLE_AGE_DEF_1" localSheetId="44">'x-413'!$B$12</definedName>
    <definedName name="TABLE_AGE_DEF_1" localSheetId="45">'x-414'!$B$12</definedName>
    <definedName name="TABLE_AGE_DEF_1" localSheetId="46">'x-415'!$B$12</definedName>
    <definedName name="TABLE_AGE_DEF_1" localSheetId="47">'x-416'!$B$12</definedName>
    <definedName name="TABLE_AGE_DEF_1" localSheetId="48">'x-417'!$B$12</definedName>
    <definedName name="TABLE_AGE_DEF_1" localSheetId="49">'x-418'!$B$12</definedName>
    <definedName name="TABLE_AGE_DEF_1" localSheetId="50">'x-419'!$B$12</definedName>
    <definedName name="TABLE_AGE_DEF_1" localSheetId="51">'x-420'!$B$12</definedName>
    <definedName name="TABLE_AGE_DEF_1" localSheetId="52">'x-421'!$B$12</definedName>
    <definedName name="TABLE_AGE_DEF_1" localSheetId="53">'x-501'!$B$12</definedName>
    <definedName name="TABLE_AGE_DEF_1" localSheetId="54">'x-502'!$B$12</definedName>
    <definedName name="TABLE_AGE_DEF_1" localSheetId="55">'x-503'!$B$12</definedName>
    <definedName name="TABLE_AGE_DEF_1" localSheetId="56">'x-504'!$B$12</definedName>
    <definedName name="TABLE_AGE_DEF_1" localSheetId="57">'x-505'!$B$12</definedName>
    <definedName name="TABLE_AGE_DEF_1" localSheetId="58">'x-601'!$B$12</definedName>
    <definedName name="TABLE_AGE_DEF_1" localSheetId="59">'x-602'!$B$12</definedName>
    <definedName name="TABLE_AGE_DEF_1" localSheetId="60">'x-603'!$B$12</definedName>
    <definedName name="TABLE_AGE_DEF_1" localSheetId="61">'x-604'!$B$12</definedName>
    <definedName name="TABLE_AGE_DEF_1" localSheetId="62">'x-605'!$B$12</definedName>
    <definedName name="TABLE_AGE_DEF_1" localSheetId="63">'x-606'!$B$12</definedName>
    <definedName name="TABLE_AGE_DEF_1" localSheetId="64">'x-607'!$B$12</definedName>
    <definedName name="TABLE_AGE_DEF_1" localSheetId="65">'x-608'!$B$12</definedName>
    <definedName name="TABLE_AGE_DEF_1" localSheetId="66">'x-609'!$B$12</definedName>
    <definedName name="TABLE_AGE_DEF_1" localSheetId="67">'x-610'!$B$12</definedName>
    <definedName name="TABLE_AGE_DEF_1" localSheetId="68">'x-611'!$B$12</definedName>
    <definedName name="TABLE_AGE_DEF_1" localSheetId="69">'x-612'!$B$12</definedName>
    <definedName name="TABLE_AGE_DEF_1" localSheetId="70">'x-613'!$B$12</definedName>
    <definedName name="TABLE_AGE_DEF_1" localSheetId="71">'x-614'!$B$12</definedName>
    <definedName name="TABLE_AGE_DEF_1" localSheetId="72">'x-615'!$B$12</definedName>
    <definedName name="TABLE_AGE_DEF_1" localSheetId="73">'x-616'!$B$12</definedName>
    <definedName name="TABLE_AGE_DEF_1" localSheetId="74">'x-617'!$B$12</definedName>
    <definedName name="TABLE_AGE_DEF_1" localSheetId="75">'x-701'!$B$12</definedName>
    <definedName name="TABLE_AGE_DEF_1" localSheetId="76">'x-702'!$B$12</definedName>
    <definedName name="TABLE_AGE_DEF_1" localSheetId="77">'x-703'!$B$12</definedName>
    <definedName name="TABLE_AGE_DEF_1" localSheetId="78">'x-704'!$B$12</definedName>
    <definedName name="TABLE_AGE_DEF_1" localSheetId="79">'x-705'!$B$12</definedName>
    <definedName name="TABLE_AGE_DEF_1" localSheetId="80">'x-706'!$B$12</definedName>
    <definedName name="TABLE_AGE_DEF_1" localSheetId="81">'x-707'!$B$12</definedName>
    <definedName name="TABLE_AGE_DEF_1" localSheetId="82">'x-708'!$B$12</definedName>
    <definedName name="TABLE_AGE_DEF_1" localSheetId="83">'x-709'!$B$12</definedName>
    <definedName name="TABLE_AGE_DEF_1" localSheetId="84">'x-710'!$B$12</definedName>
    <definedName name="TABLE_AGE_DEF_1" localSheetId="85">'x-711'!$B$12</definedName>
    <definedName name="TABLE_AGE_DEF_1" localSheetId="86">'x-712'!$B$12</definedName>
    <definedName name="TABLE_AGE_DEF_1" localSheetId="87">'x-713'!$B$12</definedName>
    <definedName name="TABLE_AGE_DEF_1" localSheetId="88">'x-714'!$B$12</definedName>
    <definedName name="TABLE_AGE_DEF_1" localSheetId="89">'x-715'!$B$12</definedName>
    <definedName name="TABLE_AGE_DEF_1" localSheetId="90">'x-716'!$B$12</definedName>
    <definedName name="TABLE_AGE_DEF_1" localSheetId="91">'x-717'!$B$12</definedName>
    <definedName name="TABLE_AGE_DEF_1" localSheetId="92">'x-718'!$B$12</definedName>
    <definedName name="TABLE_AGE_DEF_1" localSheetId="93">'x-719'!$B$12</definedName>
    <definedName name="TABLE_AGE_DEF_1" localSheetId="94">'x-720'!$B$12</definedName>
    <definedName name="TABLE_AGE_DEF_1" localSheetId="95">'x-721'!$B$12</definedName>
    <definedName name="TABLE_AGE_DEF_1" localSheetId="96">'x-725'!$B$12</definedName>
    <definedName name="TABLE_AGE_DEF_1" localSheetId="97">'x-726'!$B$12</definedName>
    <definedName name="TABLE_AGE_DEF_1" localSheetId="98">'x-727'!$B$12</definedName>
    <definedName name="TABLE_AGE_DEF_1" localSheetId="99">'x-728'!$B$12</definedName>
    <definedName name="TABLE_AGE_DEF_1" localSheetId="100">'x-729'!$B$12</definedName>
    <definedName name="TABLE_AGE_DEF_1" localSheetId="101">'x-730'!$B$12</definedName>
    <definedName name="TABLE_AGE_DEF_1" localSheetId="102">'x-731'!$B$12</definedName>
    <definedName name="TABLE_AGE_DEF_1" localSheetId="103">'x-732'!$B$12</definedName>
    <definedName name="TABLE_AGE_DEF_1" localSheetId="104">'x-733'!$B$12</definedName>
    <definedName name="TABLE_AGE_DEF_1" localSheetId="105">'x-734'!$B$12</definedName>
    <definedName name="TABLE_AGE_DEF_1" localSheetId="106">'x-735'!$B$12</definedName>
    <definedName name="TABLE_AGE_DEF_1" localSheetId="107">'x-736'!$B$12</definedName>
    <definedName name="TABLE_AGE_DEF_1" localSheetId="108">'x-801'!$B$12</definedName>
    <definedName name="TABLE_AGE_DEF_1" localSheetId="109">'x-802'!$B$12</definedName>
    <definedName name="TABLE_AGE_DEF_1" localSheetId="110">'x-803'!$B$12</definedName>
    <definedName name="TABLE_AGE_DEF_1" localSheetId="111">'x-804'!$B$12</definedName>
    <definedName name="TABLE_AGE_DEF_1" localSheetId="112">'x-805'!$B$12</definedName>
    <definedName name="TABLE_AGE_DEF_1" localSheetId="113">'x-806'!$B$12</definedName>
    <definedName name="TABLE_AGE_DEF_1" localSheetId="114">'x-807'!$B$12</definedName>
    <definedName name="TABLE_AGE_DEF_1" localSheetId="115">'x-808'!$B$12</definedName>
    <definedName name="TABLE_AGE_DEF_1" localSheetId="116">'x-810'!$B$12</definedName>
    <definedName name="TABLE_AGE_DEF_1" localSheetId="117">'x-811'!$B$12</definedName>
    <definedName name="TABLE_AGE_DEF_1" localSheetId="118">'x-812'!$B$12</definedName>
    <definedName name="TABLE_AGE_DEF_1" localSheetId="119">'x-813'!$B$12</definedName>
    <definedName name="TABLE_AGE_DEF_1" localSheetId="120">'x-814'!$B$12</definedName>
    <definedName name="TABLE_AGE_DEF_1" localSheetId="121">'x-815'!$B$12</definedName>
    <definedName name="TABLE_AGE_DEF_1" localSheetId="122">'x-816'!$B$12</definedName>
    <definedName name="TABLE_AGE_DEF_2" localSheetId="29">'x-305'!$I$12</definedName>
    <definedName name="TABLE_AGE_DEF_2" localSheetId="40">'x-409'!$K$12</definedName>
    <definedName name="TABLE_AGE_DEF_2" localSheetId="44">'x-413'!$K$12</definedName>
    <definedName name="TABLE_AGE_DEF_2" localSheetId="64">'x-607'!$G$12</definedName>
    <definedName name="TABLE_AGE_DEF_2" localSheetId="101">'x-730'!$Q$12</definedName>
    <definedName name="TABLE_AGE_DEF_2" localSheetId="104">'x-733'!$P$12</definedName>
    <definedName name="TABLE_AGE_DEF_3" localSheetId="101">'x-730'!$AF$12</definedName>
    <definedName name="TABLE_AGE_DEF_3" localSheetId="104">'x-733'!$AE$12</definedName>
    <definedName name="TABLE_AGE_DEF_4" localSheetId="101">'x-730'!$AU$12</definedName>
    <definedName name="TABLE_AGE_DEF_4" localSheetId="104">'x-733'!$AT$12</definedName>
    <definedName name="TABLE_AREA_1" localSheetId="8">'x-201'!$A$26:$E$85</definedName>
    <definedName name="TABLE_AREA_1" localSheetId="9">'x-202'!$A$26:$E$85</definedName>
    <definedName name="TABLE_AREA_1" localSheetId="10">'x-203'!$A$26:$E$85</definedName>
    <definedName name="TABLE_AREA_1" localSheetId="11">'x-204'!$A$26:$E$85</definedName>
    <definedName name="TABLE_AREA_1" localSheetId="12">'x-205'!$A$26:$E$85</definedName>
    <definedName name="TABLE_AREA_1" localSheetId="13">'x-207'!$A$26:$I$85</definedName>
    <definedName name="TABLE_AREA_1" localSheetId="14">'x-208'!$A$26:$I$85</definedName>
    <definedName name="TABLE_AREA_1" localSheetId="15">'x-209'!$A$26:$E$85</definedName>
    <definedName name="TABLE_AREA_1" localSheetId="16">'x-211'!$A$26:$G$85</definedName>
    <definedName name="TABLE_AREA_1" localSheetId="17">'x-212'!$A$26:$G$85</definedName>
    <definedName name="TABLE_AREA_1" localSheetId="18">'x-213'!$A$26:$B$77</definedName>
    <definedName name="TABLE_AREA_1" localSheetId="19">'x-214'!$A$26:$B$77</definedName>
    <definedName name="TABLE_AREA_1" localSheetId="20">'x-215'!$A$26:$E$85</definedName>
    <definedName name="TABLE_AREA_1" localSheetId="21">'x-216'!$A$26:$E$85</definedName>
    <definedName name="TABLE_AREA_1" localSheetId="22">'x-217'!$A$26:$E$85</definedName>
    <definedName name="TABLE_AREA_1" localSheetId="23">'x-218'!$A$26:$E$85</definedName>
    <definedName name="TABLE_AREA_1" localSheetId="24">'x-223'!$A$26:$B$77</definedName>
    <definedName name="TABLE_AREA_1" localSheetId="25">'x-301'!$A$26:$I$70</definedName>
    <definedName name="TABLE_AREA_1" localSheetId="26">'x-302'!$A$26:$I$105</definedName>
    <definedName name="TABLE_AREA_1" localSheetId="27">'x-303'!$A$26:$K$75</definedName>
    <definedName name="TABLE_AREA_1" localSheetId="28">'x-304'!$A$26:$K$105</definedName>
    <definedName name="TABLE_AREA_1" localSheetId="29">'x-305'!$A$26:$E$108</definedName>
    <definedName name="TABLE_AREA_1" localSheetId="30">'x-306'!$A$26:$E$108</definedName>
    <definedName name="TABLE_AREA_1" localSheetId="31">'x-307'!$A$26:$C$108</definedName>
    <definedName name="TABLE_AREA_1" localSheetId="32">'x-401'!$A$26:$G$38</definedName>
    <definedName name="TABLE_AREA_1" localSheetId="33">'x-402'!$A$26:$M$38</definedName>
    <definedName name="TABLE_AREA_1" localSheetId="34">'x-403'!$A$26:$N$38</definedName>
    <definedName name="TABLE_AREA_1" localSheetId="35">'x-404'!$A$26:$O$38</definedName>
    <definedName name="TABLE_AREA_1" localSheetId="36">'x-405'!$A$26:$P$38</definedName>
    <definedName name="TABLE_AREA_1" localSheetId="37">'x-406'!$A$26:$L$38</definedName>
    <definedName name="TABLE_AREA_1" localSheetId="38">'x-407'!$A$26:$L$38</definedName>
    <definedName name="TABLE_AREA_1" localSheetId="39">'x-408'!$A$26:$G$38</definedName>
    <definedName name="TABLE_AREA_1" localSheetId="40">'x-409'!$A$26:$G$38</definedName>
    <definedName name="TABLE_AREA_1" localSheetId="41">'x-410'!$A$26:$Q$38</definedName>
    <definedName name="TABLE_AREA_1" localSheetId="42">'x-411'!$A$26:$Q$38</definedName>
    <definedName name="TABLE_AREA_1" localSheetId="43">'x-412'!$A$26:$G$38</definedName>
    <definedName name="TABLE_AREA_1" localSheetId="44">'x-413'!$A$26:$G$38</definedName>
    <definedName name="TABLE_AREA_1" localSheetId="45">'x-414'!$A$26:$B$29</definedName>
    <definedName name="TABLE_AREA_1" localSheetId="46">'x-415'!$A$26:$AA$38</definedName>
    <definedName name="TABLE_AREA_1" localSheetId="47">'x-416'!$A$26:$AA$38</definedName>
    <definedName name="TABLE_AREA_1" localSheetId="48">'x-417'!$A$26:$B$29</definedName>
    <definedName name="TABLE_AREA_1" localSheetId="49">'x-418'!$A$26:$B$29</definedName>
    <definedName name="TABLE_AREA_1" localSheetId="50">'x-419'!$A$26:$V$38</definedName>
    <definedName name="TABLE_AREA_1" localSheetId="51">'x-420'!$A$26:$V$38</definedName>
    <definedName name="TABLE_AREA_1" localSheetId="52">'x-421'!$A$26:$B$28</definedName>
    <definedName name="TABLE_AREA_1" localSheetId="53">'x-501'!$A$26:$D$97</definedName>
    <definedName name="TABLE_AREA_1" localSheetId="54">'x-502'!$A$26:$D$72</definedName>
    <definedName name="TABLE_AREA_1" localSheetId="55">'x-503'!$A$26:$D$72</definedName>
    <definedName name="TABLE_AREA_1" localSheetId="56">'x-504'!$A$26:$E$77</definedName>
    <definedName name="TABLE_AREA_1" localSheetId="57">'x-505'!$A$26:$B$27</definedName>
    <definedName name="TABLE_AREA_1" localSheetId="58">'x-601'!$A$26:$I$85</definedName>
    <definedName name="TABLE_AREA_1" localSheetId="59">'x-602'!$A$26:$C$47</definedName>
    <definedName name="TABLE_AREA_1" localSheetId="60">'x-603'!$A$26:$C$82</definedName>
    <definedName name="TABLE_AREA_1" localSheetId="61">'x-604'!$A$26:$I$85</definedName>
    <definedName name="TABLE_AREA_1" localSheetId="62">'x-605'!$A$26:$C$85</definedName>
    <definedName name="TABLE_AREA_1" localSheetId="63">'x-606'!$A$26:$I$72</definedName>
    <definedName name="TABLE_AREA_1" localSheetId="64">'x-607'!$A$26:$C$42</definedName>
    <definedName name="TABLE_AREA_1" localSheetId="65">'x-608'!$A$26:$C$52</definedName>
    <definedName name="TABLE_AREA_1" localSheetId="66">'x-609'!$A$26:$C$82</definedName>
    <definedName name="TABLE_AREA_1" localSheetId="67">'x-610'!$A$26:$I$77</definedName>
    <definedName name="TABLE_AREA_1" localSheetId="68">'x-611'!$A$26:$B$42</definedName>
    <definedName name="TABLE_AREA_1" localSheetId="73">'x-616'!$A$26:$B$77</definedName>
    <definedName name="TABLE_AREA_1" localSheetId="74">'x-617'!$A$26:$B$77</definedName>
    <definedName name="TABLE_AREA_1" localSheetId="75">'x-701'!$A$26:$G$38</definedName>
    <definedName name="TABLE_AREA_1" localSheetId="76">'x-702'!$A$26:$L$38</definedName>
    <definedName name="TABLE_AREA_1" localSheetId="77">'x-703'!$A$26:$M$38</definedName>
    <definedName name="TABLE_AREA_1" localSheetId="78">'x-704'!$A$26:$N$38</definedName>
    <definedName name="TABLE_AREA_1" localSheetId="79">'x-705'!$A$26:$O$38</definedName>
    <definedName name="TABLE_AREA_1" localSheetId="80">'x-706'!$A$26:$L$38</definedName>
    <definedName name="TABLE_AREA_1" localSheetId="81">'x-707'!$A$26:$Q$38</definedName>
    <definedName name="TABLE_AREA_1" localSheetId="82">'x-708'!$A$26:$L$38</definedName>
    <definedName name="TABLE_AREA_1" localSheetId="83">'x-709'!$A$26:$G$38</definedName>
    <definedName name="TABLE_AREA_1" localSheetId="84">'x-710'!$A$26:$G$38</definedName>
    <definedName name="TABLE_AREA_1" localSheetId="85">'x-711'!$A$26:$G$38</definedName>
    <definedName name="TABLE_AREA_1" localSheetId="86">'x-712'!$A$26:$L$38</definedName>
    <definedName name="TABLE_AREA_1" localSheetId="87">'x-713'!$A$26:$Q$38</definedName>
    <definedName name="TABLE_AREA_1" localSheetId="88">'x-714'!$A$26:$D$86</definedName>
    <definedName name="TABLE_AREA_1" localSheetId="89">'x-715'!$A$26:$D$86</definedName>
    <definedName name="TABLE_AREA_1" localSheetId="90">'x-716'!$A$26:$D$86</definedName>
    <definedName name="TABLE_AREA_1" localSheetId="91">'x-717'!$A$26:$D$86</definedName>
    <definedName name="TABLE_AREA_1" localSheetId="92">'x-718'!$A$26:$D$86</definedName>
    <definedName name="TABLE_AREA_1" localSheetId="93">'x-719'!$A$26:$D$86</definedName>
    <definedName name="TABLE_AREA_1" localSheetId="94">'x-720'!$A$26:$D$86</definedName>
    <definedName name="TABLE_AREA_1" localSheetId="95">'x-721'!$A$26:$D$86</definedName>
    <definedName name="TABLE_AREA_1" localSheetId="96">'x-725'!$A$26:$B$85</definedName>
    <definedName name="TABLE_AREA_1" localSheetId="97">'x-726'!$A$26:$B$85</definedName>
    <definedName name="TABLE_AREA_1" localSheetId="98">'x-727'!$A$26:$D$85</definedName>
    <definedName name="TABLE_AREA_1" localSheetId="99">'x-728'!$A$26:$B$77</definedName>
    <definedName name="TABLE_AREA_1" localSheetId="100">'x-729'!$A$26:$B$77</definedName>
    <definedName name="TABLE_AREA_1" localSheetId="101">'x-730'!$A$26:$M$71</definedName>
    <definedName name="TABLE_AREA_1" localSheetId="102">'x-731'!$A$26:$M$71</definedName>
    <definedName name="TABLE_AREA_1" localSheetId="103">'x-732'!$A$26:$M$71</definedName>
    <definedName name="TABLE_AREA_1" localSheetId="104">'x-733'!$A$26:$L$70</definedName>
    <definedName name="TABLE_AREA_1" localSheetId="105">'x-734'!$A$26:$B$66</definedName>
    <definedName name="TABLE_AREA_1" localSheetId="106">'x-735'!$A$26:$M$77</definedName>
    <definedName name="TABLE_AREA_1" localSheetId="107">'x-736'!$A$26:$B$77</definedName>
    <definedName name="TABLE_AREA_1" localSheetId="108">'x-801'!$A$26:$AE$92</definedName>
    <definedName name="TABLE_AREA_1" localSheetId="109">'x-802'!$A$26:$AE$92</definedName>
    <definedName name="TABLE_AREA_1" localSheetId="110">'x-803'!$A$26:$AE$92</definedName>
    <definedName name="TABLE_AREA_1" localSheetId="111">'x-804'!$A$26:$AE$92</definedName>
    <definedName name="TABLE_AREA_1" localSheetId="112">'x-805'!$A$26:$AE$92</definedName>
    <definedName name="TABLE_AREA_1" localSheetId="113">'x-806'!$A$26:$AE$92</definedName>
    <definedName name="TABLE_AREA_1" localSheetId="114">'x-807'!$A$26:$AE$92</definedName>
    <definedName name="TABLE_AREA_1" localSheetId="115">'x-808'!$A$26:$AE$92</definedName>
    <definedName name="TABLE_AREA_1" localSheetId="116">'x-810'!$A$26:$E$81</definedName>
    <definedName name="TABLE_AREA_1" localSheetId="117">'x-811'!$A$26:$B$37</definedName>
    <definedName name="TABLE_AREA_1" localSheetId="118">'x-812'!$A$26:$B$66</definedName>
    <definedName name="TABLE_AREA_1" localSheetId="119">'x-813'!$A$26:$B$36</definedName>
    <definedName name="TABLE_AREA_1" localSheetId="120">'x-814'!$A$26:$B$66</definedName>
    <definedName name="TABLE_AREA_1" localSheetId="121">'x-815'!$A$26:$B$30</definedName>
    <definedName name="TABLE_AREA_1" localSheetId="122">'x-816'!$A$26:$B$30</definedName>
    <definedName name="TABLE_AREA_2" localSheetId="29">'x-305'!$H$26:$L$108</definedName>
    <definedName name="TABLE_AREA_2" localSheetId="40">'x-409'!$J$26:$P$38</definedName>
    <definedName name="TABLE_AREA_2" localSheetId="44">'x-413'!$J$26:$P$38</definedName>
    <definedName name="TABLE_AREA_2" localSheetId="64">'x-607'!$F$26:$H$42</definedName>
    <definedName name="TABLE_AREA_2" localSheetId="101">'x-730'!$P$26:$AB$72</definedName>
    <definedName name="TABLE_AREA_2" localSheetId="104">'x-733'!$O$26:$AA$70</definedName>
    <definedName name="TABLE_AREA_3" localSheetId="101">'x-730'!$AE$26:$AQ$73</definedName>
    <definedName name="TABLE_AREA_3" localSheetId="104">'x-733'!$AD$26:$AP$70</definedName>
    <definedName name="TABLE_AREA_4" localSheetId="101">'x-730'!$AT$26:$AU$77</definedName>
    <definedName name="TABLE_AREA_4" localSheetId="104">'x-733'!$AS$26:$AT$70</definedName>
    <definedName name="TABLE_ASSUMPTION_SET_1" localSheetId="8">'x-201'!$B$21</definedName>
    <definedName name="TABLE_ASSUMPTION_SET_1" localSheetId="9">'x-202'!$B$21</definedName>
    <definedName name="TABLE_ASSUMPTION_SET_1" localSheetId="10">'x-203'!$B$21</definedName>
    <definedName name="TABLE_ASSUMPTION_SET_1" localSheetId="11">'x-204'!$B$21</definedName>
    <definedName name="TABLE_ASSUMPTION_SET_1" localSheetId="12">'x-205'!$B$21</definedName>
    <definedName name="TABLE_ASSUMPTION_SET_1" localSheetId="13">'x-207'!$B$21</definedName>
    <definedName name="TABLE_ASSUMPTION_SET_1" localSheetId="14">'x-208'!$B$21</definedName>
    <definedName name="TABLE_ASSUMPTION_SET_1" localSheetId="15">'x-209'!$B$21</definedName>
    <definedName name="TABLE_ASSUMPTION_SET_1" localSheetId="16">'x-211'!$B$21</definedName>
    <definedName name="TABLE_ASSUMPTION_SET_1" localSheetId="17">'x-212'!$B$21</definedName>
    <definedName name="TABLE_ASSUMPTION_SET_1" localSheetId="18">'x-213'!$B$21</definedName>
    <definedName name="TABLE_ASSUMPTION_SET_1" localSheetId="19">'x-214'!$B$21</definedName>
    <definedName name="TABLE_ASSUMPTION_SET_1" localSheetId="20">'x-215'!$B$21</definedName>
    <definedName name="TABLE_ASSUMPTION_SET_1" localSheetId="21">'x-216'!$B$21</definedName>
    <definedName name="TABLE_ASSUMPTION_SET_1" localSheetId="22">'x-217'!$B$21</definedName>
    <definedName name="TABLE_ASSUMPTION_SET_1" localSheetId="23">'x-218'!$B$21</definedName>
    <definedName name="TABLE_ASSUMPTION_SET_1" localSheetId="24">'x-223'!$B$21</definedName>
    <definedName name="TABLE_ASSUMPTION_SET_1" localSheetId="25">'x-301'!$B$21</definedName>
    <definedName name="TABLE_ASSUMPTION_SET_1" localSheetId="26">'x-302'!$B$21</definedName>
    <definedName name="TABLE_ASSUMPTION_SET_1" localSheetId="27">'x-303'!$B$21</definedName>
    <definedName name="TABLE_ASSUMPTION_SET_1" localSheetId="28">'x-304'!$B$21</definedName>
    <definedName name="TABLE_ASSUMPTION_SET_1" localSheetId="29">'x-305'!$B$21</definedName>
    <definedName name="TABLE_ASSUMPTION_SET_1" localSheetId="30">'x-306'!$B$21</definedName>
    <definedName name="TABLE_ASSUMPTION_SET_1" localSheetId="31">'x-307'!$B$21</definedName>
    <definedName name="TABLE_ASSUMPTION_SET_1" localSheetId="32">'x-401'!$B$21</definedName>
    <definedName name="TABLE_ASSUMPTION_SET_1" localSheetId="33">'x-402'!$B$21</definedName>
    <definedName name="TABLE_ASSUMPTION_SET_1" localSheetId="34">'x-403'!$B$21</definedName>
    <definedName name="TABLE_ASSUMPTION_SET_1" localSheetId="35">'x-404'!$B$21</definedName>
    <definedName name="TABLE_ASSUMPTION_SET_1" localSheetId="36">'x-405'!$B$21</definedName>
    <definedName name="TABLE_ASSUMPTION_SET_1" localSheetId="37">'x-406'!$B$21</definedName>
    <definedName name="TABLE_ASSUMPTION_SET_1" localSheetId="38">'x-407'!$B$21</definedName>
    <definedName name="TABLE_ASSUMPTION_SET_1" localSheetId="39">'x-408'!$B$21</definedName>
    <definedName name="TABLE_ASSUMPTION_SET_1" localSheetId="40">'x-409'!$B$21</definedName>
    <definedName name="TABLE_ASSUMPTION_SET_1" localSheetId="41">'x-410'!$B$21</definedName>
    <definedName name="TABLE_ASSUMPTION_SET_1" localSheetId="42">'x-411'!$B$21</definedName>
    <definedName name="TABLE_ASSUMPTION_SET_1" localSheetId="43">'x-412'!$B$21</definedName>
    <definedName name="TABLE_ASSUMPTION_SET_1" localSheetId="44">'x-413'!$B$21</definedName>
    <definedName name="TABLE_ASSUMPTION_SET_1" localSheetId="45">'x-414'!$B$21</definedName>
    <definedName name="TABLE_ASSUMPTION_SET_1" localSheetId="46">'x-415'!$B$21</definedName>
    <definedName name="TABLE_ASSUMPTION_SET_1" localSheetId="47">'x-416'!$B$21</definedName>
    <definedName name="TABLE_ASSUMPTION_SET_1" localSheetId="48">'x-417'!$B$21</definedName>
    <definedName name="TABLE_ASSUMPTION_SET_1" localSheetId="49">'x-418'!$B$21</definedName>
    <definedName name="TABLE_ASSUMPTION_SET_1" localSheetId="50">'x-419'!$B$21</definedName>
    <definedName name="TABLE_ASSUMPTION_SET_1" localSheetId="51">'x-420'!$B$21</definedName>
    <definedName name="TABLE_ASSUMPTION_SET_1" localSheetId="52">'x-421'!$B$21</definedName>
    <definedName name="TABLE_ASSUMPTION_SET_1" localSheetId="53">'x-501'!$B$21</definedName>
    <definedName name="TABLE_ASSUMPTION_SET_1" localSheetId="54">'x-502'!$B$21</definedName>
    <definedName name="TABLE_ASSUMPTION_SET_1" localSheetId="55">'x-503'!$B$21</definedName>
    <definedName name="TABLE_ASSUMPTION_SET_1" localSheetId="56">'x-504'!$B$21</definedName>
    <definedName name="TABLE_ASSUMPTION_SET_1" localSheetId="57">'x-505'!$B$21</definedName>
    <definedName name="TABLE_ASSUMPTION_SET_1" localSheetId="58">'x-601'!$B$21</definedName>
    <definedName name="TABLE_ASSUMPTION_SET_1" localSheetId="59">'x-602'!$B$21</definedName>
    <definedName name="TABLE_ASSUMPTION_SET_1" localSheetId="60">'x-603'!$B$21</definedName>
    <definedName name="TABLE_ASSUMPTION_SET_1" localSheetId="61">'x-604'!$B$21</definedName>
    <definedName name="TABLE_ASSUMPTION_SET_1" localSheetId="62">'x-605'!$B$21</definedName>
    <definedName name="TABLE_ASSUMPTION_SET_1" localSheetId="63">'x-606'!$B$21</definedName>
    <definedName name="TABLE_ASSUMPTION_SET_1" localSheetId="64">'x-607'!$B$21</definedName>
    <definedName name="TABLE_ASSUMPTION_SET_1" localSheetId="65">'x-608'!$B$21</definedName>
    <definedName name="TABLE_ASSUMPTION_SET_1" localSheetId="66">'x-609'!$B$21</definedName>
    <definedName name="TABLE_ASSUMPTION_SET_1" localSheetId="67">'x-610'!$B$21</definedName>
    <definedName name="TABLE_ASSUMPTION_SET_1" localSheetId="68">'x-611'!$B$21</definedName>
    <definedName name="TABLE_ASSUMPTION_SET_1" localSheetId="69">'x-612'!$B$21</definedName>
    <definedName name="TABLE_ASSUMPTION_SET_1" localSheetId="70">'x-613'!$B$21</definedName>
    <definedName name="TABLE_ASSUMPTION_SET_1" localSheetId="71">'x-614'!$B$21</definedName>
    <definedName name="TABLE_ASSUMPTION_SET_1" localSheetId="72">'x-615'!$B$21</definedName>
    <definedName name="TABLE_ASSUMPTION_SET_1" localSheetId="73">'x-616'!$B$21</definedName>
    <definedName name="TABLE_ASSUMPTION_SET_1" localSheetId="74">'x-617'!$B$21</definedName>
    <definedName name="TABLE_ASSUMPTION_SET_1" localSheetId="75">'x-701'!$B$21</definedName>
    <definedName name="TABLE_ASSUMPTION_SET_1" localSheetId="76">'x-702'!$B$21</definedName>
    <definedName name="TABLE_ASSUMPTION_SET_1" localSheetId="77">'x-703'!$B$21</definedName>
    <definedName name="TABLE_ASSUMPTION_SET_1" localSheetId="78">'x-704'!$B$21</definedName>
    <definedName name="TABLE_ASSUMPTION_SET_1" localSheetId="79">'x-705'!$B$21</definedName>
    <definedName name="TABLE_ASSUMPTION_SET_1" localSheetId="80">'x-706'!$B$21</definedName>
    <definedName name="TABLE_ASSUMPTION_SET_1" localSheetId="81">'x-707'!$B$21</definedName>
    <definedName name="TABLE_ASSUMPTION_SET_1" localSheetId="82">'x-708'!$B$21</definedName>
    <definedName name="TABLE_ASSUMPTION_SET_1" localSheetId="83">'x-709'!$B$21</definedName>
    <definedName name="TABLE_ASSUMPTION_SET_1" localSheetId="84">'x-710'!$B$21</definedName>
    <definedName name="TABLE_ASSUMPTION_SET_1" localSheetId="85">'x-711'!$B$21</definedName>
    <definedName name="TABLE_ASSUMPTION_SET_1" localSheetId="86">'x-712'!$B$21</definedName>
    <definedName name="TABLE_ASSUMPTION_SET_1" localSheetId="87">'x-713'!$B$21</definedName>
    <definedName name="TABLE_ASSUMPTION_SET_1" localSheetId="88">'x-714'!$B$21</definedName>
    <definedName name="TABLE_ASSUMPTION_SET_1" localSheetId="89">'x-715'!$B$21</definedName>
    <definedName name="TABLE_ASSUMPTION_SET_1" localSheetId="90">'x-716'!$B$21</definedName>
    <definedName name="TABLE_ASSUMPTION_SET_1" localSheetId="91">'x-717'!$B$21</definedName>
    <definedName name="TABLE_ASSUMPTION_SET_1" localSheetId="92">'x-718'!$B$21</definedName>
    <definedName name="TABLE_ASSUMPTION_SET_1" localSheetId="93">'x-719'!$B$21</definedName>
    <definedName name="TABLE_ASSUMPTION_SET_1" localSheetId="94">'x-720'!$B$21</definedName>
    <definedName name="TABLE_ASSUMPTION_SET_1" localSheetId="95">'x-721'!$B$21</definedName>
    <definedName name="TABLE_ASSUMPTION_SET_1" localSheetId="96">'x-725'!$B$21</definedName>
    <definedName name="TABLE_ASSUMPTION_SET_1" localSheetId="97">'x-726'!$B$21</definedName>
    <definedName name="TABLE_ASSUMPTION_SET_1" localSheetId="98">'x-727'!$B$21</definedName>
    <definedName name="TABLE_ASSUMPTION_SET_1" localSheetId="99">'x-728'!$B$21</definedName>
    <definedName name="TABLE_ASSUMPTION_SET_1" localSheetId="100">'x-729'!$B$21</definedName>
    <definedName name="TABLE_ASSUMPTION_SET_1" localSheetId="101">'x-730'!$B$21</definedName>
    <definedName name="TABLE_ASSUMPTION_SET_1" localSheetId="102">'x-731'!$B$21</definedName>
    <definedName name="TABLE_ASSUMPTION_SET_1" localSheetId="103">'x-732'!$B$21</definedName>
    <definedName name="TABLE_ASSUMPTION_SET_1" localSheetId="104">'x-733'!$B$21</definedName>
    <definedName name="TABLE_ASSUMPTION_SET_1" localSheetId="105">'x-734'!$B$21</definedName>
    <definedName name="TABLE_ASSUMPTION_SET_1" localSheetId="106">'x-735'!$B$21</definedName>
    <definedName name="TABLE_ASSUMPTION_SET_1" localSheetId="107">'x-736'!$B$21</definedName>
    <definedName name="TABLE_ASSUMPTION_SET_1" localSheetId="108">'x-801'!$B$21</definedName>
    <definedName name="TABLE_ASSUMPTION_SET_1" localSheetId="109">'x-802'!$B$21</definedName>
    <definedName name="TABLE_ASSUMPTION_SET_1" localSheetId="110">'x-803'!$B$21</definedName>
    <definedName name="TABLE_ASSUMPTION_SET_1" localSheetId="111">'x-804'!$B$21</definedName>
    <definedName name="TABLE_ASSUMPTION_SET_1" localSheetId="112">'x-805'!$B$21</definedName>
    <definedName name="TABLE_ASSUMPTION_SET_1" localSheetId="113">'x-806'!$B$21</definedName>
    <definedName name="TABLE_ASSUMPTION_SET_1" localSheetId="114">'x-807'!$B$21</definedName>
    <definedName name="TABLE_ASSUMPTION_SET_1" localSheetId="115">'x-808'!$B$21</definedName>
    <definedName name="TABLE_ASSUMPTION_SET_1" localSheetId="116">'x-810'!$B$21</definedName>
    <definedName name="TABLE_ASSUMPTION_SET_1" localSheetId="117">'x-811'!$B$21</definedName>
    <definedName name="TABLE_ASSUMPTION_SET_1" localSheetId="118">'x-812'!$B$21</definedName>
    <definedName name="TABLE_ASSUMPTION_SET_1" localSheetId="119">'x-813'!$B$21</definedName>
    <definedName name="TABLE_ASSUMPTION_SET_1" localSheetId="120">'x-814'!$B$21</definedName>
    <definedName name="TABLE_ASSUMPTION_SET_1" localSheetId="121">'x-815'!$B$21</definedName>
    <definedName name="TABLE_ASSUMPTION_SET_1" localSheetId="122">'x-816'!$B$21</definedName>
    <definedName name="TABLE_ASSUMPTION_SET_2" localSheetId="29">'x-305'!$I$21</definedName>
    <definedName name="TABLE_ASSUMPTION_SET_2" localSheetId="40">'x-409'!$K$21</definedName>
    <definedName name="TABLE_ASSUMPTION_SET_2" localSheetId="44">'x-413'!$K$21</definedName>
    <definedName name="TABLE_ASSUMPTION_SET_2" localSheetId="64">'x-607'!$G$21</definedName>
    <definedName name="TABLE_ASSUMPTION_SET_2" localSheetId="101">'x-730'!$Q$21</definedName>
    <definedName name="TABLE_ASSUMPTION_SET_2" localSheetId="104">'x-733'!$P$21</definedName>
    <definedName name="TABLE_ASSUMPTION_SET_3" localSheetId="101">'x-730'!$AF$21</definedName>
    <definedName name="TABLE_ASSUMPTION_SET_3" localSheetId="104">'x-733'!$AE$21</definedName>
    <definedName name="TABLE_ASSUMPTION_SET_4" localSheetId="101">'x-730'!$AU$21</definedName>
    <definedName name="TABLE_ASSUMPTION_SET_4" localSheetId="104">'x-733'!$AT$21</definedName>
    <definedName name="TABLE_CLIENT_1" localSheetId="8">'x-201'!$B$7</definedName>
    <definedName name="TABLE_CLIENT_1" localSheetId="9">'x-202'!$B$7</definedName>
    <definedName name="TABLE_CLIENT_1" localSheetId="10">'x-203'!$B$7</definedName>
    <definedName name="TABLE_CLIENT_1" localSheetId="11">'x-204'!$B$7</definedName>
    <definedName name="TABLE_CLIENT_1" localSheetId="12">'x-205'!$B$7</definedName>
    <definedName name="TABLE_CLIENT_1" localSheetId="13">'x-207'!$B$7</definedName>
    <definedName name="TABLE_CLIENT_1" localSheetId="14">'x-208'!$B$7</definedName>
    <definedName name="TABLE_CLIENT_1" localSheetId="15">'x-209'!$B$7</definedName>
    <definedName name="TABLE_CLIENT_1" localSheetId="16">'x-211'!$B$7</definedName>
    <definedName name="TABLE_CLIENT_1" localSheetId="17">'x-212'!$B$7</definedName>
    <definedName name="TABLE_CLIENT_1" localSheetId="18">'x-213'!$B$7</definedName>
    <definedName name="TABLE_CLIENT_1" localSheetId="19">'x-214'!$B$7</definedName>
    <definedName name="TABLE_CLIENT_1" localSheetId="20">'x-215'!$B$7</definedName>
    <definedName name="TABLE_CLIENT_1" localSheetId="21">'x-216'!$B$7</definedName>
    <definedName name="TABLE_CLIENT_1" localSheetId="22">'x-217'!$B$7</definedName>
    <definedName name="TABLE_CLIENT_1" localSheetId="23">'x-218'!$B$7</definedName>
    <definedName name="TABLE_CLIENT_1" localSheetId="24">'x-223'!$B$7</definedName>
    <definedName name="TABLE_CLIENT_1" localSheetId="25">'x-301'!$B$7</definedName>
    <definedName name="TABLE_CLIENT_1" localSheetId="26">'x-302'!$B$7</definedName>
    <definedName name="TABLE_CLIENT_1" localSheetId="27">'x-303'!$B$7</definedName>
    <definedName name="TABLE_CLIENT_1" localSheetId="28">'x-304'!$B$7</definedName>
    <definedName name="TABLE_CLIENT_1" localSheetId="29">'x-305'!$B$7</definedName>
    <definedName name="TABLE_CLIENT_1" localSheetId="30">'x-306'!$B$7</definedName>
    <definedName name="TABLE_CLIENT_1" localSheetId="31">'x-307'!$B$7</definedName>
    <definedName name="TABLE_CLIENT_1" localSheetId="32">'x-401'!$B$7</definedName>
    <definedName name="TABLE_CLIENT_1" localSheetId="33">'x-402'!$B$7</definedName>
    <definedName name="TABLE_CLIENT_1" localSheetId="34">'x-403'!$B$7</definedName>
    <definedName name="TABLE_CLIENT_1" localSheetId="35">'x-404'!$B$7</definedName>
    <definedName name="TABLE_CLIENT_1" localSheetId="36">'x-405'!$B$7</definedName>
    <definedName name="TABLE_CLIENT_1" localSheetId="37">'x-406'!$B$7</definedName>
    <definedName name="TABLE_CLIENT_1" localSheetId="38">'x-407'!$B$7</definedName>
    <definedName name="TABLE_CLIENT_1" localSheetId="39">'x-408'!$B$7</definedName>
    <definedName name="TABLE_CLIENT_1" localSheetId="40">'x-409'!$B$7</definedName>
    <definedName name="TABLE_CLIENT_1" localSheetId="41">'x-410'!$B$7</definedName>
    <definedName name="TABLE_CLIENT_1" localSheetId="42">'x-411'!$B$7</definedName>
    <definedName name="TABLE_CLIENT_1" localSheetId="43">'x-412'!$B$7</definedName>
    <definedName name="TABLE_CLIENT_1" localSheetId="44">'x-413'!$B$7</definedName>
    <definedName name="TABLE_CLIENT_1" localSheetId="45">'x-414'!$B$7</definedName>
    <definedName name="TABLE_CLIENT_1" localSheetId="46">'x-415'!$B$7</definedName>
    <definedName name="TABLE_CLIENT_1" localSheetId="47">'x-416'!$B$7</definedName>
    <definedName name="TABLE_CLIENT_1" localSheetId="48">'x-417'!$B$7</definedName>
    <definedName name="TABLE_CLIENT_1" localSheetId="49">'x-418'!$B$7</definedName>
    <definedName name="TABLE_CLIENT_1" localSheetId="50">'x-419'!$B$7</definedName>
    <definedName name="TABLE_CLIENT_1" localSheetId="51">'x-420'!$B$7</definedName>
    <definedName name="TABLE_CLIENT_1" localSheetId="52">'x-421'!$B$7</definedName>
    <definedName name="TABLE_CLIENT_1" localSheetId="53">'x-501'!$B$7</definedName>
    <definedName name="TABLE_CLIENT_1" localSheetId="54">'x-502'!$B$7</definedName>
    <definedName name="TABLE_CLIENT_1" localSheetId="55">'x-503'!$B$7</definedName>
    <definedName name="TABLE_CLIENT_1" localSheetId="56">'x-504'!$B$7</definedName>
    <definedName name="TABLE_CLIENT_1" localSheetId="57">'x-505'!$B$7</definedName>
    <definedName name="TABLE_CLIENT_1" localSheetId="58">'x-601'!$B$7</definedName>
    <definedName name="TABLE_CLIENT_1" localSheetId="59">'x-602'!$B$7</definedName>
    <definedName name="TABLE_CLIENT_1" localSheetId="60">'x-603'!$B$7</definedName>
    <definedName name="TABLE_CLIENT_1" localSheetId="61">'x-604'!$B$7</definedName>
    <definedName name="TABLE_CLIENT_1" localSheetId="62">'x-605'!$B$7</definedName>
    <definedName name="TABLE_CLIENT_1" localSheetId="63">'x-606'!$B$7</definedName>
    <definedName name="TABLE_CLIENT_1" localSheetId="64">'x-607'!$B$7</definedName>
    <definedName name="TABLE_CLIENT_1" localSheetId="65">'x-608'!$B$7</definedName>
    <definedName name="TABLE_CLIENT_1" localSheetId="66">'x-609'!$B$7</definedName>
    <definedName name="TABLE_CLIENT_1" localSheetId="67">'x-610'!$B$7</definedName>
    <definedName name="TABLE_CLIENT_1" localSheetId="68">'x-611'!$B$7</definedName>
    <definedName name="TABLE_CLIENT_1" localSheetId="69">'x-612'!$B$7</definedName>
    <definedName name="TABLE_CLIENT_1" localSheetId="70">'x-613'!$B$7</definedName>
    <definedName name="TABLE_CLIENT_1" localSheetId="71">'x-614'!$B$7</definedName>
    <definedName name="TABLE_CLIENT_1" localSheetId="72">'x-615'!$B$7</definedName>
    <definedName name="TABLE_CLIENT_1" localSheetId="73">'x-616'!$B$7</definedName>
    <definedName name="TABLE_CLIENT_1" localSheetId="74">'x-617'!$B$7</definedName>
    <definedName name="TABLE_CLIENT_1" localSheetId="75">'x-701'!$B$7</definedName>
    <definedName name="TABLE_CLIENT_1" localSheetId="76">'x-702'!$B$7</definedName>
    <definedName name="TABLE_CLIENT_1" localSheetId="77">'x-703'!$B$7</definedName>
    <definedName name="TABLE_CLIENT_1" localSheetId="78">'x-704'!$B$7</definedName>
    <definedName name="TABLE_CLIENT_1" localSheetId="79">'x-705'!$B$7</definedName>
    <definedName name="TABLE_CLIENT_1" localSheetId="80">'x-706'!$B$7</definedName>
    <definedName name="TABLE_CLIENT_1" localSheetId="81">'x-707'!$B$7</definedName>
    <definedName name="TABLE_CLIENT_1" localSheetId="82">'x-708'!$B$7</definedName>
    <definedName name="TABLE_CLIENT_1" localSheetId="83">'x-709'!$B$7</definedName>
    <definedName name="TABLE_CLIENT_1" localSheetId="84">'x-710'!$B$7</definedName>
    <definedName name="TABLE_CLIENT_1" localSheetId="85">'x-711'!$B$7</definedName>
    <definedName name="TABLE_CLIENT_1" localSheetId="86">'x-712'!$B$7</definedName>
    <definedName name="TABLE_CLIENT_1" localSheetId="87">'x-713'!$B$7</definedName>
    <definedName name="TABLE_CLIENT_1" localSheetId="88">'x-714'!$B$7</definedName>
    <definedName name="TABLE_CLIENT_1" localSheetId="89">'x-715'!$B$7</definedName>
    <definedName name="TABLE_CLIENT_1" localSheetId="90">'x-716'!$B$7</definedName>
    <definedName name="TABLE_CLIENT_1" localSheetId="91">'x-717'!$B$7</definedName>
    <definedName name="TABLE_CLIENT_1" localSheetId="92">'x-718'!$B$7</definedName>
    <definedName name="TABLE_CLIENT_1" localSheetId="93">'x-719'!$B$7</definedName>
    <definedName name="TABLE_CLIENT_1" localSheetId="94">'x-720'!$B$7</definedName>
    <definedName name="TABLE_CLIENT_1" localSheetId="95">'x-721'!$B$7</definedName>
    <definedName name="TABLE_CLIENT_1" localSheetId="96">'x-725'!$B$7</definedName>
    <definedName name="TABLE_CLIENT_1" localSheetId="97">'x-726'!$B$7</definedName>
    <definedName name="TABLE_CLIENT_1" localSheetId="98">'x-727'!$B$7</definedName>
    <definedName name="TABLE_CLIENT_1" localSheetId="99">'x-728'!$B$7</definedName>
    <definedName name="TABLE_CLIENT_1" localSheetId="100">'x-729'!$B$7</definedName>
    <definedName name="TABLE_CLIENT_1" localSheetId="101">'x-730'!$B$7</definedName>
    <definedName name="TABLE_CLIENT_1" localSheetId="102">'x-731'!$B$7</definedName>
    <definedName name="TABLE_CLIENT_1" localSheetId="103">'x-732'!$B$7</definedName>
    <definedName name="TABLE_CLIENT_1" localSheetId="104">'x-733'!$B$7</definedName>
    <definedName name="TABLE_CLIENT_1" localSheetId="105">'x-734'!$B$7</definedName>
    <definedName name="TABLE_CLIENT_1" localSheetId="106">'x-735'!$B$7</definedName>
    <definedName name="TABLE_CLIENT_1" localSheetId="107">'x-736'!$B$7</definedName>
    <definedName name="TABLE_CLIENT_1" localSheetId="108">'x-801'!$B$7</definedName>
    <definedName name="TABLE_CLIENT_1" localSheetId="109">'x-802'!$B$7</definedName>
    <definedName name="TABLE_CLIENT_1" localSheetId="110">'x-803'!$B$7</definedName>
    <definedName name="TABLE_CLIENT_1" localSheetId="111">'x-804'!$B$7</definedName>
    <definedName name="TABLE_CLIENT_1" localSheetId="112">'x-805'!$B$7</definedName>
    <definedName name="TABLE_CLIENT_1" localSheetId="113">'x-806'!$B$7</definedName>
    <definedName name="TABLE_CLIENT_1" localSheetId="114">'x-807'!$B$7</definedName>
    <definedName name="TABLE_CLIENT_1" localSheetId="115">'x-808'!$B$7</definedName>
    <definedName name="TABLE_CLIENT_1" localSheetId="116">'x-810'!$B$7</definedName>
    <definedName name="TABLE_CLIENT_1" localSheetId="117">'x-811'!$B$7</definedName>
    <definedName name="TABLE_CLIENT_1" localSheetId="118">'x-812'!$B$7</definedName>
    <definedName name="TABLE_CLIENT_1" localSheetId="119">'x-813'!$B$7</definedName>
    <definedName name="TABLE_CLIENT_1" localSheetId="120">'x-814'!$B$7</definedName>
    <definedName name="TABLE_CLIENT_1" localSheetId="121">'x-815'!$B$7</definedName>
    <definedName name="TABLE_CLIENT_1" localSheetId="122">'x-816'!$B$7</definedName>
    <definedName name="TABLE_CLIENT_2" localSheetId="29">'x-305'!$I$7</definedName>
    <definedName name="TABLE_CLIENT_2" localSheetId="40">'x-409'!$K$7</definedName>
    <definedName name="TABLE_CLIENT_2" localSheetId="44">'x-413'!$K$7</definedName>
    <definedName name="TABLE_CLIENT_2" localSheetId="64">'x-607'!$G$7</definedName>
    <definedName name="TABLE_CLIENT_2" localSheetId="101">'x-730'!$Q$7</definedName>
    <definedName name="TABLE_CLIENT_2" localSheetId="104">'x-733'!$P$7</definedName>
    <definedName name="TABLE_CLIENT_3" localSheetId="101">'x-730'!$AF$7</definedName>
    <definedName name="TABLE_CLIENT_3" localSheetId="104">'x-733'!$AE$7</definedName>
    <definedName name="TABLE_CLIENT_4" localSheetId="101">'x-730'!$AU$7</definedName>
    <definedName name="TABLE_CLIENT_4" localSheetId="104">'x-733'!$AT$7</definedName>
    <definedName name="TABLE_DATE_IMPLEMENTED_1" localSheetId="8">'x-201'!$B$19</definedName>
    <definedName name="TABLE_DATE_IMPLEMENTED_1" localSheetId="9">'x-202'!$B$19</definedName>
    <definedName name="TABLE_DATE_IMPLEMENTED_1" localSheetId="10">'x-203'!$B$19</definedName>
    <definedName name="TABLE_DATE_IMPLEMENTED_1" localSheetId="11">'x-204'!$B$19</definedName>
    <definedName name="TABLE_DATE_IMPLEMENTED_1" localSheetId="12">'x-205'!$B$19</definedName>
    <definedName name="TABLE_DATE_IMPLEMENTED_1" localSheetId="13">'x-207'!$B$19</definedName>
    <definedName name="TABLE_DATE_IMPLEMENTED_1" localSheetId="14">'x-208'!$B$19</definedName>
    <definedName name="TABLE_DATE_IMPLEMENTED_1" localSheetId="15">'x-209'!$B$19</definedName>
    <definedName name="TABLE_DATE_IMPLEMENTED_1" localSheetId="16">'x-211'!$B$19</definedName>
    <definedName name="TABLE_DATE_IMPLEMENTED_1" localSheetId="17">'x-212'!$B$19</definedName>
    <definedName name="TABLE_DATE_IMPLEMENTED_1" localSheetId="18">'x-213'!$B$19</definedName>
    <definedName name="TABLE_DATE_IMPLEMENTED_1" localSheetId="19">'x-214'!$B$19</definedName>
    <definedName name="TABLE_DATE_IMPLEMENTED_1" localSheetId="20">'x-215'!$B$19</definedName>
    <definedName name="TABLE_DATE_IMPLEMENTED_1" localSheetId="21">'x-216'!$B$19</definedName>
    <definedName name="TABLE_DATE_IMPLEMENTED_1" localSheetId="22">'x-217'!$B$19</definedName>
    <definedName name="TABLE_DATE_IMPLEMENTED_1" localSheetId="23">'x-218'!$B$19</definedName>
    <definedName name="TABLE_DATE_IMPLEMENTED_1" localSheetId="24">'x-223'!$B$19</definedName>
    <definedName name="TABLE_DATE_IMPLEMENTED_1" localSheetId="25">'x-301'!$B$19</definedName>
    <definedName name="TABLE_DATE_IMPLEMENTED_1" localSheetId="26">'x-302'!$B$19</definedName>
    <definedName name="TABLE_DATE_IMPLEMENTED_1" localSheetId="27">'x-303'!$B$19</definedName>
    <definedName name="TABLE_DATE_IMPLEMENTED_1" localSheetId="28">'x-304'!$B$19</definedName>
    <definedName name="TABLE_DATE_IMPLEMENTED_1" localSheetId="29">'x-305'!$B$19</definedName>
    <definedName name="TABLE_DATE_IMPLEMENTED_1" localSheetId="30">'x-306'!$B$19</definedName>
    <definedName name="TABLE_DATE_IMPLEMENTED_1" localSheetId="31">'x-307'!$B$19</definedName>
    <definedName name="TABLE_DATE_IMPLEMENTED_1" localSheetId="32">'x-401'!$B$19</definedName>
    <definedName name="TABLE_DATE_IMPLEMENTED_1" localSheetId="33">'x-402'!$B$19</definedName>
    <definedName name="TABLE_DATE_IMPLEMENTED_1" localSheetId="34">'x-403'!$B$19</definedName>
    <definedName name="TABLE_DATE_IMPLEMENTED_1" localSheetId="35">'x-404'!$B$19</definedName>
    <definedName name="TABLE_DATE_IMPLEMENTED_1" localSheetId="36">'x-405'!$B$19</definedName>
    <definedName name="TABLE_DATE_IMPLEMENTED_1" localSheetId="37">'x-406'!$B$19</definedName>
    <definedName name="TABLE_DATE_IMPLEMENTED_1" localSheetId="38">'x-407'!$B$19</definedName>
    <definedName name="TABLE_DATE_IMPLEMENTED_1" localSheetId="39">'x-408'!$B$19</definedName>
    <definedName name="TABLE_DATE_IMPLEMENTED_1" localSheetId="40">'x-409'!$B$19</definedName>
    <definedName name="TABLE_DATE_IMPLEMENTED_1" localSheetId="41">'x-410'!$B$19</definedName>
    <definedName name="TABLE_DATE_IMPLEMENTED_1" localSheetId="42">'x-411'!$B$19</definedName>
    <definedName name="TABLE_DATE_IMPLEMENTED_1" localSheetId="43">'x-412'!$B$19</definedName>
    <definedName name="TABLE_DATE_IMPLEMENTED_1" localSheetId="44">'x-413'!$B$19</definedName>
    <definedName name="TABLE_DATE_IMPLEMENTED_1" localSheetId="45">'x-414'!$B$19</definedName>
    <definedName name="TABLE_DATE_IMPLEMENTED_1" localSheetId="46">'x-415'!$B$19</definedName>
    <definedName name="TABLE_DATE_IMPLEMENTED_1" localSheetId="47">'x-416'!$B$19</definedName>
    <definedName name="TABLE_DATE_IMPLEMENTED_1" localSheetId="48">'x-417'!$B$19</definedName>
    <definedName name="TABLE_DATE_IMPLEMENTED_1" localSheetId="49">'x-418'!$B$19</definedName>
    <definedName name="TABLE_DATE_IMPLEMENTED_1" localSheetId="50">'x-419'!$B$19</definedName>
    <definedName name="TABLE_DATE_IMPLEMENTED_1" localSheetId="51">'x-420'!$B$19</definedName>
    <definedName name="TABLE_DATE_IMPLEMENTED_1" localSheetId="52">'x-421'!$B$19</definedName>
    <definedName name="TABLE_DATE_IMPLEMENTED_1" localSheetId="53">'x-501'!$B$19</definedName>
    <definedName name="TABLE_DATE_IMPLEMENTED_1" localSheetId="54">'x-502'!$B$19</definedName>
    <definedName name="TABLE_DATE_IMPLEMENTED_1" localSheetId="55">'x-503'!$B$19</definedName>
    <definedName name="TABLE_DATE_IMPLEMENTED_1" localSheetId="56">'x-504'!$B$19</definedName>
    <definedName name="TABLE_DATE_IMPLEMENTED_1" localSheetId="57">'x-505'!$B$19</definedName>
    <definedName name="TABLE_DATE_IMPLEMENTED_1" localSheetId="58">'x-601'!$B$19</definedName>
    <definedName name="TABLE_DATE_IMPLEMENTED_1" localSheetId="59">'x-602'!$B$19</definedName>
    <definedName name="TABLE_DATE_IMPLEMENTED_1" localSheetId="60">'x-603'!$B$19</definedName>
    <definedName name="TABLE_DATE_IMPLEMENTED_1" localSheetId="61">'x-604'!$B$19</definedName>
    <definedName name="TABLE_DATE_IMPLEMENTED_1" localSheetId="62">'x-605'!$B$19</definedName>
    <definedName name="TABLE_DATE_IMPLEMENTED_1" localSheetId="63">'x-606'!$B$19</definedName>
    <definedName name="TABLE_DATE_IMPLEMENTED_1" localSheetId="64">'x-607'!$B$19</definedName>
    <definedName name="TABLE_DATE_IMPLEMENTED_1" localSheetId="65">'x-608'!$B$19</definedName>
    <definedName name="TABLE_DATE_IMPLEMENTED_1" localSheetId="66">'x-609'!$B$19</definedName>
    <definedName name="TABLE_DATE_IMPLEMENTED_1" localSheetId="67">'x-610'!$B$19</definedName>
    <definedName name="TABLE_DATE_IMPLEMENTED_1" localSheetId="68">'x-611'!$B$19</definedName>
    <definedName name="TABLE_DATE_IMPLEMENTED_1" localSheetId="69">'x-612'!$B$19</definedName>
    <definedName name="TABLE_DATE_IMPLEMENTED_1" localSheetId="70">'x-613'!$B$19</definedName>
    <definedName name="TABLE_DATE_IMPLEMENTED_1" localSheetId="71">'x-614'!$B$19</definedName>
    <definedName name="TABLE_DATE_IMPLEMENTED_1" localSheetId="72">'x-615'!$B$19</definedName>
    <definedName name="TABLE_DATE_IMPLEMENTED_1" localSheetId="73">'x-616'!$B$19</definedName>
    <definedName name="TABLE_DATE_IMPLEMENTED_1" localSheetId="74">'x-617'!$B$19</definedName>
    <definedName name="TABLE_DATE_IMPLEMENTED_1" localSheetId="75">'x-701'!$B$19</definedName>
    <definedName name="TABLE_DATE_IMPLEMENTED_1" localSheetId="76">'x-702'!$B$19</definedName>
    <definedName name="TABLE_DATE_IMPLEMENTED_1" localSheetId="77">'x-703'!$B$19</definedName>
    <definedName name="TABLE_DATE_IMPLEMENTED_1" localSheetId="78">'x-704'!$B$19</definedName>
    <definedName name="TABLE_DATE_IMPLEMENTED_1" localSheetId="79">'x-705'!$B$19</definedName>
    <definedName name="TABLE_DATE_IMPLEMENTED_1" localSheetId="80">'x-706'!$B$19</definedName>
    <definedName name="TABLE_DATE_IMPLEMENTED_1" localSheetId="81">'x-707'!$B$19</definedName>
    <definedName name="TABLE_DATE_IMPLEMENTED_1" localSheetId="82">'x-708'!$B$19</definedName>
    <definedName name="TABLE_DATE_IMPLEMENTED_1" localSheetId="83">'x-709'!$B$19</definedName>
    <definedName name="TABLE_DATE_IMPLEMENTED_1" localSheetId="84">'x-710'!$B$19</definedName>
    <definedName name="TABLE_DATE_IMPLEMENTED_1" localSheetId="85">'x-711'!$B$19</definedName>
    <definedName name="TABLE_DATE_IMPLEMENTED_1" localSheetId="86">'x-712'!$B$19</definedName>
    <definedName name="TABLE_DATE_IMPLEMENTED_1" localSheetId="87">'x-713'!$B$19</definedName>
    <definedName name="TABLE_DATE_IMPLEMENTED_1" localSheetId="88">'x-714'!$B$19</definedName>
    <definedName name="TABLE_DATE_IMPLEMENTED_1" localSheetId="89">'x-715'!$B$19</definedName>
    <definedName name="TABLE_DATE_IMPLEMENTED_1" localSheetId="90">'x-716'!$B$19</definedName>
    <definedName name="TABLE_DATE_IMPLEMENTED_1" localSheetId="91">'x-717'!$B$19</definedName>
    <definedName name="TABLE_DATE_IMPLEMENTED_1" localSheetId="92">'x-718'!$B$19</definedName>
    <definedName name="TABLE_DATE_IMPLEMENTED_1" localSheetId="93">'x-719'!$B$19</definedName>
    <definedName name="TABLE_DATE_IMPLEMENTED_1" localSheetId="94">'x-720'!$B$19</definedName>
    <definedName name="TABLE_DATE_IMPLEMENTED_1" localSheetId="95">'x-721'!$B$19</definedName>
    <definedName name="TABLE_DATE_IMPLEMENTED_1" localSheetId="96">'x-725'!$B$19</definedName>
    <definedName name="TABLE_DATE_IMPLEMENTED_1" localSheetId="97">'x-726'!$B$19</definedName>
    <definedName name="TABLE_DATE_IMPLEMENTED_1" localSheetId="98">'x-727'!$B$19</definedName>
    <definedName name="TABLE_DATE_IMPLEMENTED_1" localSheetId="99">'x-728'!$B$19</definedName>
    <definedName name="TABLE_DATE_IMPLEMENTED_1" localSheetId="100">'x-729'!$B$19</definedName>
    <definedName name="TABLE_DATE_IMPLEMENTED_1" localSheetId="101">'x-730'!$B$19</definedName>
    <definedName name="TABLE_DATE_IMPLEMENTED_1" localSheetId="102">'x-731'!$B$19</definedName>
    <definedName name="TABLE_DATE_IMPLEMENTED_1" localSheetId="103">'x-732'!$B$19</definedName>
    <definedName name="TABLE_DATE_IMPLEMENTED_1" localSheetId="104">'x-733'!$B$19</definedName>
    <definedName name="TABLE_DATE_IMPLEMENTED_1" localSheetId="105">'x-734'!$B$19</definedName>
    <definedName name="TABLE_DATE_IMPLEMENTED_1" localSheetId="106">'x-735'!$B$19</definedName>
    <definedName name="TABLE_DATE_IMPLEMENTED_1" localSheetId="107">'x-736'!$B$19</definedName>
    <definedName name="TABLE_DATE_IMPLEMENTED_1" localSheetId="108">'x-801'!$B$19</definedName>
    <definedName name="TABLE_DATE_IMPLEMENTED_1" localSheetId="109">'x-802'!$B$19</definedName>
    <definedName name="TABLE_DATE_IMPLEMENTED_1" localSheetId="110">'x-803'!$B$19</definedName>
    <definedName name="TABLE_DATE_IMPLEMENTED_1" localSheetId="111">'x-804'!$B$19</definedName>
    <definedName name="TABLE_DATE_IMPLEMENTED_1" localSheetId="112">'x-805'!$B$19</definedName>
    <definedName name="TABLE_DATE_IMPLEMENTED_1" localSheetId="113">'x-806'!$B$19</definedName>
    <definedName name="TABLE_DATE_IMPLEMENTED_1" localSheetId="114">'x-807'!$B$19</definedName>
    <definedName name="TABLE_DATE_IMPLEMENTED_1" localSheetId="115">'x-808'!$B$19</definedName>
    <definedName name="TABLE_DATE_IMPLEMENTED_1" localSheetId="116">'x-810'!$B$19</definedName>
    <definedName name="TABLE_DATE_IMPLEMENTED_1" localSheetId="117">'x-811'!$B$19</definedName>
    <definedName name="TABLE_DATE_IMPLEMENTED_1" localSheetId="118">'x-812'!$B$19</definedName>
    <definedName name="TABLE_DATE_IMPLEMENTED_1" localSheetId="119">'x-813'!$B$19</definedName>
    <definedName name="TABLE_DATE_IMPLEMENTED_1" localSheetId="120">'x-814'!$B$19</definedName>
    <definedName name="TABLE_DATE_IMPLEMENTED_1" localSheetId="121">'x-815'!$B$19</definedName>
    <definedName name="TABLE_DATE_IMPLEMENTED_1" localSheetId="122">'x-816'!$B$19</definedName>
    <definedName name="TABLE_DATE_IMPLEMENTED_2" localSheetId="29">'x-305'!$I$19</definedName>
    <definedName name="TABLE_DATE_IMPLEMENTED_2" localSheetId="40">'x-409'!$K$19</definedName>
    <definedName name="TABLE_DATE_IMPLEMENTED_2" localSheetId="44">'x-413'!$K$19</definedName>
    <definedName name="TABLE_DATE_IMPLEMENTED_2" localSheetId="64">'x-607'!$G$19</definedName>
    <definedName name="TABLE_DATE_IMPLEMENTED_2" localSheetId="101">'x-730'!$Q$19</definedName>
    <definedName name="TABLE_DATE_IMPLEMENTED_2" localSheetId="104">'x-733'!$P$19</definedName>
    <definedName name="TABLE_DATE_IMPLEMENTED_3" localSheetId="101">'x-730'!$AF$19</definedName>
    <definedName name="TABLE_DATE_IMPLEMENTED_3" localSheetId="104">'x-733'!$AE$19</definedName>
    <definedName name="TABLE_DATE_IMPLEMENTED_4" localSheetId="101">'x-730'!$AU$19</definedName>
    <definedName name="TABLE_DATE_IMPLEMENTED_4" localSheetId="104">'x-733'!$AT$19</definedName>
    <definedName name="TABLE_DATE_ISSUED_1" localSheetId="8">'x-201'!$B$18</definedName>
    <definedName name="TABLE_DATE_ISSUED_1" localSheetId="9">'x-202'!$B$18</definedName>
    <definedName name="TABLE_DATE_ISSUED_1" localSheetId="10">'x-203'!$B$18</definedName>
    <definedName name="TABLE_DATE_ISSUED_1" localSheetId="11">'x-204'!$B$18</definedName>
    <definedName name="TABLE_DATE_ISSUED_1" localSheetId="12">'x-205'!$B$18</definedName>
    <definedName name="TABLE_DATE_ISSUED_1" localSheetId="13">'x-207'!$B$18</definedName>
    <definedName name="TABLE_DATE_ISSUED_1" localSheetId="14">'x-208'!$B$18</definedName>
    <definedName name="TABLE_DATE_ISSUED_1" localSheetId="15">'x-209'!$B$18</definedName>
    <definedName name="TABLE_DATE_ISSUED_1" localSheetId="16">'x-211'!$B$18</definedName>
    <definedName name="TABLE_DATE_ISSUED_1" localSheetId="17">'x-212'!$B$18</definedName>
    <definedName name="TABLE_DATE_ISSUED_1" localSheetId="18">'x-213'!$B$18</definedName>
    <definedName name="TABLE_DATE_ISSUED_1" localSheetId="19">'x-214'!$B$18</definedName>
    <definedName name="TABLE_DATE_ISSUED_1" localSheetId="20">'x-215'!$B$18</definedName>
    <definedName name="TABLE_DATE_ISSUED_1" localSheetId="21">'x-216'!$B$18</definedName>
    <definedName name="TABLE_DATE_ISSUED_1" localSheetId="22">'x-217'!$B$18</definedName>
    <definedName name="TABLE_DATE_ISSUED_1" localSheetId="23">'x-218'!$B$18</definedName>
    <definedName name="TABLE_DATE_ISSUED_1" localSheetId="24">'x-223'!$B$18</definedName>
    <definedName name="TABLE_DATE_ISSUED_1" localSheetId="25">'x-301'!$B$18</definedName>
    <definedName name="TABLE_DATE_ISSUED_1" localSheetId="26">'x-302'!$B$18</definedName>
    <definedName name="TABLE_DATE_ISSUED_1" localSheetId="27">'x-303'!$B$18</definedName>
    <definedName name="TABLE_DATE_ISSUED_1" localSheetId="28">'x-304'!$B$18</definedName>
    <definedName name="TABLE_DATE_ISSUED_1" localSheetId="29">'x-305'!$B$18</definedName>
    <definedName name="TABLE_DATE_ISSUED_1" localSheetId="30">'x-306'!$B$18</definedName>
    <definedName name="TABLE_DATE_ISSUED_1" localSheetId="31">'x-307'!$B$18</definedName>
    <definedName name="TABLE_DATE_ISSUED_1" localSheetId="32">'x-401'!$B$18</definedName>
    <definedName name="TABLE_DATE_ISSUED_1" localSheetId="33">'x-402'!$B$18</definedName>
    <definedName name="TABLE_DATE_ISSUED_1" localSheetId="34">'x-403'!$B$18</definedName>
    <definedName name="TABLE_DATE_ISSUED_1" localSheetId="35">'x-404'!$B$18</definedName>
    <definedName name="TABLE_DATE_ISSUED_1" localSheetId="36">'x-405'!$B$18</definedName>
    <definedName name="TABLE_DATE_ISSUED_1" localSheetId="37">'x-406'!$B$18</definedName>
    <definedName name="TABLE_DATE_ISSUED_1" localSheetId="38">'x-407'!$B$18</definedName>
    <definedName name="TABLE_DATE_ISSUED_1" localSheetId="39">'x-408'!$B$18</definedName>
    <definedName name="TABLE_DATE_ISSUED_1" localSheetId="40">'x-409'!$B$18</definedName>
    <definedName name="TABLE_DATE_ISSUED_1" localSheetId="41">'x-410'!$B$18</definedName>
    <definedName name="TABLE_DATE_ISSUED_1" localSheetId="42">'x-411'!$B$18</definedName>
    <definedName name="TABLE_DATE_ISSUED_1" localSheetId="43">'x-412'!$B$18</definedName>
    <definedName name="TABLE_DATE_ISSUED_1" localSheetId="44">'x-413'!$B$18</definedName>
    <definedName name="TABLE_DATE_ISSUED_1" localSheetId="45">'x-414'!$B$18</definedName>
    <definedName name="TABLE_DATE_ISSUED_1" localSheetId="46">'x-415'!$B$18</definedName>
    <definedName name="TABLE_DATE_ISSUED_1" localSheetId="47">'x-416'!$B$18</definedName>
    <definedName name="TABLE_DATE_ISSUED_1" localSheetId="48">'x-417'!$B$18</definedName>
    <definedName name="TABLE_DATE_ISSUED_1" localSheetId="49">'x-418'!$B$18</definedName>
    <definedName name="TABLE_DATE_ISSUED_1" localSheetId="50">'x-419'!$B$18</definedName>
    <definedName name="TABLE_DATE_ISSUED_1" localSheetId="51">'x-420'!$B$18</definedName>
    <definedName name="TABLE_DATE_ISSUED_1" localSheetId="52">'x-421'!$B$18</definedName>
    <definedName name="TABLE_DATE_ISSUED_1" localSheetId="53">'x-501'!$B$18</definedName>
    <definedName name="TABLE_DATE_ISSUED_1" localSheetId="54">'x-502'!$B$18</definedName>
    <definedName name="TABLE_DATE_ISSUED_1" localSheetId="55">'x-503'!$B$18</definedName>
    <definedName name="TABLE_DATE_ISSUED_1" localSheetId="56">'x-504'!$B$18</definedName>
    <definedName name="TABLE_DATE_ISSUED_1" localSheetId="57">'x-505'!$B$18</definedName>
    <definedName name="TABLE_DATE_ISSUED_1" localSheetId="58">'x-601'!$B$18</definedName>
    <definedName name="TABLE_DATE_ISSUED_1" localSheetId="59">'x-602'!$B$18</definedName>
    <definedName name="TABLE_DATE_ISSUED_1" localSheetId="60">'x-603'!$B$18</definedName>
    <definedName name="TABLE_DATE_ISSUED_1" localSheetId="61">'x-604'!$B$18</definedName>
    <definedName name="TABLE_DATE_ISSUED_1" localSheetId="62">'x-605'!$B$18</definedName>
    <definedName name="TABLE_DATE_ISSUED_1" localSheetId="63">'x-606'!$B$18</definedName>
    <definedName name="TABLE_DATE_ISSUED_1" localSheetId="64">'x-607'!$B$18</definedName>
    <definedName name="TABLE_DATE_ISSUED_1" localSheetId="65">'x-608'!$B$18</definedName>
    <definedName name="TABLE_DATE_ISSUED_1" localSheetId="66">'x-609'!$B$18</definedName>
    <definedName name="TABLE_DATE_ISSUED_1" localSheetId="67">'x-610'!$B$18</definedName>
    <definedName name="TABLE_DATE_ISSUED_1" localSheetId="68">'x-611'!$B$18</definedName>
    <definedName name="TABLE_DATE_ISSUED_1" localSheetId="69">'x-612'!$B$18</definedName>
    <definedName name="TABLE_DATE_ISSUED_1" localSheetId="70">'x-613'!$B$18</definedName>
    <definedName name="TABLE_DATE_ISSUED_1" localSheetId="71">'x-614'!$B$18</definedName>
    <definedName name="TABLE_DATE_ISSUED_1" localSheetId="72">'x-615'!$B$18</definedName>
    <definedName name="TABLE_DATE_ISSUED_1" localSheetId="73">'x-616'!$B$18</definedName>
    <definedName name="TABLE_DATE_ISSUED_1" localSheetId="74">'x-617'!$B$18</definedName>
    <definedName name="TABLE_DATE_ISSUED_1" localSheetId="75">'x-701'!$B$18</definedName>
    <definedName name="TABLE_DATE_ISSUED_1" localSheetId="76">'x-702'!$B$18</definedName>
    <definedName name="TABLE_DATE_ISSUED_1" localSheetId="77">'x-703'!$B$18</definedName>
    <definedName name="TABLE_DATE_ISSUED_1" localSheetId="78">'x-704'!$B$18</definedName>
    <definedName name="TABLE_DATE_ISSUED_1" localSheetId="79">'x-705'!$B$18</definedName>
    <definedName name="TABLE_DATE_ISSUED_1" localSheetId="80">'x-706'!$B$18</definedName>
    <definedName name="TABLE_DATE_ISSUED_1" localSheetId="81">'x-707'!$B$18</definedName>
    <definedName name="TABLE_DATE_ISSUED_1" localSheetId="82">'x-708'!$B$18</definedName>
    <definedName name="TABLE_DATE_ISSUED_1" localSheetId="83">'x-709'!$B$18</definedName>
    <definedName name="TABLE_DATE_ISSUED_1" localSheetId="84">'x-710'!$B$18</definedName>
    <definedName name="TABLE_DATE_ISSUED_1" localSheetId="85">'x-711'!$B$18</definedName>
    <definedName name="TABLE_DATE_ISSUED_1" localSheetId="86">'x-712'!$B$18</definedName>
    <definedName name="TABLE_DATE_ISSUED_1" localSheetId="87">'x-713'!$B$18</definedName>
    <definedName name="TABLE_DATE_ISSUED_1" localSheetId="88">'x-714'!$B$18</definedName>
    <definedName name="TABLE_DATE_ISSUED_1" localSheetId="89">'x-715'!$B$18</definedName>
    <definedName name="TABLE_DATE_ISSUED_1" localSheetId="90">'x-716'!$B$18</definedName>
    <definedName name="TABLE_DATE_ISSUED_1" localSheetId="91">'x-717'!$B$18</definedName>
    <definedName name="TABLE_DATE_ISSUED_1" localSheetId="92">'x-718'!$B$18</definedName>
    <definedName name="TABLE_DATE_ISSUED_1" localSheetId="93">'x-719'!$B$18</definedName>
    <definedName name="TABLE_DATE_ISSUED_1" localSheetId="94">'x-720'!$B$18</definedName>
    <definedName name="TABLE_DATE_ISSUED_1" localSheetId="95">'x-721'!$B$18</definedName>
    <definedName name="TABLE_DATE_ISSUED_1" localSheetId="96">'x-725'!$B$18</definedName>
    <definedName name="TABLE_DATE_ISSUED_1" localSheetId="97">'x-726'!$B$18</definedName>
    <definedName name="TABLE_DATE_ISSUED_1" localSheetId="98">'x-727'!$B$18</definedName>
    <definedName name="TABLE_DATE_ISSUED_1" localSheetId="99">'x-728'!$B$18</definedName>
    <definedName name="TABLE_DATE_ISSUED_1" localSheetId="100">'x-729'!$B$18</definedName>
    <definedName name="TABLE_DATE_ISSUED_1" localSheetId="101">'x-730'!$B$18</definedName>
    <definedName name="TABLE_DATE_ISSUED_1" localSheetId="102">'x-731'!$B$18</definedName>
    <definedName name="TABLE_DATE_ISSUED_1" localSheetId="103">'x-732'!$B$18</definedName>
    <definedName name="TABLE_DATE_ISSUED_1" localSheetId="104">'x-733'!$B$18</definedName>
    <definedName name="TABLE_DATE_ISSUED_1" localSheetId="105">'x-734'!$B$18</definedName>
    <definedName name="TABLE_DATE_ISSUED_1" localSheetId="106">'x-735'!$B$18</definedName>
    <definedName name="TABLE_DATE_ISSUED_1" localSheetId="107">'x-736'!$B$18</definedName>
    <definedName name="TABLE_DATE_ISSUED_1" localSheetId="108">'x-801'!$B$18</definedName>
    <definedName name="TABLE_DATE_ISSUED_1" localSheetId="109">'x-802'!$B$18</definedName>
    <definedName name="TABLE_DATE_ISSUED_1" localSheetId="110">'x-803'!$B$18</definedName>
    <definedName name="TABLE_DATE_ISSUED_1" localSheetId="111">'x-804'!$B$18</definedName>
    <definedName name="TABLE_DATE_ISSUED_1" localSheetId="112">'x-805'!$B$18</definedName>
    <definedName name="TABLE_DATE_ISSUED_1" localSheetId="113">'x-806'!$B$18</definedName>
    <definedName name="TABLE_DATE_ISSUED_1" localSheetId="114">'x-807'!$B$18</definedName>
    <definedName name="TABLE_DATE_ISSUED_1" localSheetId="115">'x-808'!$B$18</definedName>
    <definedName name="TABLE_DATE_ISSUED_1" localSheetId="116">'x-810'!$B$18</definedName>
    <definedName name="TABLE_DATE_ISSUED_1" localSheetId="117">'x-811'!$B$18</definedName>
    <definedName name="TABLE_DATE_ISSUED_1" localSheetId="118">'x-812'!$B$18</definedName>
    <definedName name="TABLE_DATE_ISSUED_1" localSheetId="119">'x-813'!$B$18</definedName>
    <definedName name="TABLE_DATE_ISSUED_1" localSheetId="120">'x-814'!$B$18</definedName>
    <definedName name="TABLE_DATE_ISSUED_1" localSheetId="121">'x-815'!$B$18</definedName>
    <definedName name="TABLE_DATE_ISSUED_1" localSheetId="122">'x-816'!$B$18</definedName>
    <definedName name="TABLE_DATE_ISSUED_2" localSheetId="29">'x-305'!$I$18</definedName>
    <definedName name="TABLE_DATE_ISSUED_2" localSheetId="40">'x-409'!$K$18</definedName>
    <definedName name="TABLE_DATE_ISSUED_2" localSheetId="44">'x-413'!$K$18</definedName>
    <definedName name="TABLE_DATE_ISSUED_2" localSheetId="64">'x-607'!$G$18</definedName>
    <definedName name="TABLE_DATE_ISSUED_2" localSheetId="101">'x-730'!$Q$18</definedName>
    <definedName name="TABLE_DATE_ISSUED_2" localSheetId="104">'x-733'!$P$18</definedName>
    <definedName name="TABLE_DATE_ISSUED_3" localSheetId="101">'x-730'!$AF$18</definedName>
    <definedName name="TABLE_DATE_ISSUED_3" localSheetId="104">'x-733'!$AE$18</definedName>
    <definedName name="TABLE_DATE_ISSUED_4" localSheetId="101">'x-730'!$AU$18</definedName>
    <definedName name="TABLE_DATE_ISSUED_4" localSheetId="104">'x-733'!$AT$18</definedName>
    <definedName name="TABLE_DESCRIPTION_1" localSheetId="8">'x-201'!$B$10</definedName>
    <definedName name="TABLE_DESCRIPTION_1" localSheetId="9">'x-202'!$B$10</definedName>
    <definedName name="TABLE_DESCRIPTION_1" localSheetId="10">'x-203'!$B$10</definedName>
    <definedName name="TABLE_DESCRIPTION_1" localSheetId="11">'x-204'!$B$10</definedName>
    <definedName name="TABLE_DESCRIPTION_1" localSheetId="12">'x-205'!$B$10</definedName>
    <definedName name="TABLE_DESCRIPTION_1" localSheetId="13">'x-207'!$B$10</definedName>
    <definedName name="TABLE_DESCRIPTION_1" localSheetId="14">'x-208'!$B$10</definedName>
    <definedName name="TABLE_DESCRIPTION_1" localSheetId="15">'x-209'!$B$10</definedName>
    <definedName name="TABLE_DESCRIPTION_1" localSheetId="16">'x-211'!$B$10</definedName>
    <definedName name="TABLE_DESCRIPTION_1" localSheetId="17">'x-212'!$B$10</definedName>
    <definedName name="TABLE_DESCRIPTION_1" localSheetId="18">'x-213'!$B$10</definedName>
    <definedName name="TABLE_DESCRIPTION_1" localSheetId="19">'x-214'!$B$10</definedName>
    <definedName name="TABLE_DESCRIPTION_1" localSheetId="20">'x-215'!$B$10</definedName>
    <definedName name="TABLE_DESCRIPTION_1" localSheetId="21">'x-216'!$B$10</definedName>
    <definedName name="TABLE_DESCRIPTION_1" localSheetId="22">'x-217'!$B$10</definedName>
    <definedName name="TABLE_DESCRIPTION_1" localSheetId="23">'x-218'!$B$10</definedName>
    <definedName name="TABLE_DESCRIPTION_1" localSheetId="24">'x-223'!$B$10</definedName>
    <definedName name="TABLE_DESCRIPTION_1" localSheetId="25">'x-301'!$B$10</definedName>
    <definedName name="TABLE_DESCRIPTION_1" localSheetId="26">'x-302'!$B$10</definedName>
    <definedName name="TABLE_DESCRIPTION_1" localSheetId="27">'x-303'!$B$10</definedName>
    <definedName name="TABLE_DESCRIPTION_1" localSheetId="28">'x-304'!$B$10</definedName>
    <definedName name="TABLE_DESCRIPTION_1" localSheetId="29">'x-305'!$B$10</definedName>
    <definedName name="TABLE_DESCRIPTION_1" localSheetId="30">'x-306'!$B$10</definedName>
    <definedName name="TABLE_DESCRIPTION_1" localSheetId="31">'x-307'!$B$10</definedName>
    <definedName name="TABLE_DESCRIPTION_1" localSheetId="32">'x-401'!$B$10</definedName>
    <definedName name="TABLE_DESCRIPTION_1" localSheetId="33">'x-402'!$B$10</definedName>
    <definedName name="TABLE_DESCRIPTION_1" localSheetId="34">'x-403'!$B$10</definedName>
    <definedName name="TABLE_DESCRIPTION_1" localSheetId="35">'x-404'!$B$10</definedName>
    <definedName name="TABLE_DESCRIPTION_1" localSheetId="36">'x-405'!$B$10</definedName>
    <definedName name="TABLE_DESCRIPTION_1" localSheetId="37">'x-406'!$B$10</definedName>
    <definedName name="TABLE_DESCRIPTION_1" localSheetId="38">'x-407'!$B$10</definedName>
    <definedName name="TABLE_DESCRIPTION_1" localSheetId="39">'x-408'!$B$10</definedName>
    <definedName name="TABLE_DESCRIPTION_1" localSheetId="40">'x-409'!$B$10</definedName>
    <definedName name="TABLE_DESCRIPTION_1" localSheetId="41">'x-410'!$B$10</definedName>
    <definedName name="TABLE_DESCRIPTION_1" localSheetId="42">'x-411'!$B$10</definedName>
    <definedName name="TABLE_DESCRIPTION_1" localSheetId="43">'x-412'!$B$10</definedName>
    <definedName name="TABLE_DESCRIPTION_1" localSheetId="44">'x-413'!$B$10</definedName>
    <definedName name="TABLE_DESCRIPTION_1" localSheetId="45">'x-414'!$B$10</definedName>
    <definedName name="TABLE_DESCRIPTION_1" localSheetId="46">'x-415'!$B$10</definedName>
    <definedName name="TABLE_DESCRIPTION_1" localSheetId="47">'x-416'!$B$10</definedName>
    <definedName name="TABLE_DESCRIPTION_1" localSheetId="48">'x-417'!$B$10</definedName>
    <definedName name="TABLE_DESCRIPTION_1" localSheetId="49">'x-418'!$B$10</definedName>
    <definedName name="TABLE_DESCRIPTION_1" localSheetId="50">'x-419'!$B$10</definedName>
    <definedName name="TABLE_DESCRIPTION_1" localSheetId="51">'x-420'!$B$10</definedName>
    <definedName name="TABLE_DESCRIPTION_1" localSheetId="52">'x-421'!$B$10</definedName>
    <definedName name="TABLE_DESCRIPTION_1" localSheetId="53">'x-501'!$B$10</definedName>
    <definedName name="TABLE_DESCRIPTION_1" localSheetId="54">'x-502'!$B$10</definedName>
    <definedName name="TABLE_DESCRIPTION_1" localSheetId="55">'x-503'!$B$10</definedName>
    <definedName name="TABLE_DESCRIPTION_1" localSheetId="56">'x-504'!$B$10</definedName>
    <definedName name="TABLE_DESCRIPTION_1" localSheetId="57">'x-505'!$B$10</definedName>
    <definedName name="TABLE_DESCRIPTION_1" localSheetId="58">'x-601'!$B$10</definedName>
    <definedName name="TABLE_DESCRIPTION_1" localSheetId="59">'x-602'!$B$10</definedName>
    <definedName name="TABLE_DESCRIPTION_1" localSheetId="60">'x-603'!$B$10</definedName>
    <definedName name="TABLE_DESCRIPTION_1" localSheetId="61">'x-604'!$B$10</definedName>
    <definedName name="TABLE_DESCRIPTION_1" localSheetId="62">'x-605'!$B$10</definedName>
    <definedName name="TABLE_DESCRIPTION_1" localSheetId="63">'x-606'!$B$10</definedName>
    <definedName name="TABLE_DESCRIPTION_1" localSheetId="64">'x-607'!$B$10</definedName>
    <definedName name="TABLE_DESCRIPTION_1" localSheetId="65">'x-608'!$B$10</definedName>
    <definedName name="TABLE_DESCRIPTION_1" localSheetId="66">'x-609'!$B$10</definedName>
    <definedName name="TABLE_DESCRIPTION_1" localSheetId="67">'x-610'!$B$10</definedName>
    <definedName name="TABLE_DESCRIPTION_1" localSheetId="68">'x-611'!$B$10</definedName>
    <definedName name="TABLE_DESCRIPTION_1" localSheetId="69">'x-612'!$B$10</definedName>
    <definedName name="TABLE_DESCRIPTION_1" localSheetId="70">'x-613'!$B$10</definedName>
    <definedName name="TABLE_DESCRIPTION_1" localSheetId="71">'x-614'!$B$10</definedName>
    <definedName name="TABLE_DESCRIPTION_1" localSheetId="72">'x-615'!$B$10</definedName>
    <definedName name="TABLE_DESCRIPTION_1" localSheetId="73">'x-616'!$B$10</definedName>
    <definedName name="TABLE_DESCRIPTION_1" localSheetId="74">'x-617'!$B$10</definedName>
    <definedName name="TABLE_DESCRIPTION_1" localSheetId="75">'x-701'!$B$10</definedName>
    <definedName name="TABLE_DESCRIPTION_1" localSheetId="76">'x-702'!$B$10</definedName>
    <definedName name="TABLE_DESCRIPTION_1" localSheetId="77">'x-703'!$B$10</definedName>
    <definedName name="TABLE_DESCRIPTION_1" localSheetId="78">'x-704'!$B$10</definedName>
    <definedName name="TABLE_DESCRIPTION_1" localSheetId="79">'x-705'!$B$10</definedName>
    <definedName name="TABLE_DESCRIPTION_1" localSheetId="80">'x-706'!$B$10</definedName>
    <definedName name="TABLE_DESCRIPTION_1" localSheetId="81">'x-707'!$B$10</definedName>
    <definedName name="TABLE_DESCRIPTION_1" localSheetId="82">'x-708'!$B$10</definedName>
    <definedName name="TABLE_DESCRIPTION_1" localSheetId="83">'x-709'!$B$10</definedName>
    <definedName name="TABLE_DESCRIPTION_1" localSheetId="84">'x-710'!$B$10</definedName>
    <definedName name="TABLE_DESCRIPTION_1" localSheetId="85">'x-711'!$B$10</definedName>
    <definedName name="TABLE_DESCRIPTION_1" localSheetId="86">'x-712'!$B$10</definedName>
    <definedName name="TABLE_DESCRIPTION_1" localSheetId="87">'x-713'!$B$10</definedName>
    <definedName name="TABLE_DESCRIPTION_1" localSheetId="88">'x-714'!$B$10</definedName>
    <definedName name="TABLE_DESCRIPTION_1" localSheetId="89">'x-715'!$B$10</definedName>
    <definedName name="TABLE_DESCRIPTION_1" localSheetId="90">'x-716'!$B$10</definedName>
    <definedName name="TABLE_DESCRIPTION_1" localSheetId="91">'x-717'!$B$10</definedName>
    <definedName name="TABLE_DESCRIPTION_1" localSheetId="92">'x-718'!$B$10</definedName>
    <definedName name="TABLE_DESCRIPTION_1" localSheetId="93">'x-719'!$B$10</definedName>
    <definedName name="TABLE_DESCRIPTION_1" localSheetId="94">'x-720'!$B$10</definedName>
    <definedName name="TABLE_DESCRIPTION_1" localSheetId="95">'x-721'!$B$10</definedName>
    <definedName name="TABLE_DESCRIPTION_1" localSheetId="96">'x-725'!$B$10</definedName>
    <definedName name="TABLE_DESCRIPTION_1" localSheetId="97">'x-726'!$B$10</definedName>
    <definedName name="TABLE_DESCRIPTION_1" localSheetId="98">'x-727'!$B$10</definedName>
    <definedName name="TABLE_DESCRIPTION_1" localSheetId="99">'x-728'!$B$10</definedName>
    <definedName name="TABLE_DESCRIPTION_1" localSheetId="100">'x-729'!$B$10</definedName>
    <definedName name="TABLE_DESCRIPTION_1" localSheetId="101">'x-730'!$B$10</definedName>
    <definedName name="TABLE_DESCRIPTION_1" localSheetId="102">'x-731'!$B$10</definedName>
    <definedName name="TABLE_DESCRIPTION_1" localSheetId="103">'x-732'!$B$10</definedName>
    <definedName name="TABLE_DESCRIPTION_1" localSheetId="104">'x-733'!$B$10</definedName>
    <definedName name="TABLE_DESCRIPTION_1" localSheetId="105">'x-734'!$B$10</definedName>
    <definedName name="TABLE_DESCRIPTION_1" localSheetId="106">'x-735'!$B$10</definedName>
    <definedName name="TABLE_DESCRIPTION_1" localSheetId="107">'x-736'!$B$10</definedName>
    <definedName name="TABLE_DESCRIPTION_1" localSheetId="108">'x-801'!$B$10</definedName>
    <definedName name="TABLE_DESCRIPTION_1" localSheetId="109">'x-802'!$B$10</definedName>
    <definedName name="TABLE_DESCRIPTION_1" localSheetId="110">'x-803'!$B$10</definedName>
    <definedName name="TABLE_DESCRIPTION_1" localSheetId="111">'x-804'!$B$10</definedName>
    <definedName name="TABLE_DESCRIPTION_1" localSheetId="112">'x-805'!$B$10</definedName>
    <definedName name="TABLE_DESCRIPTION_1" localSheetId="113">'x-806'!$B$10</definedName>
    <definedName name="TABLE_DESCRIPTION_1" localSheetId="114">'x-807'!$B$10</definedName>
    <definedName name="TABLE_DESCRIPTION_1" localSheetId="115">'x-808'!$B$10</definedName>
    <definedName name="TABLE_DESCRIPTION_1" localSheetId="116">'x-810'!$B$10</definedName>
    <definedName name="TABLE_DESCRIPTION_1" localSheetId="117">'x-811'!$B$10</definedName>
    <definedName name="TABLE_DESCRIPTION_1" localSheetId="118">'x-812'!$B$10</definedName>
    <definedName name="TABLE_DESCRIPTION_1" localSheetId="119">'x-813'!$B$10</definedName>
    <definedName name="TABLE_DESCRIPTION_1" localSheetId="120">'x-814'!$B$10</definedName>
    <definedName name="TABLE_DESCRIPTION_1" localSheetId="121">'x-815'!$B$10</definedName>
    <definedName name="TABLE_DESCRIPTION_1" localSheetId="122">'x-816'!$B$10</definedName>
    <definedName name="TABLE_DESCRIPTION_2" localSheetId="29">'x-305'!$I$10</definedName>
    <definedName name="TABLE_DESCRIPTION_2" localSheetId="40">'x-409'!$K$10</definedName>
    <definedName name="TABLE_DESCRIPTION_2" localSheetId="44">'x-413'!$K$10</definedName>
    <definedName name="TABLE_DESCRIPTION_2" localSheetId="64">'x-607'!$G$10</definedName>
    <definedName name="TABLE_DESCRIPTION_2" localSheetId="101">'x-730'!$Q$10</definedName>
    <definedName name="TABLE_DESCRIPTION_2" localSheetId="104">'x-733'!$P$10</definedName>
    <definedName name="TABLE_DESCRIPTION_3" localSheetId="101">'x-730'!$AF$10</definedName>
    <definedName name="TABLE_DESCRIPTION_3" localSheetId="104">'x-733'!$AE$10</definedName>
    <definedName name="TABLE_DESCRIPTION_4" localSheetId="101">'x-730'!$AU$10</definedName>
    <definedName name="TABLE_DESCRIPTION_4" localSheetId="104">'x-733'!$AT$10</definedName>
    <definedName name="TABLE_FACTOR_STATUS_1" localSheetId="8">'x-201'!$B$20</definedName>
    <definedName name="TABLE_FACTOR_STATUS_1" localSheetId="9">'x-202'!$B$20</definedName>
    <definedName name="TABLE_FACTOR_STATUS_1" localSheetId="10">'x-203'!$B$20</definedName>
    <definedName name="TABLE_FACTOR_STATUS_1" localSheetId="11">'x-204'!$B$20</definedName>
    <definedName name="TABLE_FACTOR_STATUS_1" localSheetId="12">'x-205'!$B$20</definedName>
    <definedName name="TABLE_FACTOR_STATUS_1" localSheetId="13">'x-207'!$B$20</definedName>
    <definedName name="TABLE_FACTOR_STATUS_1" localSheetId="14">'x-208'!$B$20</definedName>
    <definedName name="TABLE_FACTOR_STATUS_1" localSheetId="15">'x-209'!$B$20</definedName>
    <definedName name="TABLE_FACTOR_STATUS_1" localSheetId="16">'x-211'!$B$20</definedName>
    <definedName name="TABLE_FACTOR_STATUS_1" localSheetId="17">'x-212'!$B$20</definedName>
    <definedName name="TABLE_FACTOR_STATUS_1" localSheetId="18">'x-213'!$B$20</definedName>
    <definedName name="TABLE_FACTOR_STATUS_1" localSheetId="19">'x-214'!$B$20</definedName>
    <definedName name="TABLE_FACTOR_STATUS_1" localSheetId="20">'x-215'!$B$20</definedName>
    <definedName name="TABLE_FACTOR_STATUS_1" localSheetId="21">'x-216'!$B$20</definedName>
    <definedName name="TABLE_FACTOR_STATUS_1" localSheetId="22">'x-217'!$B$20</definedName>
    <definedName name="TABLE_FACTOR_STATUS_1" localSheetId="23">'x-218'!$B$20</definedName>
    <definedName name="TABLE_FACTOR_STATUS_1" localSheetId="24">'x-223'!$B$20</definedName>
    <definedName name="TABLE_FACTOR_STATUS_1" localSheetId="25">'x-301'!$B$20</definedName>
    <definedName name="TABLE_FACTOR_STATUS_1" localSheetId="26">'x-302'!$B$20</definedName>
    <definedName name="TABLE_FACTOR_STATUS_1" localSheetId="27">'x-303'!$B$20</definedName>
    <definedName name="TABLE_FACTOR_STATUS_1" localSheetId="28">'x-304'!$B$20</definedName>
    <definedName name="TABLE_FACTOR_STATUS_1" localSheetId="29">'x-305'!$B$20</definedName>
    <definedName name="TABLE_FACTOR_STATUS_1" localSheetId="30">'x-306'!$B$20</definedName>
    <definedName name="TABLE_FACTOR_STATUS_1" localSheetId="31">'x-307'!$B$20</definedName>
    <definedName name="TABLE_FACTOR_STATUS_1" localSheetId="32">'x-401'!$B$20</definedName>
    <definedName name="TABLE_FACTOR_STATUS_1" localSheetId="33">'x-402'!$B$20</definedName>
    <definedName name="TABLE_FACTOR_STATUS_1" localSheetId="34">'x-403'!$B$20</definedName>
    <definedName name="TABLE_FACTOR_STATUS_1" localSheetId="35">'x-404'!$B$20</definedName>
    <definedName name="TABLE_FACTOR_STATUS_1" localSheetId="36">'x-405'!$B$20</definedName>
    <definedName name="TABLE_FACTOR_STATUS_1" localSheetId="37">'x-406'!$B$20</definedName>
    <definedName name="TABLE_FACTOR_STATUS_1" localSheetId="38">'x-407'!$B$20</definedName>
    <definedName name="TABLE_FACTOR_STATUS_1" localSheetId="39">'x-408'!$B$20</definedName>
    <definedName name="TABLE_FACTOR_STATUS_1" localSheetId="40">'x-409'!$B$20</definedName>
    <definedName name="TABLE_FACTOR_STATUS_1" localSheetId="41">'x-410'!$B$20</definedName>
    <definedName name="TABLE_FACTOR_STATUS_1" localSheetId="42">'x-411'!$B$20</definedName>
    <definedName name="TABLE_FACTOR_STATUS_1" localSheetId="43">'x-412'!$B$20</definedName>
    <definedName name="TABLE_FACTOR_STATUS_1" localSheetId="44">'x-413'!$B$20</definedName>
    <definedName name="TABLE_FACTOR_STATUS_1" localSheetId="45">'x-414'!$B$20</definedName>
    <definedName name="TABLE_FACTOR_STATUS_1" localSheetId="46">'x-415'!$B$20</definedName>
    <definedName name="TABLE_FACTOR_STATUS_1" localSheetId="47">'x-416'!$B$20</definedName>
    <definedName name="TABLE_FACTOR_STATUS_1" localSheetId="48">'x-417'!$B$20</definedName>
    <definedName name="TABLE_FACTOR_STATUS_1" localSheetId="49">'x-418'!$B$20</definedName>
    <definedName name="TABLE_FACTOR_STATUS_1" localSheetId="50">'x-419'!$B$20</definedName>
    <definedName name="TABLE_FACTOR_STATUS_1" localSheetId="51">'x-420'!$B$20</definedName>
    <definedName name="TABLE_FACTOR_STATUS_1" localSheetId="52">'x-421'!$B$20</definedName>
    <definedName name="TABLE_FACTOR_STATUS_1" localSheetId="53">'x-501'!$B$20</definedName>
    <definedName name="TABLE_FACTOR_STATUS_1" localSheetId="54">'x-502'!$B$20</definedName>
    <definedName name="TABLE_FACTOR_STATUS_1" localSheetId="55">'x-503'!$B$20</definedName>
    <definedName name="TABLE_FACTOR_STATUS_1" localSheetId="56">'x-504'!$B$20</definedName>
    <definedName name="TABLE_FACTOR_STATUS_1" localSheetId="57">'x-505'!$B$20</definedName>
    <definedName name="TABLE_FACTOR_STATUS_1" localSheetId="58">'x-601'!$B$20</definedName>
    <definedName name="TABLE_FACTOR_STATUS_1" localSheetId="59">'x-602'!$B$20</definedName>
    <definedName name="TABLE_FACTOR_STATUS_1" localSheetId="60">'x-603'!$B$20</definedName>
    <definedName name="TABLE_FACTOR_STATUS_1" localSheetId="61">'x-604'!$B$20</definedName>
    <definedName name="TABLE_FACTOR_STATUS_1" localSheetId="62">'x-605'!$B$20</definedName>
    <definedName name="TABLE_FACTOR_STATUS_1" localSheetId="63">'x-606'!$B$20</definedName>
    <definedName name="TABLE_FACTOR_STATUS_1" localSheetId="64">'x-607'!$B$20</definedName>
    <definedName name="TABLE_FACTOR_STATUS_1" localSheetId="65">'x-608'!$B$20</definedName>
    <definedName name="TABLE_FACTOR_STATUS_1" localSheetId="66">'x-609'!$B$20</definedName>
    <definedName name="TABLE_FACTOR_STATUS_1" localSheetId="67">'x-610'!$B$20</definedName>
    <definedName name="TABLE_FACTOR_STATUS_1" localSheetId="68">'x-611'!$B$20</definedName>
    <definedName name="TABLE_FACTOR_STATUS_1" localSheetId="69">'x-612'!$B$20</definedName>
    <definedName name="TABLE_FACTOR_STATUS_1" localSheetId="70">'x-613'!$B$20</definedName>
    <definedName name="TABLE_FACTOR_STATUS_1" localSheetId="71">'x-614'!$B$20</definedName>
    <definedName name="TABLE_FACTOR_STATUS_1" localSheetId="72">'x-615'!$B$20</definedName>
    <definedName name="TABLE_FACTOR_STATUS_1" localSheetId="73">'x-616'!$B$20</definedName>
    <definedName name="TABLE_FACTOR_STATUS_1" localSheetId="74">'x-617'!$B$20</definedName>
    <definedName name="TABLE_FACTOR_STATUS_1" localSheetId="75">'x-701'!$B$20</definedName>
    <definedName name="TABLE_FACTOR_STATUS_1" localSheetId="76">'x-702'!$B$20</definedName>
    <definedName name="TABLE_FACTOR_STATUS_1" localSheetId="77">'x-703'!$B$20</definedName>
    <definedName name="TABLE_FACTOR_STATUS_1" localSheetId="78">'x-704'!$B$20</definedName>
    <definedName name="TABLE_FACTOR_STATUS_1" localSheetId="79">'x-705'!$B$20</definedName>
    <definedName name="TABLE_FACTOR_STATUS_1" localSheetId="80">'x-706'!$B$20</definedName>
    <definedName name="TABLE_FACTOR_STATUS_1" localSheetId="81">'x-707'!$B$20</definedName>
    <definedName name="TABLE_FACTOR_STATUS_1" localSheetId="82">'x-708'!$B$20</definedName>
    <definedName name="TABLE_FACTOR_STATUS_1" localSheetId="83">'x-709'!$B$20</definedName>
    <definedName name="TABLE_FACTOR_STATUS_1" localSheetId="84">'x-710'!$B$20</definedName>
    <definedName name="TABLE_FACTOR_STATUS_1" localSheetId="85">'x-711'!$B$20</definedName>
    <definedName name="TABLE_FACTOR_STATUS_1" localSheetId="86">'x-712'!$B$20</definedName>
    <definedName name="TABLE_FACTOR_STATUS_1" localSheetId="87">'x-713'!$B$20</definedName>
    <definedName name="TABLE_FACTOR_STATUS_1" localSheetId="88">'x-714'!$B$20</definedName>
    <definedName name="TABLE_FACTOR_STATUS_1" localSheetId="89">'x-715'!$B$20</definedName>
    <definedName name="TABLE_FACTOR_STATUS_1" localSheetId="90">'x-716'!$B$20</definedName>
    <definedName name="TABLE_FACTOR_STATUS_1" localSheetId="91">'x-717'!$B$20</definedName>
    <definedName name="TABLE_FACTOR_STATUS_1" localSheetId="92">'x-718'!$B$20</definedName>
    <definedName name="TABLE_FACTOR_STATUS_1" localSheetId="93">'x-719'!$B$20</definedName>
    <definedName name="TABLE_FACTOR_STATUS_1" localSheetId="94">'x-720'!$B$20</definedName>
    <definedName name="TABLE_FACTOR_STATUS_1" localSheetId="95">'x-721'!$B$20</definedName>
    <definedName name="TABLE_FACTOR_STATUS_1" localSheetId="96">'x-725'!$B$20</definedName>
    <definedName name="TABLE_FACTOR_STATUS_1" localSheetId="97">'x-726'!$B$20</definedName>
    <definedName name="TABLE_FACTOR_STATUS_1" localSheetId="98">'x-727'!$B$20</definedName>
    <definedName name="TABLE_FACTOR_STATUS_1" localSheetId="99">'x-728'!$B$20</definedName>
    <definedName name="TABLE_FACTOR_STATUS_1" localSheetId="100">'x-729'!$B$20</definedName>
    <definedName name="TABLE_FACTOR_STATUS_1" localSheetId="101">'x-730'!$B$20</definedName>
    <definedName name="TABLE_FACTOR_STATUS_1" localSheetId="102">'x-731'!$B$20</definedName>
    <definedName name="TABLE_FACTOR_STATUS_1" localSheetId="103">'x-732'!$B$20</definedName>
    <definedName name="TABLE_FACTOR_STATUS_1" localSheetId="104">'x-733'!$B$20</definedName>
    <definedName name="TABLE_FACTOR_STATUS_1" localSheetId="105">'x-734'!$B$20</definedName>
    <definedName name="TABLE_FACTOR_STATUS_1" localSheetId="106">'x-735'!$B$20</definedName>
    <definedName name="TABLE_FACTOR_STATUS_1" localSheetId="107">'x-736'!$B$20</definedName>
    <definedName name="TABLE_FACTOR_STATUS_1" localSheetId="108">'x-801'!$B$20</definedName>
    <definedName name="TABLE_FACTOR_STATUS_1" localSheetId="109">'x-802'!$B$20</definedName>
    <definedName name="TABLE_FACTOR_STATUS_1" localSheetId="110">'x-803'!$B$20</definedName>
    <definedName name="TABLE_FACTOR_STATUS_1" localSheetId="111">'x-804'!$B$20</definedName>
    <definedName name="TABLE_FACTOR_STATUS_1" localSheetId="112">'x-805'!$B$20</definedName>
    <definedName name="TABLE_FACTOR_STATUS_1" localSheetId="113">'x-806'!$B$20</definedName>
    <definedName name="TABLE_FACTOR_STATUS_1" localSheetId="114">'x-807'!$B$20</definedName>
    <definedName name="TABLE_FACTOR_STATUS_1" localSheetId="115">'x-808'!$B$20</definedName>
    <definedName name="TABLE_FACTOR_STATUS_1" localSheetId="116">'x-810'!$B$20</definedName>
    <definedName name="TABLE_FACTOR_STATUS_1" localSheetId="117">'x-811'!$B$20</definedName>
    <definedName name="TABLE_FACTOR_STATUS_1" localSheetId="118">'x-812'!$B$20</definedName>
    <definedName name="TABLE_FACTOR_STATUS_1" localSheetId="119">'x-813'!$B$20</definedName>
    <definedName name="TABLE_FACTOR_STATUS_1" localSheetId="120">'x-814'!$B$20</definedName>
    <definedName name="TABLE_FACTOR_STATUS_1" localSheetId="121">'x-815'!$B$20</definedName>
    <definedName name="TABLE_FACTOR_STATUS_1" localSheetId="122">'x-816'!$B$20</definedName>
    <definedName name="TABLE_FACTOR_STATUS_2" localSheetId="29">'x-305'!$I$20</definedName>
    <definedName name="TABLE_FACTOR_STATUS_2" localSheetId="40">'x-409'!$K$20</definedName>
    <definedName name="TABLE_FACTOR_STATUS_2" localSheetId="44">'x-413'!$K$20</definedName>
    <definedName name="TABLE_FACTOR_STATUS_2" localSheetId="64">'x-607'!$G$20</definedName>
    <definedName name="TABLE_FACTOR_STATUS_2" localSheetId="101">'x-730'!$Q$20</definedName>
    <definedName name="TABLE_FACTOR_STATUS_2" localSheetId="104">'x-733'!$P$20</definedName>
    <definedName name="TABLE_FACTOR_STATUS_3" localSheetId="101">'x-730'!$AF$20</definedName>
    <definedName name="TABLE_FACTOR_STATUS_3" localSheetId="104">'x-733'!$AE$20</definedName>
    <definedName name="TABLE_FACTOR_STATUS_4" localSheetId="101">'x-730'!$AU$20</definedName>
    <definedName name="TABLE_FACTOR_STATUS_4" localSheetId="104">'x-733'!$AT$20</definedName>
    <definedName name="TABLE_FACTOR_TYPE_1" localSheetId="8">'x-201'!$B$9</definedName>
    <definedName name="TABLE_FACTOR_TYPE_1" localSheetId="9">'x-202'!$B$9</definedName>
    <definedName name="TABLE_FACTOR_TYPE_1" localSheetId="10">'x-203'!$B$9</definedName>
    <definedName name="TABLE_FACTOR_TYPE_1" localSheetId="11">'x-204'!$B$9</definedName>
    <definedName name="TABLE_FACTOR_TYPE_1" localSheetId="12">'x-205'!$B$9</definedName>
    <definedName name="TABLE_FACTOR_TYPE_1" localSheetId="13">'x-207'!$B$9</definedName>
    <definedName name="TABLE_FACTOR_TYPE_1" localSheetId="14">'x-208'!$B$9</definedName>
    <definedName name="TABLE_FACTOR_TYPE_1" localSheetId="15">'x-209'!$B$9</definedName>
    <definedName name="TABLE_FACTOR_TYPE_1" localSheetId="16">'x-211'!$B$9</definedName>
    <definedName name="TABLE_FACTOR_TYPE_1" localSheetId="17">'x-212'!$B$9</definedName>
    <definedName name="TABLE_FACTOR_TYPE_1" localSheetId="18">'x-213'!$B$9</definedName>
    <definedName name="TABLE_FACTOR_TYPE_1" localSheetId="19">'x-214'!$B$9</definedName>
    <definedName name="TABLE_FACTOR_TYPE_1" localSheetId="20">'x-215'!$B$9</definedName>
    <definedName name="TABLE_FACTOR_TYPE_1" localSheetId="21">'x-216'!$B$9</definedName>
    <definedName name="TABLE_FACTOR_TYPE_1" localSheetId="22">'x-217'!$B$9</definedName>
    <definedName name="TABLE_FACTOR_TYPE_1" localSheetId="23">'x-218'!$B$9</definedName>
    <definedName name="TABLE_FACTOR_TYPE_1" localSheetId="24">'x-223'!$B$9</definedName>
    <definedName name="TABLE_FACTOR_TYPE_1" localSheetId="25">'x-301'!$B$9</definedName>
    <definedName name="TABLE_FACTOR_TYPE_1" localSheetId="26">'x-302'!$B$9</definedName>
    <definedName name="TABLE_FACTOR_TYPE_1" localSheetId="27">'x-303'!$B$9</definedName>
    <definedName name="TABLE_FACTOR_TYPE_1" localSheetId="28">'x-304'!$B$9</definedName>
    <definedName name="TABLE_FACTOR_TYPE_1" localSheetId="29">'x-305'!$B$9</definedName>
    <definedName name="TABLE_FACTOR_TYPE_1" localSheetId="30">'x-306'!$B$9</definedName>
    <definedName name="TABLE_FACTOR_TYPE_1" localSheetId="31">'x-307'!$B$9</definedName>
    <definedName name="TABLE_FACTOR_TYPE_1" localSheetId="32">'x-401'!$B$9</definedName>
    <definedName name="TABLE_FACTOR_TYPE_1" localSheetId="33">'x-402'!$B$9</definedName>
    <definedName name="TABLE_FACTOR_TYPE_1" localSheetId="34">'x-403'!$B$9</definedName>
    <definedName name="TABLE_FACTOR_TYPE_1" localSheetId="35">'x-404'!$B$9</definedName>
    <definedName name="TABLE_FACTOR_TYPE_1" localSheetId="36">'x-405'!$B$9</definedName>
    <definedName name="TABLE_FACTOR_TYPE_1" localSheetId="37">'x-406'!$B$9</definedName>
    <definedName name="TABLE_FACTOR_TYPE_1" localSheetId="38">'x-407'!$B$9</definedName>
    <definedName name="TABLE_FACTOR_TYPE_1" localSheetId="39">'x-408'!$B$9</definedName>
    <definedName name="TABLE_FACTOR_TYPE_1" localSheetId="40">'x-409'!$B$9</definedName>
    <definedName name="TABLE_FACTOR_TYPE_1" localSheetId="41">'x-410'!$B$9</definedName>
    <definedName name="TABLE_FACTOR_TYPE_1" localSheetId="42">'x-411'!$B$9</definedName>
    <definedName name="TABLE_FACTOR_TYPE_1" localSheetId="43">'x-412'!$B$9</definedName>
    <definedName name="TABLE_FACTOR_TYPE_1" localSheetId="44">'x-413'!$B$9</definedName>
    <definedName name="TABLE_FACTOR_TYPE_1" localSheetId="45">'x-414'!$B$9</definedName>
    <definedName name="TABLE_FACTOR_TYPE_1" localSheetId="46">'x-415'!$B$9</definedName>
    <definedName name="TABLE_FACTOR_TYPE_1" localSheetId="47">'x-416'!$B$9</definedName>
    <definedName name="TABLE_FACTOR_TYPE_1" localSheetId="48">'x-417'!$B$9</definedName>
    <definedName name="TABLE_FACTOR_TYPE_1" localSheetId="49">'x-418'!$B$9</definedName>
    <definedName name="TABLE_FACTOR_TYPE_1" localSheetId="50">'x-419'!$B$9</definedName>
    <definedName name="TABLE_FACTOR_TYPE_1" localSheetId="51">'x-420'!$B$9</definedName>
    <definedName name="TABLE_FACTOR_TYPE_1" localSheetId="52">'x-421'!$B$9</definedName>
    <definedName name="TABLE_FACTOR_TYPE_1" localSheetId="53">'x-501'!$B$9</definedName>
    <definedName name="TABLE_FACTOR_TYPE_1" localSheetId="54">'x-502'!$B$9</definedName>
    <definedName name="TABLE_FACTOR_TYPE_1" localSheetId="55">'x-503'!$B$9</definedName>
    <definedName name="TABLE_FACTOR_TYPE_1" localSheetId="56">'x-504'!$B$9</definedName>
    <definedName name="TABLE_FACTOR_TYPE_1" localSheetId="57">'x-505'!$B$9</definedName>
    <definedName name="TABLE_FACTOR_TYPE_1" localSheetId="58">'x-601'!$B$9</definedName>
    <definedName name="TABLE_FACTOR_TYPE_1" localSheetId="59">'x-602'!$B$9</definedName>
    <definedName name="TABLE_FACTOR_TYPE_1" localSheetId="60">'x-603'!$B$9</definedName>
    <definedName name="TABLE_FACTOR_TYPE_1" localSheetId="61">'x-604'!$B$9</definedName>
    <definedName name="TABLE_FACTOR_TYPE_1" localSheetId="62">'x-605'!$B$9</definedName>
    <definedName name="TABLE_FACTOR_TYPE_1" localSheetId="63">'x-606'!$B$9</definedName>
    <definedName name="TABLE_FACTOR_TYPE_1" localSheetId="64">'x-607'!$B$9</definedName>
    <definedName name="TABLE_FACTOR_TYPE_1" localSheetId="65">'x-608'!$B$9</definedName>
    <definedName name="TABLE_FACTOR_TYPE_1" localSheetId="66">'x-609'!$B$9</definedName>
    <definedName name="TABLE_FACTOR_TYPE_1" localSheetId="67">'x-610'!$B$9</definedName>
    <definedName name="TABLE_FACTOR_TYPE_1" localSheetId="68">'x-611'!$B$9</definedName>
    <definedName name="TABLE_FACTOR_TYPE_1" localSheetId="69">'x-612'!$B$9</definedName>
    <definedName name="TABLE_FACTOR_TYPE_1" localSheetId="70">'x-613'!$B$9</definedName>
    <definedName name="TABLE_FACTOR_TYPE_1" localSheetId="71">'x-614'!$B$9</definedName>
    <definedName name="TABLE_FACTOR_TYPE_1" localSheetId="72">'x-615'!$B$9</definedName>
    <definedName name="TABLE_FACTOR_TYPE_1" localSheetId="73">'x-616'!$B$9</definedName>
    <definedName name="TABLE_FACTOR_TYPE_1" localSheetId="74">'x-617'!$B$9</definedName>
    <definedName name="TABLE_FACTOR_TYPE_1" localSheetId="75">'x-701'!$B$9</definedName>
    <definedName name="TABLE_FACTOR_TYPE_1" localSheetId="76">'x-702'!$B$9</definedName>
    <definedName name="TABLE_FACTOR_TYPE_1" localSheetId="77">'x-703'!$B$9</definedName>
    <definedName name="TABLE_FACTOR_TYPE_1" localSheetId="78">'x-704'!$B$9</definedName>
    <definedName name="TABLE_FACTOR_TYPE_1" localSheetId="79">'x-705'!$B$9</definedName>
    <definedName name="TABLE_FACTOR_TYPE_1" localSheetId="80">'x-706'!$B$9</definedName>
    <definedName name="TABLE_FACTOR_TYPE_1" localSheetId="81">'x-707'!$B$9</definedName>
    <definedName name="TABLE_FACTOR_TYPE_1" localSheetId="82">'x-708'!$B$9</definedName>
    <definedName name="TABLE_FACTOR_TYPE_1" localSheetId="83">'x-709'!$B$9</definedName>
    <definedName name="TABLE_FACTOR_TYPE_1" localSheetId="84">'x-710'!$B$9</definedName>
    <definedName name="TABLE_FACTOR_TYPE_1" localSheetId="85">'x-711'!$B$9</definedName>
    <definedName name="TABLE_FACTOR_TYPE_1" localSheetId="86">'x-712'!$B$9</definedName>
    <definedName name="TABLE_FACTOR_TYPE_1" localSheetId="87">'x-713'!$B$9</definedName>
    <definedName name="TABLE_FACTOR_TYPE_1" localSheetId="88">'x-714'!$B$9</definedName>
    <definedName name="TABLE_FACTOR_TYPE_1" localSheetId="89">'x-715'!$B$9</definedName>
    <definedName name="TABLE_FACTOR_TYPE_1" localSheetId="90">'x-716'!$B$9</definedName>
    <definedName name="TABLE_FACTOR_TYPE_1" localSheetId="91">'x-717'!$B$9</definedName>
    <definedName name="TABLE_FACTOR_TYPE_1" localSheetId="92">'x-718'!$B$9</definedName>
    <definedName name="TABLE_FACTOR_TYPE_1" localSheetId="93">'x-719'!$B$9</definedName>
    <definedName name="TABLE_FACTOR_TYPE_1" localSheetId="94">'x-720'!$B$9</definedName>
    <definedName name="TABLE_FACTOR_TYPE_1" localSheetId="95">'x-721'!$B$9</definedName>
    <definedName name="TABLE_FACTOR_TYPE_1" localSheetId="96">'x-725'!$B$9</definedName>
    <definedName name="TABLE_FACTOR_TYPE_1" localSheetId="97">'x-726'!$B$9</definedName>
    <definedName name="TABLE_FACTOR_TYPE_1" localSheetId="98">'x-727'!$B$9</definedName>
    <definedName name="TABLE_FACTOR_TYPE_1" localSheetId="99">'x-728'!$B$9</definedName>
    <definedName name="TABLE_FACTOR_TYPE_1" localSheetId="100">'x-729'!$B$9</definedName>
    <definedName name="TABLE_FACTOR_TYPE_1" localSheetId="101">'x-730'!$B$9</definedName>
    <definedName name="TABLE_FACTOR_TYPE_1" localSheetId="102">'x-731'!$B$9</definedName>
    <definedName name="TABLE_FACTOR_TYPE_1" localSheetId="103">'x-732'!$B$9</definedName>
    <definedName name="TABLE_FACTOR_TYPE_1" localSheetId="104">'x-733'!$B$9</definedName>
    <definedName name="TABLE_FACTOR_TYPE_1" localSheetId="105">'x-734'!$B$9</definedName>
    <definedName name="TABLE_FACTOR_TYPE_1" localSheetId="106">'x-735'!$B$9</definedName>
    <definedName name="TABLE_FACTOR_TYPE_1" localSheetId="107">'x-736'!$B$9</definedName>
    <definedName name="TABLE_FACTOR_TYPE_1" localSheetId="108">'x-801'!$B$9</definedName>
    <definedName name="TABLE_FACTOR_TYPE_1" localSheetId="109">'x-802'!$B$9</definedName>
    <definedName name="TABLE_FACTOR_TYPE_1" localSheetId="110">'x-803'!$B$9</definedName>
    <definedName name="TABLE_FACTOR_TYPE_1" localSheetId="111">'x-804'!$B$9</definedName>
    <definedName name="TABLE_FACTOR_TYPE_1" localSheetId="112">'x-805'!$B$9</definedName>
    <definedName name="TABLE_FACTOR_TYPE_1" localSheetId="113">'x-806'!$B$9</definedName>
    <definedName name="TABLE_FACTOR_TYPE_1" localSheetId="114">'x-807'!$B$9</definedName>
    <definedName name="TABLE_FACTOR_TYPE_1" localSheetId="115">'x-808'!$B$9</definedName>
    <definedName name="TABLE_FACTOR_TYPE_1" localSheetId="116">'x-810'!$B$9</definedName>
    <definedName name="TABLE_FACTOR_TYPE_1" localSheetId="117">'x-811'!$B$9</definedName>
    <definedName name="TABLE_FACTOR_TYPE_1" localSheetId="118">'x-812'!$B$9</definedName>
    <definedName name="TABLE_FACTOR_TYPE_1" localSheetId="119">'x-813'!$B$9</definedName>
    <definedName name="TABLE_FACTOR_TYPE_1" localSheetId="120">'x-814'!$B$9</definedName>
    <definedName name="TABLE_FACTOR_TYPE_1" localSheetId="121">'x-815'!$B$9</definedName>
    <definedName name="TABLE_FACTOR_TYPE_1" localSheetId="122">'x-816'!$B$9</definedName>
    <definedName name="TABLE_FACTOR_TYPE_2" localSheetId="29">'x-305'!$I$9</definedName>
    <definedName name="TABLE_FACTOR_TYPE_2" localSheetId="40">'x-409'!$K$9</definedName>
    <definedName name="TABLE_FACTOR_TYPE_2" localSheetId="44">'x-413'!$K$9</definedName>
    <definedName name="TABLE_FACTOR_TYPE_2" localSheetId="64">'x-607'!$G$9</definedName>
    <definedName name="TABLE_FACTOR_TYPE_2" localSheetId="101">'x-730'!$Q$9</definedName>
    <definedName name="TABLE_FACTOR_TYPE_2" localSheetId="104">'x-733'!$P$9</definedName>
    <definedName name="TABLE_FACTOR_TYPE_3" localSheetId="101">'x-730'!$AF$9</definedName>
    <definedName name="TABLE_FACTOR_TYPE_3" localSheetId="104">'x-733'!$AE$9</definedName>
    <definedName name="TABLE_FACTOR_TYPE_4" localSheetId="101">'x-730'!$AU$9</definedName>
    <definedName name="TABLE_FACTOR_TYPE_4" localSheetId="104">'x-733'!$AT$9</definedName>
    <definedName name="TABLE_GENDER_1" localSheetId="8">'x-201'!$B$11</definedName>
    <definedName name="TABLE_GENDER_1" localSheetId="9">'x-202'!$B$11</definedName>
    <definedName name="TABLE_GENDER_1" localSheetId="10">'x-203'!$B$11</definedName>
    <definedName name="TABLE_GENDER_1" localSheetId="11">'x-204'!$B$11</definedName>
    <definedName name="TABLE_GENDER_1" localSheetId="12">'x-205'!$B$11</definedName>
    <definedName name="TABLE_GENDER_1" localSheetId="13">'x-207'!$B$11</definedName>
    <definedName name="TABLE_GENDER_1" localSheetId="14">'x-208'!$B$11</definedName>
    <definedName name="TABLE_GENDER_1" localSheetId="15">'x-209'!$B$11</definedName>
    <definedName name="TABLE_GENDER_1" localSheetId="16">'x-211'!$B$11</definedName>
    <definedName name="TABLE_GENDER_1" localSheetId="17">'x-212'!$B$11</definedName>
    <definedName name="TABLE_GENDER_1" localSheetId="18">'x-213'!$B$11</definedName>
    <definedName name="TABLE_GENDER_1" localSheetId="19">'x-214'!$B$11</definedName>
    <definedName name="TABLE_GENDER_1" localSheetId="20">'x-215'!$B$11</definedName>
    <definedName name="TABLE_GENDER_1" localSheetId="21">'x-216'!$B$11</definedName>
    <definedName name="TABLE_GENDER_1" localSheetId="22">'x-217'!$B$11</definedName>
    <definedName name="TABLE_GENDER_1" localSheetId="23">'x-218'!$B$11</definedName>
    <definedName name="TABLE_GENDER_1" localSheetId="24">'x-223'!$B$11</definedName>
    <definedName name="TABLE_GENDER_1" localSheetId="25">'x-301'!$B$11</definedName>
    <definedName name="TABLE_GENDER_1" localSheetId="26">'x-302'!$B$11</definedName>
    <definedName name="TABLE_GENDER_1" localSheetId="27">'x-303'!$B$11</definedName>
    <definedName name="TABLE_GENDER_1" localSheetId="28">'x-304'!$B$11</definedName>
    <definedName name="TABLE_GENDER_1" localSheetId="29">'x-305'!$B$11</definedName>
    <definedName name="TABLE_GENDER_1" localSheetId="30">'x-306'!$B$11</definedName>
    <definedName name="TABLE_GENDER_1" localSheetId="31">'x-307'!$B$11</definedName>
    <definedName name="TABLE_GENDER_1" localSheetId="32">'x-401'!$B$11</definedName>
    <definedName name="TABLE_GENDER_1" localSheetId="33">'x-402'!$B$11</definedName>
    <definedName name="TABLE_GENDER_1" localSheetId="34">'x-403'!$B$11</definedName>
    <definedName name="TABLE_GENDER_1" localSheetId="35">'x-404'!$B$11</definedName>
    <definedName name="TABLE_GENDER_1" localSheetId="36">'x-405'!$B$11</definedName>
    <definedName name="TABLE_GENDER_1" localSheetId="37">'x-406'!$B$11</definedName>
    <definedName name="TABLE_GENDER_1" localSheetId="38">'x-407'!$B$11</definedName>
    <definedName name="TABLE_GENDER_1" localSheetId="39">'x-408'!$B$11</definedName>
    <definedName name="TABLE_GENDER_1" localSheetId="40">'x-409'!$B$11</definedName>
    <definedName name="TABLE_GENDER_1" localSheetId="41">'x-410'!$B$11</definedName>
    <definedName name="TABLE_GENDER_1" localSheetId="42">'x-411'!$B$11</definedName>
    <definedName name="TABLE_GENDER_1" localSheetId="43">'x-412'!$B$11</definedName>
    <definedName name="TABLE_GENDER_1" localSheetId="44">'x-413'!$B$11</definedName>
    <definedName name="TABLE_GENDER_1" localSheetId="45">'x-414'!$B$11</definedName>
    <definedName name="TABLE_GENDER_1" localSheetId="46">'x-415'!$B$11</definedName>
    <definedName name="TABLE_GENDER_1" localSheetId="47">'x-416'!$B$11</definedName>
    <definedName name="TABLE_GENDER_1" localSheetId="48">'x-417'!$B$11</definedName>
    <definedName name="TABLE_GENDER_1" localSheetId="49">'x-418'!$B$11</definedName>
    <definedName name="TABLE_GENDER_1" localSheetId="50">'x-419'!$B$11</definedName>
    <definedName name="TABLE_GENDER_1" localSheetId="51">'x-420'!$B$11</definedName>
    <definedName name="TABLE_GENDER_1" localSheetId="52">'x-421'!$B$11</definedName>
    <definedName name="TABLE_GENDER_1" localSheetId="53">'x-501'!$B$11</definedName>
    <definedName name="TABLE_GENDER_1" localSheetId="54">'x-502'!$B$11</definedName>
    <definedName name="TABLE_GENDER_1" localSheetId="55">'x-503'!$B$11</definedName>
    <definedName name="TABLE_GENDER_1" localSheetId="56">'x-504'!$B$11</definedName>
    <definedName name="TABLE_GENDER_1" localSheetId="57">'x-505'!$B$11</definedName>
    <definedName name="TABLE_GENDER_1" localSheetId="58">'x-601'!$B$11</definedName>
    <definedName name="TABLE_GENDER_1" localSheetId="59">'x-602'!$B$11</definedName>
    <definedName name="TABLE_GENDER_1" localSheetId="60">'x-603'!$B$11</definedName>
    <definedName name="TABLE_GENDER_1" localSheetId="61">'x-604'!$B$11</definedName>
    <definedName name="TABLE_GENDER_1" localSheetId="62">'x-605'!$B$11</definedName>
    <definedName name="TABLE_GENDER_1" localSheetId="63">'x-606'!$B$11</definedName>
    <definedName name="TABLE_GENDER_1" localSheetId="64">'x-607'!$B$11</definedName>
    <definedName name="TABLE_GENDER_1" localSheetId="65">'x-608'!$B$11</definedName>
    <definedName name="TABLE_GENDER_1" localSheetId="66">'x-609'!$B$11</definedName>
    <definedName name="TABLE_GENDER_1" localSheetId="67">'x-610'!$B$11</definedName>
    <definedName name="TABLE_GENDER_1" localSheetId="68">'x-611'!$B$11</definedName>
    <definedName name="TABLE_GENDER_1" localSheetId="69">'x-612'!$B$11</definedName>
    <definedName name="TABLE_GENDER_1" localSheetId="70">'x-613'!$B$11</definedName>
    <definedName name="TABLE_GENDER_1" localSheetId="71">'x-614'!$B$11</definedName>
    <definedName name="TABLE_GENDER_1" localSheetId="72">'x-615'!$B$11</definedName>
    <definedName name="TABLE_GENDER_1" localSheetId="73">'x-616'!$B$11</definedName>
    <definedName name="TABLE_GENDER_1" localSheetId="74">'x-617'!$B$11</definedName>
    <definedName name="TABLE_GENDER_1" localSheetId="75">'x-701'!$B$11</definedName>
    <definedName name="TABLE_GENDER_1" localSheetId="76">'x-702'!$B$11</definedName>
    <definedName name="TABLE_GENDER_1" localSheetId="77">'x-703'!$B$11</definedName>
    <definedName name="TABLE_GENDER_1" localSheetId="78">'x-704'!$B$11</definedName>
    <definedName name="TABLE_GENDER_1" localSheetId="79">'x-705'!$B$11</definedName>
    <definedName name="TABLE_GENDER_1" localSheetId="80">'x-706'!$B$11</definedName>
    <definedName name="TABLE_GENDER_1" localSheetId="81">'x-707'!$B$11</definedName>
    <definedName name="TABLE_GENDER_1" localSheetId="82">'x-708'!$B$11</definedName>
    <definedName name="TABLE_GENDER_1" localSheetId="83">'x-709'!$B$11</definedName>
    <definedName name="TABLE_GENDER_1" localSheetId="84">'x-710'!$B$11</definedName>
    <definedName name="TABLE_GENDER_1" localSheetId="85">'x-711'!$B$11</definedName>
    <definedName name="TABLE_GENDER_1" localSheetId="86">'x-712'!$B$11</definedName>
    <definedName name="TABLE_GENDER_1" localSheetId="87">'x-713'!$B$11</definedName>
    <definedName name="TABLE_GENDER_1" localSheetId="88">'x-714'!$B$11</definedName>
    <definedName name="TABLE_GENDER_1" localSheetId="89">'x-715'!$B$11</definedName>
    <definedName name="TABLE_GENDER_1" localSheetId="90">'x-716'!$B$11</definedName>
    <definedName name="TABLE_GENDER_1" localSheetId="91">'x-717'!$B$11</definedName>
    <definedName name="TABLE_GENDER_1" localSheetId="92">'x-718'!$B$11</definedName>
    <definedName name="TABLE_GENDER_1" localSheetId="93">'x-719'!$B$11</definedName>
    <definedName name="TABLE_GENDER_1" localSheetId="94">'x-720'!$B$11</definedName>
    <definedName name="TABLE_GENDER_1" localSheetId="95">'x-721'!$B$11</definedName>
    <definedName name="TABLE_GENDER_1" localSheetId="96">'x-725'!$B$11</definedName>
    <definedName name="TABLE_GENDER_1" localSheetId="97">'x-726'!$B$11</definedName>
    <definedName name="TABLE_GENDER_1" localSheetId="98">'x-727'!$B$11</definedName>
    <definedName name="TABLE_GENDER_1" localSheetId="99">'x-728'!$B$11</definedName>
    <definedName name="TABLE_GENDER_1" localSheetId="100">'x-729'!$B$11</definedName>
    <definedName name="TABLE_GENDER_1" localSheetId="101">'x-730'!$B$11</definedName>
    <definedName name="TABLE_GENDER_1" localSheetId="102">'x-731'!$B$11</definedName>
    <definedName name="TABLE_GENDER_1" localSheetId="103">'x-732'!$B$11</definedName>
    <definedName name="TABLE_GENDER_1" localSheetId="104">'x-733'!$B$11</definedName>
    <definedName name="TABLE_GENDER_1" localSheetId="105">'x-734'!$B$11</definedName>
    <definedName name="TABLE_GENDER_1" localSheetId="106">'x-735'!$B$11</definedName>
    <definedName name="TABLE_GENDER_1" localSheetId="107">'x-736'!$B$11</definedName>
    <definedName name="TABLE_GENDER_1" localSheetId="108">'x-801'!$B$11</definedName>
    <definedName name="TABLE_GENDER_1" localSheetId="109">'x-802'!$B$11</definedName>
    <definedName name="TABLE_GENDER_1" localSheetId="110">'x-803'!$B$11</definedName>
    <definedName name="TABLE_GENDER_1" localSheetId="111">'x-804'!$B$11</definedName>
    <definedName name="TABLE_GENDER_1" localSheetId="112">'x-805'!$B$11</definedName>
    <definedName name="TABLE_GENDER_1" localSheetId="113">'x-806'!$B$11</definedName>
    <definedName name="TABLE_GENDER_1" localSheetId="114">'x-807'!$B$11</definedName>
    <definedName name="TABLE_GENDER_1" localSheetId="115">'x-808'!$B$11</definedName>
    <definedName name="TABLE_GENDER_1" localSheetId="116">'x-810'!$B$11</definedName>
    <definedName name="TABLE_GENDER_1" localSheetId="117">'x-811'!$B$11</definedName>
    <definedName name="TABLE_GENDER_1" localSheetId="118">'x-812'!$B$11</definedName>
    <definedName name="TABLE_GENDER_1" localSheetId="119">'x-813'!$B$11</definedName>
    <definedName name="TABLE_GENDER_1" localSheetId="120">'x-814'!$B$11</definedName>
    <definedName name="TABLE_GENDER_1" localSheetId="121">'x-815'!$B$11</definedName>
    <definedName name="TABLE_GENDER_1" localSheetId="122">'x-816'!$B$11</definedName>
    <definedName name="TABLE_GENDER_2" localSheetId="29">'x-305'!$I$11</definedName>
    <definedName name="TABLE_GENDER_2" localSheetId="40">'x-409'!$K$11</definedName>
    <definedName name="TABLE_GENDER_2" localSheetId="44">'x-413'!$K$11</definedName>
    <definedName name="TABLE_GENDER_2" localSheetId="64">'x-607'!$G$11</definedName>
    <definedName name="TABLE_GENDER_2" localSheetId="101">'x-730'!$Q$11</definedName>
    <definedName name="TABLE_GENDER_2" localSheetId="104">'x-733'!$P$11</definedName>
    <definedName name="TABLE_GENDER_3" localSheetId="101">'x-730'!$AF$11</definedName>
    <definedName name="TABLE_GENDER_3" localSheetId="104">'x-733'!$AE$11</definedName>
    <definedName name="TABLE_GENDER_4" localSheetId="101">'x-730'!$AU$11</definedName>
    <definedName name="TABLE_GENDER_4" localSheetId="104">'x-733'!$AT$11</definedName>
    <definedName name="TABLE_INFO_1" localSheetId="8">'x-201'!$A$6:$B$21</definedName>
    <definedName name="TABLE_INFO_1" localSheetId="9">'x-202'!$A$6:$B$21</definedName>
    <definedName name="TABLE_INFO_1" localSheetId="10">'x-203'!$A$6:$B$21</definedName>
    <definedName name="TABLE_INFO_1" localSheetId="11">'x-204'!$A$6:$B$21</definedName>
    <definedName name="TABLE_INFO_1" localSheetId="12">'x-205'!$A$6:$B$21</definedName>
    <definedName name="TABLE_INFO_1" localSheetId="13">'x-207'!$A$6:$B$21</definedName>
    <definedName name="TABLE_INFO_1" localSheetId="14">'x-208'!$A$6:$B$21</definedName>
    <definedName name="TABLE_INFO_1" localSheetId="15">'x-209'!$A$6:$B$21</definedName>
    <definedName name="TABLE_INFO_1" localSheetId="16">'x-211'!$A$6:$B$21</definedName>
    <definedName name="TABLE_INFO_1" localSheetId="17">'x-212'!$A$6:$B$21</definedName>
    <definedName name="TABLE_INFO_1" localSheetId="18">'x-213'!$A$6:$B$21</definedName>
    <definedName name="TABLE_INFO_1" localSheetId="19">'x-214'!$A$6:$B$21</definedName>
    <definedName name="TABLE_INFO_1" localSheetId="20">'x-215'!$A$6:$B$21</definedName>
    <definedName name="TABLE_INFO_1" localSheetId="21">'x-216'!$A$6:$B$21</definedName>
    <definedName name="TABLE_INFO_1" localSheetId="22">'x-217'!$A$6:$B$21</definedName>
    <definedName name="TABLE_INFO_1" localSheetId="23">'x-218'!$A$6:$B$21</definedName>
    <definedName name="TABLE_INFO_1" localSheetId="24">'x-223'!$A$6:$B$21</definedName>
    <definedName name="TABLE_INFO_1" localSheetId="25">'x-301'!$A$6:$B$21</definedName>
    <definedName name="TABLE_INFO_1" localSheetId="26">'x-302'!$A$6:$B$21</definedName>
    <definedName name="TABLE_INFO_1" localSheetId="27">'x-303'!$A$6:$B$21</definedName>
    <definedName name="TABLE_INFO_1" localSheetId="28">'x-304'!$A$6:$B$21</definedName>
    <definedName name="TABLE_INFO_1" localSheetId="29">'x-305'!$A$6:$B$21</definedName>
    <definedName name="TABLE_INFO_1" localSheetId="30">'x-306'!$A$6:$B$21</definedName>
    <definedName name="TABLE_INFO_1" localSheetId="31">'x-307'!$A$6:$B$21</definedName>
    <definedName name="TABLE_INFO_1" localSheetId="32">'x-401'!$A$6:$B$21</definedName>
    <definedName name="TABLE_INFO_1" localSheetId="33">'x-402'!$A$6:$B$21</definedName>
    <definedName name="TABLE_INFO_1" localSheetId="34">'x-403'!$A$6:$B$21</definedName>
    <definedName name="TABLE_INFO_1" localSheetId="35">'x-404'!$A$6:$B$21</definedName>
    <definedName name="TABLE_INFO_1" localSheetId="36">'x-405'!$A$6:$B$21</definedName>
    <definedName name="TABLE_INFO_1" localSheetId="37">'x-406'!$A$6:$B$21</definedName>
    <definedName name="TABLE_INFO_1" localSheetId="38">'x-407'!$A$6:$B$21</definedName>
    <definedName name="TABLE_INFO_1" localSheetId="39">'x-408'!$A$6:$B$21</definedName>
    <definedName name="TABLE_INFO_1" localSheetId="40">'x-409'!$A$6:$B$21</definedName>
    <definedName name="TABLE_INFO_1" localSheetId="41">'x-410'!$A$6:$B$21</definedName>
    <definedName name="TABLE_INFO_1" localSheetId="42">'x-411'!$A$6:$B$21</definedName>
    <definedName name="TABLE_INFO_1" localSheetId="43">'x-412'!$A$6:$B$21</definedName>
    <definedName name="TABLE_INFO_1" localSheetId="44">'x-413'!$A$6:$B$21</definedName>
    <definedName name="TABLE_INFO_1" localSheetId="45">'x-414'!$A$6:$B$21</definedName>
    <definedName name="TABLE_INFO_1" localSheetId="46">'x-415'!$A$6:$B$21</definedName>
    <definedName name="TABLE_INFO_1" localSheetId="47">'x-416'!$A$6:$B$21</definedName>
    <definedName name="TABLE_INFO_1" localSheetId="48">'x-417'!$A$6:$B$21</definedName>
    <definedName name="TABLE_INFO_1" localSheetId="49">'x-418'!$A$6:$B$21</definedName>
    <definedName name="TABLE_INFO_1" localSheetId="50">'x-419'!$A$6:$B$21</definedName>
    <definedName name="TABLE_INFO_1" localSheetId="51">'x-420'!$A$6:$B$21</definedName>
    <definedName name="TABLE_INFO_1" localSheetId="52">'x-421'!$A$6:$B$21</definedName>
    <definedName name="TABLE_INFO_1" localSheetId="53">'x-501'!$A$6:$B$21</definedName>
    <definedName name="TABLE_INFO_1" localSheetId="54">'x-502'!$A$6:$B$21</definedName>
    <definedName name="TABLE_INFO_1" localSheetId="55">'x-503'!$A$6:$B$21</definedName>
    <definedName name="TABLE_INFO_1" localSheetId="56">'x-504'!$A$6:$B$21</definedName>
    <definedName name="TABLE_INFO_1" localSheetId="57">'x-505'!$A$6:$B$21</definedName>
    <definedName name="TABLE_INFO_1" localSheetId="58">'x-601'!$A$6:$B$21</definedName>
    <definedName name="TABLE_INFO_1" localSheetId="59">'x-602'!$A$6:$B$21</definedName>
    <definedName name="TABLE_INFO_1" localSheetId="60">'x-603'!$A$6:$B$21</definedName>
    <definedName name="TABLE_INFO_1" localSheetId="61">'x-604'!$A$6:$B$21</definedName>
    <definedName name="TABLE_INFO_1" localSheetId="62">'x-605'!$A$6:$B$21</definedName>
    <definedName name="TABLE_INFO_1" localSheetId="63">'x-606'!$A$6:$B$21</definedName>
    <definedName name="TABLE_INFO_1" localSheetId="64">'x-607'!$A$6:$B$21</definedName>
    <definedName name="TABLE_INFO_1" localSheetId="65">'x-608'!$A$6:$B$21</definedName>
    <definedName name="TABLE_INFO_1" localSheetId="66">'x-609'!$A$6:$B$21</definedName>
    <definedName name="TABLE_INFO_1" localSheetId="67">'x-610'!$A$6:$B$21</definedName>
    <definedName name="TABLE_INFO_1" localSheetId="68">'x-611'!$A$6:$B$21</definedName>
    <definedName name="TABLE_INFO_1" localSheetId="69">'x-612'!$A$6:$B$21</definedName>
    <definedName name="TABLE_INFO_1" localSheetId="70">'x-613'!$A$6:$B$21</definedName>
    <definedName name="TABLE_INFO_1" localSheetId="71">'x-614'!$A$6:$B$21</definedName>
    <definedName name="TABLE_INFO_1" localSheetId="72">'x-615'!$A$6:$B$21</definedName>
    <definedName name="TABLE_INFO_1" localSheetId="73">'x-616'!$A$6:$B$21</definedName>
    <definedName name="TABLE_INFO_1" localSheetId="74">'x-617'!$A$6:$B$21</definedName>
    <definedName name="TABLE_INFO_1" localSheetId="75">'x-701'!$A$6:$B$21</definedName>
    <definedName name="TABLE_INFO_1" localSheetId="76">'x-702'!$A$6:$B$21</definedName>
    <definedName name="TABLE_INFO_1" localSheetId="77">'x-703'!$A$6:$B$21</definedName>
    <definedName name="TABLE_INFO_1" localSheetId="78">'x-704'!$A$6:$B$21</definedName>
    <definedName name="TABLE_INFO_1" localSheetId="79">'x-705'!$A$6:$B$21</definedName>
    <definedName name="TABLE_INFO_1" localSheetId="80">'x-706'!$A$6:$B$21</definedName>
    <definedName name="TABLE_INFO_1" localSheetId="81">'x-707'!$A$6:$B$21</definedName>
    <definedName name="TABLE_INFO_1" localSheetId="82">'x-708'!$A$6:$B$21</definedName>
    <definedName name="TABLE_INFO_1" localSheetId="83">'x-709'!$A$6:$B$21</definedName>
    <definedName name="TABLE_INFO_1" localSheetId="84">'x-710'!$A$6:$B$21</definedName>
    <definedName name="TABLE_INFO_1" localSheetId="85">'x-711'!$A$6:$B$21</definedName>
    <definedName name="TABLE_INFO_1" localSheetId="86">'x-712'!$A$6:$B$21</definedName>
    <definedName name="TABLE_INFO_1" localSheetId="87">'x-713'!$A$6:$B$21</definedName>
    <definedName name="TABLE_INFO_1" localSheetId="88">'x-714'!$A$6:$B$21</definedName>
    <definedName name="TABLE_INFO_1" localSheetId="89">'x-715'!$A$6:$B$21</definedName>
    <definedName name="TABLE_INFO_1" localSheetId="90">'x-716'!$A$6:$B$21</definedName>
    <definedName name="TABLE_INFO_1" localSheetId="91">'x-717'!$A$6:$B$21</definedName>
    <definedName name="TABLE_INFO_1" localSheetId="92">'x-718'!$A$6:$B$21</definedName>
    <definedName name="TABLE_INFO_1" localSheetId="93">'x-719'!$A$6:$B$21</definedName>
    <definedName name="TABLE_INFO_1" localSheetId="94">'x-720'!$A$6:$B$21</definedName>
    <definedName name="TABLE_INFO_1" localSheetId="95">'x-721'!$A$6:$B$21</definedName>
    <definedName name="TABLE_INFO_1" localSheetId="96">'x-725'!$A$6:$B$21</definedName>
    <definedName name="TABLE_INFO_1" localSheetId="97">'x-726'!$A$6:$B$21</definedName>
    <definedName name="TABLE_INFO_1" localSheetId="98">'x-727'!$A$6:$B$21</definedName>
    <definedName name="TABLE_INFO_1" localSheetId="99">'x-728'!$A$6:$B$21</definedName>
    <definedName name="TABLE_INFO_1" localSheetId="100">'x-729'!$A$6:$B$21</definedName>
    <definedName name="TABLE_INFO_1" localSheetId="101">'x-730'!$A$6:$B$21</definedName>
    <definedName name="TABLE_INFO_1" localSheetId="102">'x-731'!$A$6:$B$21</definedName>
    <definedName name="TABLE_INFO_1" localSheetId="103">'x-732'!$A$6:$B$21</definedName>
    <definedName name="TABLE_INFO_1" localSheetId="104">'x-733'!$A$6:$B$21</definedName>
    <definedName name="TABLE_INFO_1" localSheetId="105">'x-734'!$A$6:$B$21</definedName>
    <definedName name="TABLE_INFO_1" localSheetId="106">'x-735'!$A$6:$B$21</definedName>
    <definedName name="TABLE_INFO_1" localSheetId="107">'x-736'!$A$6:$B$21</definedName>
    <definedName name="TABLE_INFO_1" localSheetId="108">'x-801'!$A$6:$B$21</definedName>
    <definedName name="TABLE_INFO_1" localSheetId="109">'x-802'!$A$6:$B$21</definedName>
    <definedName name="TABLE_INFO_1" localSheetId="110">'x-803'!$A$6:$B$21</definedName>
    <definedName name="TABLE_INFO_1" localSheetId="111">'x-804'!$A$6:$B$21</definedName>
    <definedName name="TABLE_INFO_1" localSheetId="112">'x-805'!$A$6:$B$21</definedName>
    <definedName name="TABLE_INFO_1" localSheetId="113">'x-806'!$A$6:$B$21</definedName>
    <definedName name="TABLE_INFO_1" localSheetId="114">'x-807'!$A$6:$B$21</definedName>
    <definedName name="TABLE_INFO_1" localSheetId="115">'x-808'!$A$6:$B$21</definedName>
    <definedName name="TABLE_INFO_1" localSheetId="116">'x-810'!$A$6:$B$21</definedName>
    <definedName name="TABLE_INFO_1" localSheetId="117">'x-811'!$A$6:$B$21</definedName>
    <definedName name="TABLE_INFO_1" localSheetId="118">'x-812'!$A$6:$B$21</definedName>
    <definedName name="TABLE_INFO_1" localSheetId="119">'x-813'!$A$6:$B$21</definedName>
    <definedName name="TABLE_INFO_1" localSheetId="120">'x-814'!$A$6:$B$21</definedName>
    <definedName name="TABLE_INFO_1" localSheetId="121">'x-815'!$A$6:$B$21</definedName>
    <definedName name="TABLE_INFO_1" localSheetId="122">'x-816'!$A$6:$B$21</definedName>
    <definedName name="TABLE_INFO_2" localSheetId="29">'x-305'!$H$6:$I$21</definedName>
    <definedName name="TABLE_INFO_2" localSheetId="40">'x-409'!$J$6:$K$21</definedName>
    <definedName name="TABLE_INFO_2" localSheetId="44">'x-413'!$J$6:$K$21</definedName>
    <definedName name="TABLE_INFO_2" localSheetId="64">'x-607'!$F$6:$G$21</definedName>
    <definedName name="TABLE_INFO_2" localSheetId="101">'x-730'!$P$6:$Q$21</definedName>
    <definedName name="TABLE_INFO_2" localSheetId="102">'x-731'!$P$6:$Q$22</definedName>
    <definedName name="TABLE_INFO_2" localSheetId="103">'x-732'!$P$6:$Q$22</definedName>
    <definedName name="TABLE_INFO_2" localSheetId="104">'x-733'!$O$6:$P$21</definedName>
    <definedName name="TABLE_INFO_3" localSheetId="101">'x-730'!$AE$6:$AF$21</definedName>
    <definedName name="TABLE_INFO_3" localSheetId="104">'x-733'!$AD$6:$AE$21</definedName>
    <definedName name="TABLE_INFO_4" localSheetId="101">'x-730'!$AT$6:$AU$21</definedName>
    <definedName name="TABLE_INFO_4" localSheetId="104">'x-733'!$AS$6:$AT$21</definedName>
    <definedName name="TABLE_REFERENCE_1" localSheetId="8">'x-201'!$B$15</definedName>
    <definedName name="TABLE_REFERENCE_1" localSheetId="9">'x-202'!$B$15</definedName>
    <definedName name="TABLE_REFERENCE_1" localSheetId="10">'x-203'!$B$15</definedName>
    <definedName name="TABLE_REFERENCE_1" localSheetId="11">'x-204'!$B$15</definedName>
    <definedName name="TABLE_REFERENCE_1" localSheetId="12">'x-205'!$B$15</definedName>
    <definedName name="TABLE_REFERENCE_1" localSheetId="13">'x-207'!$B$15</definedName>
    <definedName name="TABLE_REFERENCE_1" localSheetId="14">'x-208'!$B$15</definedName>
    <definedName name="TABLE_REFERENCE_1" localSheetId="15">'x-209'!$B$15</definedName>
    <definedName name="TABLE_REFERENCE_1" localSheetId="16">'x-211'!$B$15</definedName>
    <definedName name="TABLE_REFERENCE_1" localSheetId="17">'x-212'!$B$15</definedName>
    <definedName name="TABLE_REFERENCE_1" localSheetId="18">'x-213'!$B$15</definedName>
    <definedName name="TABLE_REFERENCE_1" localSheetId="19">'x-214'!$B$15</definedName>
    <definedName name="TABLE_REFERENCE_1" localSheetId="20">'x-215'!$B$15</definedName>
    <definedName name="TABLE_REFERENCE_1" localSheetId="21">'x-216'!$B$15</definedName>
    <definedName name="TABLE_REFERENCE_1" localSheetId="22">'x-217'!$B$15</definedName>
    <definedName name="TABLE_REFERENCE_1" localSheetId="23">'x-218'!$B$15</definedName>
    <definedName name="TABLE_REFERENCE_1" localSheetId="24">'x-223'!$B$15</definedName>
    <definedName name="TABLE_REFERENCE_1" localSheetId="25">'x-301'!$B$15</definedName>
    <definedName name="TABLE_REFERENCE_1" localSheetId="26">'x-302'!$B$15</definedName>
    <definedName name="TABLE_REFERENCE_1" localSheetId="27">'x-303'!$B$15</definedName>
    <definedName name="TABLE_REFERENCE_1" localSheetId="28">'x-304'!$B$15</definedName>
    <definedName name="TABLE_REFERENCE_1" localSheetId="29">'x-305'!$B$15</definedName>
    <definedName name="TABLE_REFERENCE_1" localSheetId="30">'x-306'!$B$15</definedName>
    <definedName name="TABLE_REFERENCE_1" localSheetId="31">'x-307'!$B$15</definedName>
    <definedName name="TABLE_REFERENCE_1" localSheetId="32">'x-401'!$B$15</definedName>
    <definedName name="TABLE_REFERENCE_1" localSheetId="33">'x-402'!$B$15</definedName>
    <definedName name="TABLE_REFERENCE_1" localSheetId="34">'x-403'!$B$15</definedName>
    <definedName name="TABLE_REFERENCE_1" localSheetId="35">'x-404'!$B$15</definedName>
    <definedName name="TABLE_REFERENCE_1" localSheetId="36">'x-405'!$B$15</definedName>
    <definedName name="TABLE_REFERENCE_1" localSheetId="37">'x-406'!$B$15</definedName>
    <definedName name="TABLE_REFERENCE_1" localSheetId="38">'x-407'!$B$15</definedName>
    <definedName name="TABLE_REFERENCE_1" localSheetId="39">'x-408'!$B$15</definedName>
    <definedName name="TABLE_REFERENCE_1" localSheetId="40">'x-409'!$B$15</definedName>
    <definedName name="TABLE_REFERENCE_1" localSheetId="41">'x-410'!$B$15</definedName>
    <definedName name="TABLE_REFERENCE_1" localSheetId="42">'x-411'!$B$15</definedName>
    <definedName name="TABLE_REFERENCE_1" localSheetId="43">'x-412'!$B$15</definedName>
    <definedName name="TABLE_REFERENCE_1" localSheetId="44">'x-413'!$B$15</definedName>
    <definedName name="TABLE_REFERENCE_1" localSheetId="45">'x-414'!$B$15</definedName>
    <definedName name="TABLE_REFERENCE_1" localSheetId="46">'x-415'!$B$15</definedName>
    <definedName name="TABLE_REFERENCE_1" localSheetId="47">'x-416'!$B$15</definedName>
    <definedName name="TABLE_REFERENCE_1" localSheetId="48">'x-417'!$B$15</definedName>
    <definedName name="TABLE_REFERENCE_1" localSheetId="49">'x-418'!$B$15</definedName>
    <definedName name="TABLE_REFERENCE_1" localSheetId="50">'x-419'!$B$15</definedName>
    <definedName name="TABLE_REFERENCE_1" localSheetId="51">'x-420'!$B$15</definedName>
    <definedName name="TABLE_REFERENCE_1" localSheetId="52">'x-421'!$B$15</definedName>
    <definedName name="TABLE_REFERENCE_1" localSheetId="53">'x-501'!$B$15</definedName>
    <definedName name="TABLE_REFERENCE_1" localSheetId="54">'x-502'!$B$15</definedName>
    <definedName name="TABLE_REFERENCE_1" localSheetId="55">'x-503'!$B$15</definedName>
    <definedName name="TABLE_REFERENCE_1" localSheetId="56">'x-504'!$B$15</definedName>
    <definedName name="TABLE_REFERENCE_1" localSheetId="57">'x-505'!$B$15</definedName>
    <definedName name="TABLE_REFERENCE_1" localSheetId="58">'x-601'!$B$15</definedName>
    <definedName name="TABLE_REFERENCE_1" localSheetId="59">'x-602'!$B$15</definedName>
    <definedName name="TABLE_REFERENCE_1" localSheetId="60">'x-603'!$B$15</definedName>
    <definedName name="TABLE_REFERENCE_1" localSheetId="61">'x-604'!$B$15</definedName>
    <definedName name="TABLE_REFERENCE_1" localSheetId="62">'x-605'!$B$15</definedName>
    <definedName name="TABLE_REFERENCE_1" localSheetId="63">'x-606'!$B$15</definedName>
    <definedName name="TABLE_REFERENCE_1" localSheetId="64">'x-607'!$B$15</definedName>
    <definedName name="TABLE_REFERENCE_1" localSheetId="65">'x-608'!$B$15</definedName>
    <definedName name="TABLE_REFERENCE_1" localSheetId="66">'x-609'!$B$15</definedName>
    <definedName name="TABLE_REFERENCE_1" localSheetId="67">'x-610'!$B$15</definedName>
    <definedName name="TABLE_REFERENCE_1" localSheetId="68">'x-611'!$B$15</definedName>
    <definedName name="TABLE_REFERENCE_1" localSheetId="69">'x-612'!$B$15</definedName>
    <definedName name="TABLE_REFERENCE_1" localSheetId="70">'x-613'!$B$15</definedName>
    <definedName name="TABLE_REFERENCE_1" localSheetId="71">'x-614'!$B$15</definedName>
    <definedName name="TABLE_REFERENCE_1" localSheetId="72">'x-615'!$B$15</definedName>
    <definedName name="TABLE_REFERENCE_1" localSheetId="73">'x-616'!$B$15</definedName>
    <definedName name="TABLE_REFERENCE_1" localSheetId="74">'x-617'!$B$15</definedName>
    <definedName name="TABLE_REFERENCE_1" localSheetId="75">'x-701'!$B$15</definedName>
    <definedName name="TABLE_REFERENCE_1" localSheetId="76">'x-702'!$B$15</definedName>
    <definedName name="TABLE_REFERENCE_1" localSheetId="77">'x-703'!$B$15</definedName>
    <definedName name="TABLE_REFERENCE_1" localSheetId="78">'x-704'!$B$15</definedName>
    <definedName name="TABLE_REFERENCE_1" localSheetId="79">'x-705'!$B$15</definedName>
    <definedName name="TABLE_REFERENCE_1" localSheetId="80">'x-706'!$B$15</definedName>
    <definedName name="TABLE_REFERENCE_1" localSheetId="81">'x-707'!$B$15</definedName>
    <definedName name="TABLE_REFERENCE_1" localSheetId="82">'x-708'!$B$15</definedName>
    <definedName name="TABLE_REFERENCE_1" localSheetId="83">'x-709'!$B$15</definedName>
    <definedName name="TABLE_REFERENCE_1" localSheetId="84">'x-710'!$B$15</definedName>
    <definedName name="TABLE_REFERENCE_1" localSheetId="85">'x-711'!$B$15</definedName>
    <definedName name="TABLE_REFERENCE_1" localSheetId="86">'x-712'!$B$15</definedName>
    <definedName name="TABLE_REFERENCE_1" localSheetId="87">'x-713'!$B$15</definedName>
    <definedName name="TABLE_REFERENCE_1" localSheetId="88">'x-714'!$B$15</definedName>
    <definedName name="TABLE_REFERENCE_1" localSheetId="89">'x-715'!$B$15</definedName>
    <definedName name="TABLE_REFERENCE_1" localSheetId="90">'x-716'!$B$15</definedName>
    <definedName name="TABLE_REFERENCE_1" localSheetId="91">'x-717'!$B$15</definedName>
    <definedName name="TABLE_REFERENCE_1" localSheetId="92">'x-718'!$B$15</definedName>
    <definedName name="TABLE_REFERENCE_1" localSheetId="93">'x-719'!$B$15</definedName>
    <definedName name="TABLE_REFERENCE_1" localSheetId="94">'x-720'!$B$15</definedName>
    <definedName name="TABLE_REFERENCE_1" localSheetId="95">'x-721'!$B$15</definedName>
    <definedName name="TABLE_REFERENCE_1" localSheetId="96">'x-725'!$B$15</definedName>
    <definedName name="TABLE_REFERENCE_1" localSheetId="97">'x-726'!$B$15</definedName>
    <definedName name="TABLE_REFERENCE_1" localSheetId="98">'x-727'!$B$15</definedName>
    <definedName name="TABLE_REFERENCE_1" localSheetId="99">'x-728'!$B$15</definedName>
    <definedName name="TABLE_REFERENCE_1" localSheetId="100">'x-729'!$B$15</definedName>
    <definedName name="TABLE_REFERENCE_1" localSheetId="101">'x-730'!$B$15</definedName>
    <definedName name="TABLE_REFERENCE_1" localSheetId="102">'x-731'!$B$15</definedName>
    <definedName name="TABLE_REFERENCE_1" localSheetId="103">'x-732'!$B$15</definedName>
    <definedName name="TABLE_REFERENCE_1" localSheetId="104">'x-733'!$B$15</definedName>
    <definedName name="TABLE_REFERENCE_1" localSheetId="105">'x-734'!$B$15</definedName>
    <definedName name="TABLE_REFERENCE_1" localSheetId="106">'x-735'!$B$15</definedName>
    <definedName name="TABLE_REFERENCE_1" localSheetId="107">'x-736'!$B$15</definedName>
    <definedName name="TABLE_REFERENCE_1" localSheetId="108">'x-801'!$B$15</definedName>
    <definedName name="TABLE_REFERENCE_1" localSheetId="109">'x-802'!$B$15</definedName>
    <definedName name="TABLE_REFERENCE_1" localSheetId="110">'x-803'!$B$15</definedName>
    <definedName name="TABLE_REFERENCE_1" localSheetId="111">'x-804'!$B$15</definedName>
    <definedName name="TABLE_REFERENCE_1" localSheetId="112">'x-805'!$B$15</definedName>
    <definedName name="TABLE_REFERENCE_1" localSheetId="113">'x-806'!$B$15</definedName>
    <definedName name="TABLE_REFERENCE_1" localSheetId="114">'x-807'!$B$15</definedName>
    <definedName name="TABLE_REFERENCE_1" localSheetId="115">'x-808'!$B$15</definedName>
    <definedName name="TABLE_REFERENCE_1" localSheetId="116">'x-810'!$B$15</definedName>
    <definedName name="TABLE_REFERENCE_1" localSheetId="117">'x-811'!$B$15</definedName>
    <definedName name="TABLE_REFERENCE_1" localSheetId="118">'x-812'!$B$15</definedName>
    <definedName name="TABLE_REFERENCE_1" localSheetId="119">'x-813'!$B$15</definedName>
    <definedName name="TABLE_REFERENCE_1" localSheetId="120">'x-814'!$B$15</definedName>
    <definedName name="TABLE_REFERENCE_1" localSheetId="121">'x-815'!$B$15</definedName>
    <definedName name="TABLE_REFERENCE_1" localSheetId="122">'x-816'!$B$15</definedName>
    <definedName name="TABLE_REFERENCE_2" localSheetId="29">'x-305'!$I$15</definedName>
    <definedName name="TABLE_REFERENCE_2" localSheetId="40">'x-409'!$K$15</definedName>
    <definedName name="TABLE_REFERENCE_2" localSheetId="44">'x-413'!$K$15</definedName>
    <definedName name="TABLE_REFERENCE_2" localSheetId="64">'x-607'!$G$15</definedName>
    <definedName name="TABLE_REFERENCE_2" localSheetId="101">'x-730'!$Q$15</definedName>
    <definedName name="TABLE_REFERENCE_2" localSheetId="104">'x-733'!$P$15</definedName>
    <definedName name="TABLE_REFERENCE_3" localSheetId="101">'x-730'!$AF$15</definedName>
    <definedName name="TABLE_REFERENCE_3" localSheetId="104">'x-733'!$AE$15</definedName>
    <definedName name="TABLE_REFERENCE_4" localSheetId="101">'x-730'!$AU$15</definedName>
    <definedName name="TABLE_REFERENCE_4" localSheetId="104">'x-733'!$AT$15</definedName>
    <definedName name="TABLE_REFERENCE_GUIDANCE_1" localSheetId="8">'x-201'!$B$16</definedName>
    <definedName name="TABLE_REFERENCE_GUIDANCE_1" localSheetId="9">'x-202'!$B$16</definedName>
    <definedName name="TABLE_REFERENCE_GUIDANCE_1" localSheetId="10">'x-203'!$B$16</definedName>
    <definedName name="TABLE_REFERENCE_GUIDANCE_1" localSheetId="11">'x-204'!$B$16</definedName>
    <definedName name="TABLE_REFERENCE_GUIDANCE_1" localSheetId="12">'x-205'!$B$16</definedName>
    <definedName name="TABLE_REFERENCE_GUIDANCE_1" localSheetId="13">'x-207'!$B$16</definedName>
    <definedName name="TABLE_REFERENCE_GUIDANCE_1" localSheetId="14">'x-208'!$B$16</definedName>
    <definedName name="TABLE_REFERENCE_GUIDANCE_1" localSheetId="15">'x-209'!$B$16</definedName>
    <definedName name="TABLE_REFERENCE_GUIDANCE_1" localSheetId="16">'x-211'!$B$16</definedName>
    <definedName name="TABLE_REFERENCE_GUIDANCE_1" localSheetId="17">'x-212'!$B$16</definedName>
    <definedName name="TABLE_REFERENCE_GUIDANCE_1" localSheetId="18">'x-213'!$B$16</definedName>
    <definedName name="TABLE_REFERENCE_GUIDANCE_1" localSheetId="19">'x-214'!$B$16</definedName>
    <definedName name="TABLE_REFERENCE_GUIDANCE_1" localSheetId="20">'x-215'!$B$16</definedName>
    <definedName name="TABLE_REFERENCE_GUIDANCE_1" localSheetId="21">'x-216'!$B$16</definedName>
    <definedName name="TABLE_REFERENCE_GUIDANCE_1" localSheetId="22">'x-217'!$B$16</definedName>
    <definedName name="TABLE_REFERENCE_GUIDANCE_1" localSheetId="23">'x-218'!$B$16</definedName>
    <definedName name="TABLE_REFERENCE_GUIDANCE_1" localSheetId="24">'x-223'!$B$16</definedName>
    <definedName name="TABLE_REFERENCE_GUIDANCE_1" localSheetId="25">'x-301'!$B$16</definedName>
    <definedName name="TABLE_REFERENCE_GUIDANCE_1" localSheetId="26">'x-302'!$B$16</definedName>
    <definedName name="TABLE_REFERENCE_GUIDANCE_1" localSheetId="27">'x-303'!$B$16</definedName>
    <definedName name="TABLE_REFERENCE_GUIDANCE_1" localSheetId="28">'x-304'!$B$16</definedName>
    <definedName name="TABLE_REFERENCE_GUIDANCE_1" localSheetId="29">'x-305'!$B$16</definedName>
    <definedName name="TABLE_REFERENCE_GUIDANCE_1" localSheetId="30">'x-306'!$B$16</definedName>
    <definedName name="TABLE_REFERENCE_GUIDANCE_1" localSheetId="31">'x-307'!$B$16</definedName>
    <definedName name="TABLE_REFERENCE_GUIDANCE_1" localSheetId="32">'x-401'!$B$16</definedName>
    <definedName name="TABLE_REFERENCE_GUIDANCE_1" localSheetId="33">'x-402'!$B$16</definedName>
    <definedName name="TABLE_REFERENCE_GUIDANCE_1" localSheetId="34">'x-403'!$B$16</definedName>
    <definedName name="TABLE_REFERENCE_GUIDANCE_1" localSheetId="35">'x-404'!$B$16</definedName>
    <definedName name="TABLE_REFERENCE_GUIDANCE_1" localSheetId="36">'x-405'!$B$16</definedName>
    <definedName name="TABLE_REFERENCE_GUIDANCE_1" localSheetId="37">'x-406'!$B$16</definedName>
    <definedName name="TABLE_REFERENCE_GUIDANCE_1" localSheetId="38">'x-407'!$B$16</definedName>
    <definedName name="TABLE_REFERENCE_GUIDANCE_1" localSheetId="39">'x-408'!$B$16</definedName>
    <definedName name="TABLE_REFERENCE_GUIDANCE_1" localSheetId="40">'x-409'!$B$16</definedName>
    <definedName name="TABLE_REFERENCE_GUIDANCE_1" localSheetId="41">'x-410'!$B$16</definedName>
    <definedName name="TABLE_REFERENCE_GUIDANCE_1" localSheetId="42">'x-411'!$B$16</definedName>
    <definedName name="TABLE_REFERENCE_GUIDANCE_1" localSheetId="43">'x-412'!$B$16</definedName>
    <definedName name="TABLE_REFERENCE_GUIDANCE_1" localSheetId="44">'x-413'!$B$16</definedName>
    <definedName name="TABLE_REFERENCE_GUIDANCE_1" localSheetId="45">'x-414'!$B$16</definedName>
    <definedName name="TABLE_REFERENCE_GUIDANCE_1" localSheetId="46">'x-415'!$B$16</definedName>
    <definedName name="TABLE_REFERENCE_GUIDANCE_1" localSheetId="47">'x-416'!$B$16</definedName>
    <definedName name="TABLE_REFERENCE_GUIDANCE_1" localSheetId="48">'x-417'!$B$16</definedName>
    <definedName name="TABLE_REFERENCE_GUIDANCE_1" localSheetId="49">'x-418'!$B$16</definedName>
    <definedName name="TABLE_REFERENCE_GUIDANCE_1" localSheetId="50">'x-419'!$B$16</definedName>
    <definedName name="TABLE_REFERENCE_GUIDANCE_1" localSheetId="51">'x-420'!$B$16</definedName>
    <definedName name="TABLE_REFERENCE_GUIDANCE_1" localSheetId="52">'x-421'!$B$16</definedName>
    <definedName name="TABLE_REFERENCE_GUIDANCE_1" localSheetId="53">'x-501'!$B$16</definedName>
    <definedName name="TABLE_REFERENCE_GUIDANCE_1" localSheetId="54">'x-502'!$B$16</definedName>
    <definedName name="TABLE_REFERENCE_GUIDANCE_1" localSheetId="55">'x-503'!$B$16</definedName>
    <definedName name="TABLE_REFERENCE_GUIDANCE_1" localSheetId="56">'x-504'!$B$16</definedName>
    <definedName name="TABLE_REFERENCE_GUIDANCE_1" localSheetId="57">'x-505'!$B$16</definedName>
    <definedName name="TABLE_REFERENCE_GUIDANCE_1" localSheetId="58">'x-601'!$B$16</definedName>
    <definedName name="TABLE_REFERENCE_GUIDANCE_1" localSheetId="59">'x-602'!$B$16</definedName>
    <definedName name="TABLE_REFERENCE_GUIDANCE_1" localSheetId="60">'x-603'!$B$16</definedName>
    <definedName name="TABLE_REFERENCE_GUIDANCE_1" localSheetId="61">'x-604'!$B$16</definedName>
    <definedName name="TABLE_REFERENCE_GUIDANCE_1" localSheetId="62">'x-605'!$B$16</definedName>
    <definedName name="TABLE_REFERENCE_GUIDANCE_1" localSheetId="63">'x-606'!$B$16</definedName>
    <definedName name="TABLE_REFERENCE_GUIDANCE_1" localSheetId="64">'x-607'!$B$16</definedName>
    <definedName name="TABLE_REFERENCE_GUIDANCE_1" localSheetId="65">'x-608'!$B$16</definedName>
    <definedName name="TABLE_REFERENCE_GUIDANCE_1" localSheetId="66">'x-609'!$B$16</definedName>
    <definedName name="TABLE_REFERENCE_GUIDANCE_1" localSheetId="67">'x-610'!$B$16</definedName>
    <definedName name="TABLE_REFERENCE_GUIDANCE_1" localSheetId="68">'x-611'!$B$16</definedName>
    <definedName name="TABLE_REFERENCE_GUIDANCE_1" localSheetId="69">'x-612'!$B$16</definedName>
    <definedName name="TABLE_REFERENCE_GUIDANCE_1" localSheetId="70">'x-613'!$B$16</definedName>
    <definedName name="TABLE_REFERENCE_GUIDANCE_1" localSheetId="71">'x-614'!$B$16</definedName>
    <definedName name="TABLE_REFERENCE_GUIDANCE_1" localSheetId="72">'x-615'!$B$16</definedName>
    <definedName name="TABLE_REFERENCE_GUIDANCE_1" localSheetId="73">'x-616'!$B$16</definedName>
    <definedName name="TABLE_REFERENCE_GUIDANCE_1" localSheetId="74">'x-617'!$B$16</definedName>
    <definedName name="TABLE_REFERENCE_GUIDANCE_1" localSheetId="75">'x-701'!$B$16</definedName>
    <definedName name="TABLE_REFERENCE_GUIDANCE_1" localSheetId="76">'x-702'!$B$16</definedName>
    <definedName name="TABLE_REFERENCE_GUIDANCE_1" localSheetId="77">'x-703'!$B$16</definedName>
    <definedName name="TABLE_REFERENCE_GUIDANCE_1" localSheetId="78">'x-704'!$B$16</definedName>
    <definedName name="TABLE_REFERENCE_GUIDANCE_1" localSheetId="79">'x-705'!$B$16</definedName>
    <definedName name="TABLE_REFERENCE_GUIDANCE_1" localSheetId="80">'x-706'!$B$16</definedName>
    <definedName name="TABLE_REFERENCE_GUIDANCE_1" localSheetId="81">'x-707'!$B$16</definedName>
    <definedName name="TABLE_REFERENCE_GUIDANCE_1" localSheetId="82">'x-708'!$B$16</definedName>
    <definedName name="TABLE_REFERENCE_GUIDANCE_1" localSheetId="83">'x-709'!$B$16</definedName>
    <definedName name="TABLE_REFERENCE_GUIDANCE_1" localSheetId="84">'x-710'!$B$16</definedName>
    <definedName name="TABLE_REFERENCE_GUIDANCE_1" localSheetId="85">'x-711'!$B$16</definedName>
    <definedName name="TABLE_REFERENCE_GUIDANCE_1" localSheetId="86">'x-712'!$B$16</definedName>
    <definedName name="TABLE_REFERENCE_GUIDANCE_1" localSheetId="87">'x-713'!$B$16</definedName>
    <definedName name="TABLE_REFERENCE_GUIDANCE_1" localSheetId="88">'x-714'!$B$16</definedName>
    <definedName name="TABLE_REFERENCE_GUIDANCE_1" localSheetId="89">'x-715'!$B$16</definedName>
    <definedName name="TABLE_REFERENCE_GUIDANCE_1" localSheetId="90">'x-716'!$B$16</definedName>
    <definedName name="TABLE_REFERENCE_GUIDANCE_1" localSheetId="91">'x-717'!$B$16</definedName>
    <definedName name="TABLE_REFERENCE_GUIDANCE_1" localSheetId="92">'x-718'!$B$16</definedName>
    <definedName name="TABLE_REFERENCE_GUIDANCE_1" localSheetId="93">'x-719'!$B$16</definedName>
    <definedName name="TABLE_REFERENCE_GUIDANCE_1" localSheetId="94">'x-720'!$B$16</definedName>
    <definedName name="TABLE_REFERENCE_GUIDANCE_1" localSheetId="95">'x-721'!$B$16</definedName>
    <definedName name="TABLE_REFERENCE_GUIDANCE_1" localSheetId="96">'x-725'!$B$16</definedName>
    <definedName name="TABLE_REFERENCE_GUIDANCE_1" localSheetId="97">'x-726'!$B$16</definedName>
    <definedName name="TABLE_REFERENCE_GUIDANCE_1" localSheetId="98">'x-727'!$B$16</definedName>
    <definedName name="TABLE_REFERENCE_GUIDANCE_1" localSheetId="99">'x-728'!$B$16</definedName>
    <definedName name="TABLE_REFERENCE_GUIDANCE_1" localSheetId="100">'x-729'!$B$16</definedName>
    <definedName name="TABLE_REFERENCE_GUIDANCE_1" localSheetId="101">'x-730'!$B$16</definedName>
    <definedName name="TABLE_REFERENCE_GUIDANCE_1" localSheetId="102">'x-731'!$B$16</definedName>
    <definedName name="TABLE_REFERENCE_GUIDANCE_1" localSheetId="103">'x-732'!$B$16</definedName>
    <definedName name="TABLE_REFERENCE_GUIDANCE_1" localSheetId="104">'x-733'!$B$16</definedName>
    <definedName name="TABLE_REFERENCE_GUIDANCE_1" localSheetId="105">'x-734'!$B$16</definedName>
    <definedName name="TABLE_REFERENCE_GUIDANCE_1" localSheetId="106">'x-735'!$B$16</definedName>
    <definedName name="TABLE_REFERENCE_GUIDANCE_1" localSheetId="107">'x-736'!$B$16</definedName>
    <definedName name="TABLE_REFERENCE_GUIDANCE_1" localSheetId="108">'x-801'!$B$16</definedName>
    <definedName name="TABLE_REFERENCE_GUIDANCE_1" localSheetId="109">'x-802'!$B$16</definedName>
    <definedName name="TABLE_REFERENCE_GUIDANCE_1" localSheetId="110">'x-803'!$B$16</definedName>
    <definedName name="TABLE_REFERENCE_GUIDANCE_1" localSheetId="111">'x-804'!$B$16</definedName>
    <definedName name="TABLE_REFERENCE_GUIDANCE_1" localSheetId="112">'x-805'!$B$16</definedName>
    <definedName name="TABLE_REFERENCE_GUIDANCE_1" localSheetId="113">'x-806'!$B$16</definedName>
    <definedName name="TABLE_REFERENCE_GUIDANCE_1" localSheetId="114">'x-807'!$B$16</definedName>
    <definedName name="TABLE_REFERENCE_GUIDANCE_1" localSheetId="115">'x-808'!$B$16</definedName>
    <definedName name="TABLE_REFERENCE_GUIDANCE_1" localSheetId="116">'x-810'!$B$16</definedName>
    <definedName name="TABLE_REFERENCE_GUIDANCE_1" localSheetId="117">'x-811'!$B$16</definedName>
    <definedName name="TABLE_REFERENCE_GUIDANCE_1" localSheetId="118">'x-812'!$B$16</definedName>
    <definedName name="TABLE_REFERENCE_GUIDANCE_1" localSheetId="119">'x-813'!$B$16</definedName>
    <definedName name="TABLE_REFERENCE_GUIDANCE_1" localSheetId="120">'x-814'!$B$16</definedName>
    <definedName name="TABLE_REFERENCE_GUIDANCE_1" localSheetId="121">'x-815'!$B$16</definedName>
    <definedName name="TABLE_REFERENCE_GUIDANCE_1" localSheetId="122">'x-816'!$B$16</definedName>
    <definedName name="TABLE_REFERENCE_GUIDANCE_2" localSheetId="29">'x-305'!$I$16</definedName>
    <definedName name="TABLE_REFERENCE_GUIDANCE_2" localSheetId="40">'x-409'!$K$16</definedName>
    <definedName name="TABLE_REFERENCE_GUIDANCE_2" localSheetId="44">'x-413'!$K$16</definedName>
    <definedName name="TABLE_REFERENCE_GUIDANCE_2" localSheetId="64">'x-607'!$G$16</definedName>
    <definedName name="TABLE_REFERENCE_GUIDANCE_2" localSheetId="101">'x-730'!$Q$16</definedName>
    <definedName name="TABLE_REFERENCE_GUIDANCE_2" localSheetId="104">'x-733'!$P$16</definedName>
    <definedName name="TABLE_REFERENCE_GUIDANCE_3" localSheetId="101">'x-730'!$AF$16</definedName>
    <definedName name="TABLE_REFERENCE_GUIDANCE_3" localSheetId="104">'x-733'!$AE$16</definedName>
    <definedName name="TABLE_REFERENCE_GUIDANCE_4" localSheetId="101">'x-730'!$AU$16</definedName>
    <definedName name="TABLE_REFERENCE_GUIDANCE_4" localSheetId="104">'x-733'!$AT$16</definedName>
    <definedName name="TABLE_RELATED_1" localSheetId="8">'x-201'!$B$17</definedName>
    <definedName name="TABLE_RELATED_1" localSheetId="9">'x-202'!$B$17</definedName>
    <definedName name="TABLE_RELATED_1" localSheetId="10">'x-203'!$B$17</definedName>
    <definedName name="TABLE_RELATED_1" localSheetId="11">'x-204'!$B$17</definedName>
    <definedName name="TABLE_RELATED_1" localSheetId="12">'x-205'!$B$17</definedName>
    <definedName name="TABLE_RELATED_1" localSheetId="13">'x-207'!$B$17</definedName>
    <definedName name="TABLE_RELATED_1" localSheetId="14">'x-208'!$B$17</definedName>
    <definedName name="TABLE_RELATED_1" localSheetId="15">'x-209'!$B$17</definedName>
    <definedName name="TABLE_RELATED_1" localSheetId="16">'x-211'!$B$17</definedName>
    <definedName name="TABLE_RELATED_1" localSheetId="17">'x-212'!$B$17</definedName>
    <definedName name="TABLE_RELATED_1" localSheetId="18">'x-213'!$B$17</definedName>
    <definedName name="TABLE_RELATED_1" localSheetId="19">'x-214'!$B$17</definedName>
    <definedName name="TABLE_RELATED_1" localSheetId="20">'x-215'!$B$17</definedName>
    <definedName name="TABLE_RELATED_1" localSheetId="21">'x-216'!$B$17</definedName>
    <definedName name="TABLE_RELATED_1" localSheetId="22">'x-217'!$B$17</definedName>
    <definedName name="TABLE_RELATED_1" localSheetId="23">'x-218'!$B$17</definedName>
    <definedName name="TABLE_RELATED_1" localSheetId="24">'x-223'!$B$17</definedName>
    <definedName name="TABLE_RELATED_1" localSheetId="25">'x-301'!$B$17</definedName>
    <definedName name="TABLE_RELATED_1" localSheetId="26">'x-302'!$B$17</definedName>
    <definedName name="TABLE_RELATED_1" localSheetId="27">'x-303'!$B$17</definedName>
    <definedName name="TABLE_RELATED_1" localSheetId="28">'x-304'!$B$17</definedName>
    <definedName name="TABLE_RELATED_1" localSheetId="29">'x-305'!$B$17</definedName>
    <definedName name="TABLE_RELATED_1" localSheetId="30">'x-306'!$B$17</definedName>
    <definedName name="TABLE_RELATED_1" localSheetId="31">'x-307'!$B$17</definedName>
    <definedName name="TABLE_RELATED_1" localSheetId="32">'x-401'!$B$17</definedName>
    <definedName name="TABLE_RELATED_1" localSheetId="33">'x-402'!$B$17</definedName>
    <definedName name="TABLE_RELATED_1" localSheetId="34">'x-403'!$B$17</definedName>
    <definedName name="TABLE_RELATED_1" localSheetId="35">'x-404'!$B$17</definedName>
    <definedName name="TABLE_RELATED_1" localSheetId="36">'x-405'!$B$17</definedName>
    <definedName name="TABLE_RELATED_1" localSheetId="37">'x-406'!$B$17</definedName>
    <definedName name="TABLE_RELATED_1" localSheetId="38">'x-407'!$B$17</definedName>
    <definedName name="TABLE_RELATED_1" localSheetId="39">'x-408'!$B$17</definedName>
    <definedName name="TABLE_RELATED_1" localSheetId="40">'x-409'!$B$17</definedName>
    <definedName name="TABLE_RELATED_1" localSheetId="41">'x-410'!$B$17</definedName>
    <definedName name="TABLE_RELATED_1" localSheetId="42">'x-411'!$B$17</definedName>
    <definedName name="TABLE_RELATED_1" localSheetId="43">'x-412'!$B$17</definedName>
    <definedName name="TABLE_RELATED_1" localSheetId="44">'x-413'!$B$17</definedName>
    <definedName name="TABLE_RELATED_1" localSheetId="45">'x-414'!$B$17</definedName>
    <definedName name="TABLE_RELATED_1" localSheetId="46">'x-415'!$B$17</definedName>
    <definedName name="TABLE_RELATED_1" localSheetId="47">'x-416'!$B$17</definedName>
    <definedName name="TABLE_RELATED_1" localSheetId="48">'x-417'!$B$17</definedName>
    <definedName name="TABLE_RELATED_1" localSheetId="49">'x-418'!$B$17</definedName>
    <definedName name="TABLE_RELATED_1" localSheetId="50">'x-419'!$B$17</definedName>
    <definedName name="TABLE_RELATED_1" localSheetId="51">'x-420'!$B$17</definedName>
    <definedName name="TABLE_RELATED_1" localSheetId="52">'x-421'!$B$17</definedName>
    <definedName name="TABLE_RELATED_1" localSheetId="53">'x-501'!$B$17</definedName>
    <definedName name="TABLE_RELATED_1" localSheetId="54">'x-502'!$B$17</definedName>
    <definedName name="TABLE_RELATED_1" localSheetId="55">'x-503'!$B$17</definedName>
    <definedName name="TABLE_RELATED_1" localSheetId="56">'x-504'!$B$17</definedName>
    <definedName name="TABLE_RELATED_1" localSheetId="57">'x-505'!$B$17</definedName>
    <definedName name="TABLE_RELATED_1" localSheetId="58">'x-601'!$B$17</definedName>
    <definedName name="TABLE_RELATED_1" localSheetId="59">'x-602'!$B$17</definedName>
    <definedName name="TABLE_RELATED_1" localSheetId="60">'x-603'!$B$17</definedName>
    <definedName name="TABLE_RELATED_1" localSheetId="61">'x-604'!$B$17</definedName>
    <definedName name="TABLE_RELATED_1" localSheetId="62">'x-605'!$B$17</definedName>
    <definedName name="TABLE_RELATED_1" localSheetId="63">'x-606'!$B$17</definedName>
    <definedName name="TABLE_RELATED_1" localSheetId="64">'x-607'!$B$17</definedName>
    <definedName name="TABLE_RELATED_1" localSheetId="65">'x-608'!$B$17</definedName>
    <definedName name="TABLE_RELATED_1" localSheetId="66">'x-609'!$B$17</definedName>
    <definedName name="TABLE_RELATED_1" localSheetId="67">'x-610'!$B$17</definedName>
    <definedName name="TABLE_RELATED_1" localSheetId="68">'x-611'!$B$17</definedName>
    <definedName name="TABLE_RELATED_1" localSheetId="69">'x-612'!$B$17</definedName>
    <definedName name="TABLE_RELATED_1" localSheetId="70">'x-613'!$B$17</definedName>
    <definedName name="TABLE_RELATED_1" localSheetId="71">'x-614'!$B$17</definedName>
    <definedName name="TABLE_RELATED_1" localSheetId="72">'x-615'!$B$17</definedName>
    <definedName name="TABLE_RELATED_1" localSheetId="73">'x-616'!$B$17</definedName>
    <definedName name="TABLE_RELATED_1" localSheetId="74">'x-617'!$B$17</definedName>
    <definedName name="TABLE_RELATED_1" localSheetId="75">'x-701'!$B$17</definedName>
    <definedName name="TABLE_RELATED_1" localSheetId="76">'x-702'!$B$17</definedName>
    <definedName name="TABLE_RELATED_1" localSheetId="77">'x-703'!$B$17</definedName>
    <definedName name="TABLE_RELATED_1" localSheetId="78">'x-704'!$B$17</definedName>
    <definedName name="TABLE_RELATED_1" localSheetId="79">'x-705'!$B$17</definedName>
    <definedName name="TABLE_RELATED_1" localSheetId="80">'x-706'!$B$17</definedName>
    <definedName name="TABLE_RELATED_1" localSheetId="81">'x-707'!$B$17</definedName>
    <definedName name="TABLE_RELATED_1" localSheetId="82">'x-708'!$B$17</definedName>
    <definedName name="TABLE_RELATED_1" localSheetId="83">'x-709'!$B$17</definedName>
    <definedName name="TABLE_RELATED_1" localSheetId="84">'x-710'!$B$17</definedName>
    <definedName name="TABLE_RELATED_1" localSheetId="85">'x-711'!$B$17</definedName>
    <definedName name="TABLE_RELATED_1" localSheetId="86">'x-712'!$B$17</definedName>
    <definedName name="TABLE_RELATED_1" localSheetId="87">'x-713'!$B$17</definedName>
    <definedName name="TABLE_RELATED_1" localSheetId="88">'x-714'!$B$17</definedName>
    <definedName name="TABLE_RELATED_1" localSheetId="89">'x-715'!$B$17</definedName>
    <definedName name="TABLE_RELATED_1" localSheetId="90">'x-716'!$B$17</definedName>
    <definedName name="TABLE_RELATED_1" localSheetId="91">'x-717'!$B$17</definedName>
    <definedName name="TABLE_RELATED_1" localSheetId="92">'x-718'!$B$17</definedName>
    <definedName name="TABLE_RELATED_1" localSheetId="93">'x-719'!$B$17</definedName>
    <definedName name="TABLE_RELATED_1" localSheetId="94">'x-720'!$B$17</definedName>
    <definedName name="TABLE_RELATED_1" localSheetId="95">'x-721'!$B$17</definedName>
    <definedName name="TABLE_RELATED_1" localSheetId="96">'x-725'!$B$17</definedName>
    <definedName name="TABLE_RELATED_1" localSheetId="97">'x-726'!$B$17</definedName>
    <definedName name="TABLE_RELATED_1" localSheetId="98">'x-727'!$B$17</definedName>
    <definedName name="TABLE_RELATED_1" localSheetId="99">'x-728'!$B$17</definedName>
    <definedName name="TABLE_RELATED_1" localSheetId="100">'x-729'!$B$17</definedName>
    <definedName name="TABLE_RELATED_1" localSheetId="101">'x-730'!$B$17</definedName>
    <definedName name="TABLE_RELATED_1" localSheetId="102">'x-731'!$B$17</definedName>
    <definedName name="TABLE_RELATED_1" localSheetId="103">'x-732'!$B$17</definedName>
    <definedName name="TABLE_RELATED_1" localSheetId="104">'x-733'!$B$17</definedName>
    <definedName name="TABLE_RELATED_1" localSheetId="105">'x-734'!$B$17</definedName>
    <definedName name="TABLE_RELATED_1" localSheetId="106">'x-735'!$B$17</definedName>
    <definedName name="TABLE_RELATED_1" localSheetId="107">'x-736'!$B$17</definedName>
    <definedName name="TABLE_RELATED_1" localSheetId="108">'x-801'!$B$17</definedName>
    <definedName name="TABLE_RELATED_1" localSheetId="109">'x-802'!$B$17</definedName>
    <definedName name="TABLE_RELATED_1" localSheetId="110">'x-803'!$B$17</definedName>
    <definedName name="TABLE_RELATED_1" localSheetId="111">'x-804'!$B$17</definedName>
    <definedName name="TABLE_RELATED_1" localSheetId="112">'x-805'!$B$17</definedName>
    <definedName name="TABLE_RELATED_1" localSheetId="113">'x-806'!$B$17</definedName>
    <definedName name="TABLE_RELATED_1" localSheetId="114">'x-807'!$B$17</definedName>
    <definedName name="TABLE_RELATED_1" localSheetId="115">'x-808'!$B$17</definedName>
    <definedName name="TABLE_RELATED_1" localSheetId="116">'x-810'!$B$17</definedName>
    <definedName name="TABLE_RELATED_1" localSheetId="117">'x-811'!$B$17</definedName>
    <definedName name="TABLE_RELATED_1" localSheetId="118">'x-812'!$B$17</definedName>
    <definedName name="TABLE_RELATED_1" localSheetId="119">'x-813'!$B$17</definedName>
    <definedName name="TABLE_RELATED_1" localSheetId="120">'x-814'!$B$17</definedName>
    <definedName name="TABLE_RELATED_1" localSheetId="121">'x-815'!$B$17</definedName>
    <definedName name="TABLE_RELATED_1" localSheetId="122">'x-816'!$B$17</definedName>
    <definedName name="TABLE_RELATED_2" localSheetId="29">'x-305'!$I$17</definedName>
    <definedName name="TABLE_RELATED_2" localSheetId="40">'x-409'!$K$17</definedName>
    <definedName name="TABLE_RELATED_2" localSheetId="44">'x-413'!$K$17</definedName>
    <definedName name="TABLE_RELATED_2" localSheetId="64">'x-607'!$G$17</definedName>
    <definedName name="TABLE_RELATED_2" localSheetId="101">'x-730'!$Q$17</definedName>
    <definedName name="TABLE_RELATED_2" localSheetId="104">'x-733'!$P$17</definedName>
    <definedName name="TABLE_RELATED_3" localSheetId="101">'x-730'!$AF$17</definedName>
    <definedName name="TABLE_RELATED_3" localSheetId="104">'x-733'!$AE$17</definedName>
    <definedName name="TABLE_RELATED_4" localSheetId="101">'x-730'!$AU$17</definedName>
    <definedName name="TABLE_RELATED_4" localSheetId="104">'x-733'!$AT$17</definedName>
    <definedName name="TABLE_SECTION_1" localSheetId="8">'x-201'!$B$8</definedName>
    <definedName name="TABLE_SECTION_1" localSheetId="9">'x-202'!$B$8</definedName>
    <definedName name="TABLE_SECTION_1" localSheetId="10">'x-203'!$B$8</definedName>
    <definedName name="TABLE_SECTION_1" localSheetId="11">'x-204'!$B$8</definedName>
    <definedName name="TABLE_SECTION_1" localSheetId="12">'x-205'!$B$8</definedName>
    <definedName name="TABLE_SECTION_1" localSheetId="13">'x-207'!$B$8</definedName>
    <definedName name="TABLE_SECTION_1" localSheetId="14">'x-208'!$B$8</definedName>
    <definedName name="TABLE_SECTION_1" localSheetId="15">'x-209'!$B$8</definedName>
    <definedName name="TABLE_SECTION_1" localSheetId="16">'x-211'!$B$8</definedName>
    <definedName name="TABLE_SECTION_1" localSheetId="17">'x-212'!$B$8</definedName>
    <definedName name="TABLE_SECTION_1" localSheetId="18">'x-213'!$B$8</definedName>
    <definedName name="TABLE_SECTION_1" localSheetId="19">'x-214'!$B$8</definedName>
    <definedName name="TABLE_SECTION_1" localSheetId="20">'x-215'!$B$8</definedName>
    <definedName name="TABLE_SECTION_1" localSheetId="21">'x-216'!$B$8</definedName>
    <definedName name="TABLE_SECTION_1" localSheetId="22">'x-217'!$B$8</definedName>
    <definedName name="TABLE_SECTION_1" localSheetId="23">'x-218'!$B$8</definedName>
    <definedName name="TABLE_SECTION_1" localSheetId="24">'x-223'!$B$8</definedName>
    <definedName name="TABLE_SECTION_1" localSheetId="25">'x-301'!$B$8</definedName>
    <definedName name="TABLE_SECTION_1" localSheetId="26">'x-302'!$B$8</definedName>
    <definedName name="TABLE_SECTION_1" localSheetId="27">'x-303'!$B$8</definedName>
    <definedName name="TABLE_SECTION_1" localSheetId="28">'x-304'!$B$8</definedName>
    <definedName name="TABLE_SECTION_1" localSheetId="29">'x-305'!$B$8</definedName>
    <definedName name="TABLE_SECTION_1" localSheetId="30">'x-306'!$B$8</definedName>
    <definedName name="TABLE_SECTION_1" localSheetId="31">'x-307'!$B$8</definedName>
    <definedName name="TABLE_SECTION_1" localSheetId="32">'x-401'!$B$8</definedName>
    <definedName name="TABLE_SECTION_1" localSheetId="33">'x-402'!$B$8</definedName>
    <definedName name="TABLE_SECTION_1" localSheetId="34">'x-403'!$B$8</definedName>
    <definedName name="TABLE_SECTION_1" localSheetId="35">'x-404'!$B$8</definedName>
    <definedName name="TABLE_SECTION_1" localSheetId="36">'x-405'!$B$8</definedName>
    <definedName name="TABLE_SECTION_1" localSheetId="37">'x-406'!$B$8</definedName>
    <definedName name="TABLE_SECTION_1" localSheetId="38">'x-407'!$B$8</definedName>
    <definedName name="TABLE_SECTION_1" localSheetId="39">'x-408'!$B$8</definedName>
    <definedName name="TABLE_SECTION_1" localSheetId="40">'x-409'!$B$8</definedName>
    <definedName name="TABLE_SECTION_1" localSheetId="41">'x-410'!$B$8</definedName>
    <definedName name="TABLE_SECTION_1" localSheetId="42">'x-411'!$B$8</definedName>
    <definedName name="TABLE_SECTION_1" localSheetId="43">'x-412'!$B$8</definedName>
    <definedName name="TABLE_SECTION_1" localSheetId="44">'x-413'!$B$8</definedName>
    <definedName name="TABLE_SECTION_1" localSheetId="45">'x-414'!$B$8</definedName>
    <definedName name="TABLE_SECTION_1" localSheetId="46">'x-415'!$B$8</definedName>
    <definedName name="TABLE_SECTION_1" localSheetId="47">'x-416'!$B$8</definedName>
    <definedName name="TABLE_SECTION_1" localSheetId="48">'x-417'!$B$8</definedName>
    <definedName name="TABLE_SECTION_1" localSheetId="49">'x-418'!$B$8</definedName>
    <definedName name="TABLE_SECTION_1" localSheetId="50">'x-419'!$B$8</definedName>
    <definedName name="TABLE_SECTION_1" localSheetId="51">'x-420'!$B$8</definedName>
    <definedName name="TABLE_SECTION_1" localSheetId="52">'x-421'!$B$8</definedName>
    <definedName name="TABLE_SECTION_1" localSheetId="53">'x-501'!$B$8</definedName>
    <definedName name="TABLE_SECTION_1" localSheetId="54">'x-502'!$B$8</definedName>
    <definedName name="TABLE_SECTION_1" localSheetId="55">'x-503'!$B$8</definedName>
    <definedName name="TABLE_SECTION_1" localSheetId="56">'x-504'!$B$8</definedName>
    <definedName name="TABLE_SECTION_1" localSheetId="57">'x-505'!$B$8</definedName>
    <definedName name="TABLE_SECTION_1" localSheetId="58">'x-601'!$B$8</definedName>
    <definedName name="TABLE_SECTION_1" localSheetId="59">'x-602'!$B$8</definedName>
    <definedName name="TABLE_SECTION_1" localSheetId="60">'x-603'!$B$8</definedName>
    <definedName name="TABLE_SECTION_1" localSheetId="61">'x-604'!$B$8</definedName>
    <definedName name="TABLE_SECTION_1" localSheetId="62">'x-605'!$B$8</definedName>
    <definedName name="TABLE_SECTION_1" localSheetId="63">'x-606'!$B$8</definedName>
    <definedName name="TABLE_SECTION_1" localSheetId="64">'x-607'!$B$8</definedName>
    <definedName name="TABLE_SECTION_1" localSheetId="65">'x-608'!$B$8</definedName>
    <definedName name="TABLE_SECTION_1" localSheetId="66">'x-609'!$B$8</definedName>
    <definedName name="TABLE_SECTION_1" localSheetId="67">'x-610'!$B$8</definedName>
    <definedName name="TABLE_SECTION_1" localSheetId="68">'x-611'!$B$8</definedName>
    <definedName name="TABLE_SECTION_1" localSheetId="69">'x-612'!$B$8</definedName>
    <definedName name="TABLE_SECTION_1" localSheetId="70">'x-613'!$B$8</definedName>
    <definedName name="TABLE_SECTION_1" localSheetId="71">'x-614'!$B$8</definedName>
    <definedName name="TABLE_SECTION_1" localSheetId="72">'x-615'!$B$8</definedName>
    <definedName name="TABLE_SECTION_1" localSheetId="73">'x-616'!$B$8</definedName>
    <definedName name="TABLE_SECTION_1" localSheetId="74">'x-617'!$B$8</definedName>
    <definedName name="TABLE_SECTION_1" localSheetId="75">'x-701'!$B$8</definedName>
    <definedName name="TABLE_SECTION_1" localSheetId="76">'x-702'!$B$8</definedName>
    <definedName name="TABLE_SECTION_1" localSheetId="77">'x-703'!$B$8</definedName>
    <definedName name="TABLE_SECTION_1" localSheetId="78">'x-704'!$B$8</definedName>
    <definedName name="TABLE_SECTION_1" localSheetId="79">'x-705'!$B$8</definedName>
    <definedName name="TABLE_SECTION_1" localSheetId="80">'x-706'!$B$8</definedName>
    <definedName name="TABLE_SECTION_1" localSheetId="81">'x-707'!$B$8</definedName>
    <definedName name="TABLE_SECTION_1" localSheetId="82">'x-708'!$B$8</definedName>
    <definedName name="TABLE_SECTION_1" localSheetId="83">'x-709'!$B$8</definedName>
    <definedName name="TABLE_SECTION_1" localSheetId="84">'x-710'!$B$8</definedName>
    <definedName name="TABLE_SECTION_1" localSheetId="85">'x-711'!$B$8</definedName>
    <definedName name="TABLE_SECTION_1" localSheetId="86">'x-712'!$B$8</definedName>
    <definedName name="TABLE_SECTION_1" localSheetId="87">'x-713'!$B$8</definedName>
    <definedName name="TABLE_SECTION_1" localSheetId="88">'x-714'!$B$8</definedName>
    <definedName name="TABLE_SECTION_1" localSheetId="89">'x-715'!$B$8</definedName>
    <definedName name="TABLE_SECTION_1" localSheetId="90">'x-716'!$B$8</definedName>
    <definedName name="TABLE_SECTION_1" localSheetId="91">'x-717'!$B$8</definedName>
    <definedName name="TABLE_SECTION_1" localSheetId="92">'x-718'!$B$8</definedName>
    <definedName name="TABLE_SECTION_1" localSheetId="93">'x-719'!$B$8</definedName>
    <definedName name="TABLE_SECTION_1" localSheetId="94">'x-720'!$B$8</definedName>
    <definedName name="TABLE_SECTION_1" localSheetId="95">'x-721'!$B$8</definedName>
    <definedName name="TABLE_SECTION_1" localSheetId="96">'x-725'!$B$8</definedName>
    <definedName name="TABLE_SECTION_1" localSheetId="97">'x-726'!$B$8</definedName>
    <definedName name="TABLE_SECTION_1" localSheetId="98">'x-727'!$B$8</definedName>
    <definedName name="TABLE_SECTION_1" localSheetId="99">'x-728'!$B$8</definedName>
    <definedName name="TABLE_SECTION_1" localSheetId="100">'x-729'!$B$8</definedName>
    <definedName name="TABLE_SECTION_1" localSheetId="101">'x-730'!$B$8</definedName>
    <definedName name="TABLE_SECTION_1" localSheetId="102">'x-731'!$B$8</definedName>
    <definedName name="TABLE_SECTION_1" localSheetId="103">'x-732'!$B$8</definedName>
    <definedName name="TABLE_SECTION_1" localSheetId="104">'x-733'!$B$8</definedName>
    <definedName name="TABLE_SECTION_1" localSheetId="105">'x-734'!$B$8</definedName>
    <definedName name="TABLE_SECTION_1" localSheetId="106">'x-735'!$B$8</definedName>
    <definedName name="TABLE_SECTION_1" localSheetId="107">'x-736'!$B$8</definedName>
    <definedName name="TABLE_SECTION_1" localSheetId="108">'x-801'!$B$8</definedName>
    <definedName name="TABLE_SECTION_1" localSheetId="109">'x-802'!$B$8</definedName>
    <definedName name="TABLE_SECTION_1" localSheetId="110">'x-803'!$B$8</definedName>
    <definedName name="TABLE_SECTION_1" localSheetId="111">'x-804'!$B$8</definedName>
    <definedName name="TABLE_SECTION_1" localSheetId="112">'x-805'!$B$8</definedName>
    <definedName name="TABLE_SECTION_1" localSheetId="113">'x-806'!$B$8</definedName>
    <definedName name="TABLE_SECTION_1" localSheetId="114">'x-807'!$B$8</definedName>
    <definedName name="TABLE_SECTION_1" localSheetId="115">'x-808'!$B$8</definedName>
    <definedName name="TABLE_SECTION_1" localSheetId="116">'x-810'!$B$8</definedName>
    <definedName name="TABLE_SECTION_1" localSheetId="117">'x-811'!$B$8</definedName>
    <definedName name="TABLE_SECTION_1" localSheetId="118">'x-812'!$B$8</definedName>
    <definedName name="TABLE_SECTION_1" localSheetId="119">'x-813'!$B$8</definedName>
    <definedName name="TABLE_SECTION_1" localSheetId="120">'x-814'!$B$8</definedName>
    <definedName name="TABLE_SECTION_1" localSheetId="121">'x-815'!$B$8</definedName>
    <definedName name="TABLE_SECTION_1" localSheetId="122">'x-816'!$B$8</definedName>
    <definedName name="TABLE_SECTION_2" localSheetId="29">'x-305'!$I$8</definedName>
    <definedName name="TABLE_SECTION_2" localSheetId="40">'x-409'!$K$8</definedName>
    <definedName name="TABLE_SECTION_2" localSheetId="44">'x-413'!$K$8</definedName>
    <definedName name="TABLE_SECTION_2" localSheetId="64">'x-607'!$G$8</definedName>
    <definedName name="TABLE_SECTION_2" localSheetId="101">'x-730'!$Q$8</definedName>
    <definedName name="TABLE_SECTION_2" localSheetId="104">'x-733'!$P$8</definedName>
    <definedName name="TABLE_SECTION_3" localSheetId="101">'x-730'!$AF$8</definedName>
    <definedName name="TABLE_SECTION_3" localSheetId="104">'x-733'!$AE$8</definedName>
    <definedName name="TABLE_SECTION_4" localSheetId="101">'x-730'!$AU$8</definedName>
    <definedName name="TABLE_SECTION_4" localSheetId="104">'x-733'!$AT$8</definedName>
    <definedName name="TABLE_SECTION_NUMBER_1" localSheetId="8">'x-201'!$B$13</definedName>
    <definedName name="TABLE_SECTION_NUMBER_1" localSheetId="9">'x-202'!$B$13</definedName>
    <definedName name="TABLE_SECTION_NUMBER_1" localSheetId="10">'x-203'!$B$13</definedName>
    <definedName name="TABLE_SECTION_NUMBER_1" localSheetId="11">'x-204'!$B$13</definedName>
    <definedName name="TABLE_SECTION_NUMBER_1" localSheetId="12">'x-205'!$B$13</definedName>
    <definedName name="TABLE_SECTION_NUMBER_1" localSheetId="13">'x-207'!$B$13</definedName>
    <definedName name="TABLE_SECTION_NUMBER_1" localSheetId="14">'x-208'!$B$13</definedName>
    <definedName name="TABLE_SECTION_NUMBER_1" localSheetId="15">'x-209'!$B$13</definedName>
    <definedName name="TABLE_SECTION_NUMBER_1" localSheetId="16">'x-211'!$B$13</definedName>
    <definedName name="TABLE_SECTION_NUMBER_1" localSheetId="17">'x-212'!$B$13</definedName>
    <definedName name="TABLE_SECTION_NUMBER_1" localSheetId="18">'x-213'!$B$13</definedName>
    <definedName name="TABLE_SECTION_NUMBER_1" localSheetId="19">'x-214'!$B$13</definedName>
    <definedName name="TABLE_SECTION_NUMBER_1" localSheetId="20">'x-215'!$B$13</definedName>
    <definedName name="TABLE_SECTION_NUMBER_1" localSheetId="21">'x-216'!$B$13</definedName>
    <definedName name="TABLE_SECTION_NUMBER_1" localSheetId="22">'x-217'!$B$13</definedName>
    <definedName name="TABLE_SECTION_NUMBER_1" localSheetId="23">'x-218'!$B$13</definedName>
    <definedName name="TABLE_SECTION_NUMBER_1" localSheetId="24">'x-223'!$B$13</definedName>
    <definedName name="TABLE_SECTION_NUMBER_1" localSheetId="25">'x-301'!$B$13</definedName>
    <definedName name="TABLE_SECTION_NUMBER_1" localSheetId="26">'x-302'!$B$13</definedName>
    <definedName name="TABLE_SECTION_NUMBER_1" localSheetId="27">'x-303'!$B$13</definedName>
    <definedName name="TABLE_SECTION_NUMBER_1" localSheetId="28">'x-304'!$B$13</definedName>
    <definedName name="TABLE_SECTION_NUMBER_1" localSheetId="29">'x-305'!$B$13</definedName>
    <definedName name="TABLE_SECTION_NUMBER_1" localSheetId="30">'x-306'!$B$13</definedName>
    <definedName name="TABLE_SECTION_NUMBER_1" localSheetId="31">'x-307'!$B$13</definedName>
    <definedName name="TABLE_SECTION_NUMBER_1" localSheetId="32">'x-401'!$B$13</definedName>
    <definedName name="TABLE_SECTION_NUMBER_1" localSheetId="33">'x-402'!$B$13</definedName>
    <definedName name="TABLE_SECTION_NUMBER_1" localSheetId="34">'x-403'!$B$13</definedName>
    <definedName name="TABLE_SECTION_NUMBER_1" localSheetId="35">'x-404'!$B$13</definedName>
    <definedName name="TABLE_SECTION_NUMBER_1" localSheetId="36">'x-405'!$B$13</definedName>
    <definedName name="TABLE_SECTION_NUMBER_1" localSheetId="37">'x-406'!$B$13</definedName>
    <definedName name="TABLE_SECTION_NUMBER_1" localSheetId="38">'x-407'!$B$13</definedName>
    <definedName name="TABLE_SECTION_NUMBER_1" localSheetId="39">'x-408'!$B$13</definedName>
    <definedName name="TABLE_SECTION_NUMBER_1" localSheetId="40">'x-409'!$B$13</definedName>
    <definedName name="TABLE_SECTION_NUMBER_1" localSheetId="41">'x-410'!$B$13</definedName>
    <definedName name="TABLE_SECTION_NUMBER_1" localSheetId="42">'x-411'!$B$13</definedName>
    <definedName name="TABLE_SECTION_NUMBER_1" localSheetId="43">'x-412'!$B$13</definedName>
    <definedName name="TABLE_SECTION_NUMBER_1" localSheetId="44">'x-413'!$B$13</definedName>
    <definedName name="TABLE_SECTION_NUMBER_1" localSheetId="45">'x-414'!$B$13</definedName>
    <definedName name="TABLE_SECTION_NUMBER_1" localSheetId="46">'x-415'!$B$13</definedName>
    <definedName name="TABLE_SECTION_NUMBER_1" localSheetId="47">'x-416'!$B$13</definedName>
    <definedName name="TABLE_SECTION_NUMBER_1" localSheetId="48">'x-417'!$B$13</definedName>
    <definedName name="TABLE_SECTION_NUMBER_1" localSheetId="49">'x-418'!$B$13</definedName>
    <definedName name="TABLE_SECTION_NUMBER_1" localSheetId="50">'x-419'!$B$13</definedName>
    <definedName name="TABLE_SECTION_NUMBER_1" localSheetId="51">'x-420'!$B$13</definedName>
    <definedName name="TABLE_SECTION_NUMBER_1" localSheetId="52">'x-421'!$B$13</definedName>
    <definedName name="TABLE_SECTION_NUMBER_1" localSheetId="53">'x-501'!$B$13</definedName>
    <definedName name="TABLE_SECTION_NUMBER_1" localSheetId="54">'x-502'!$B$13</definedName>
    <definedName name="TABLE_SECTION_NUMBER_1" localSheetId="55">'x-503'!$B$13</definedName>
    <definedName name="TABLE_SECTION_NUMBER_1" localSheetId="56">'x-504'!$B$13</definedName>
    <definedName name="TABLE_SECTION_NUMBER_1" localSheetId="57">'x-505'!$B$13</definedName>
    <definedName name="TABLE_SECTION_NUMBER_1" localSheetId="58">'x-601'!$B$13</definedName>
    <definedName name="TABLE_SECTION_NUMBER_1" localSheetId="59">'x-602'!$B$13</definedName>
    <definedName name="TABLE_SECTION_NUMBER_1" localSheetId="60">'x-603'!$B$13</definedName>
    <definedName name="TABLE_SECTION_NUMBER_1" localSheetId="61">'x-604'!$B$13</definedName>
    <definedName name="TABLE_SECTION_NUMBER_1" localSheetId="62">'x-605'!$B$13</definedName>
    <definedName name="TABLE_SECTION_NUMBER_1" localSheetId="63">'x-606'!$B$13</definedName>
    <definedName name="TABLE_SECTION_NUMBER_1" localSheetId="64">'x-607'!$B$13</definedName>
    <definedName name="TABLE_SECTION_NUMBER_1" localSheetId="65">'x-608'!$B$13</definedName>
    <definedName name="TABLE_SECTION_NUMBER_1" localSheetId="66">'x-609'!$B$13</definedName>
    <definedName name="TABLE_SECTION_NUMBER_1" localSheetId="67">'x-610'!$B$13</definedName>
    <definedName name="TABLE_SECTION_NUMBER_1" localSheetId="68">'x-611'!$B$13</definedName>
    <definedName name="TABLE_SECTION_NUMBER_1" localSheetId="69">'x-612'!$B$13</definedName>
    <definedName name="TABLE_SECTION_NUMBER_1" localSheetId="70">'x-613'!$B$13</definedName>
    <definedName name="TABLE_SECTION_NUMBER_1" localSheetId="71">'x-614'!$B$13</definedName>
    <definedName name="TABLE_SECTION_NUMBER_1" localSheetId="72">'x-615'!$B$13</definedName>
    <definedName name="TABLE_SECTION_NUMBER_1" localSheetId="73">'x-616'!$B$13</definedName>
    <definedName name="TABLE_SECTION_NUMBER_1" localSheetId="74">'x-617'!$B$13</definedName>
    <definedName name="TABLE_SECTION_NUMBER_1" localSheetId="75">'x-701'!$B$13</definedName>
    <definedName name="TABLE_SECTION_NUMBER_1" localSheetId="76">'x-702'!$B$13</definedName>
    <definedName name="TABLE_SECTION_NUMBER_1" localSheetId="77">'x-703'!$B$13</definedName>
    <definedName name="TABLE_SECTION_NUMBER_1" localSheetId="78">'x-704'!$B$13</definedName>
    <definedName name="TABLE_SECTION_NUMBER_1" localSheetId="79">'x-705'!$B$13</definedName>
    <definedName name="TABLE_SECTION_NUMBER_1" localSheetId="80">'x-706'!$B$13</definedName>
    <definedName name="TABLE_SECTION_NUMBER_1" localSheetId="81">'x-707'!$B$13</definedName>
    <definedName name="TABLE_SECTION_NUMBER_1" localSheetId="82">'x-708'!$B$13</definedName>
    <definedName name="TABLE_SECTION_NUMBER_1" localSheetId="83">'x-709'!$B$13</definedName>
    <definedName name="TABLE_SECTION_NUMBER_1" localSheetId="84">'x-710'!$B$13</definedName>
    <definedName name="TABLE_SECTION_NUMBER_1" localSheetId="85">'x-711'!$B$13</definedName>
    <definedName name="TABLE_SECTION_NUMBER_1" localSheetId="86">'x-712'!$B$13</definedName>
    <definedName name="TABLE_SECTION_NUMBER_1" localSheetId="87">'x-713'!$B$13</definedName>
    <definedName name="TABLE_SECTION_NUMBER_1" localSheetId="88">'x-714'!$B$13</definedName>
    <definedName name="TABLE_SECTION_NUMBER_1" localSheetId="89">'x-715'!$B$13</definedName>
    <definedName name="TABLE_SECTION_NUMBER_1" localSheetId="90">'x-716'!$B$13</definedName>
    <definedName name="TABLE_SECTION_NUMBER_1" localSheetId="91">'x-717'!$B$13</definedName>
    <definedName name="TABLE_SECTION_NUMBER_1" localSheetId="92">'x-718'!$B$13</definedName>
    <definedName name="TABLE_SECTION_NUMBER_1" localSheetId="93">'x-719'!$B$13</definedName>
    <definedName name="TABLE_SECTION_NUMBER_1" localSheetId="94">'x-720'!$B$13</definedName>
    <definedName name="TABLE_SECTION_NUMBER_1" localSheetId="95">'x-721'!$B$13</definedName>
    <definedName name="TABLE_SECTION_NUMBER_1" localSheetId="96">'x-725'!$B$13</definedName>
    <definedName name="TABLE_SECTION_NUMBER_1" localSheetId="97">'x-726'!$B$13</definedName>
    <definedName name="TABLE_SECTION_NUMBER_1" localSheetId="98">'x-727'!$B$13</definedName>
    <definedName name="TABLE_SECTION_NUMBER_1" localSheetId="99">'x-728'!$B$13</definedName>
    <definedName name="TABLE_SECTION_NUMBER_1" localSheetId="100">'x-729'!$B$13</definedName>
    <definedName name="TABLE_SECTION_NUMBER_1" localSheetId="101">'x-730'!$B$13</definedName>
    <definedName name="TABLE_SECTION_NUMBER_1" localSheetId="102">'x-731'!$B$13</definedName>
    <definedName name="TABLE_SECTION_NUMBER_1" localSheetId="103">'x-732'!$B$13</definedName>
    <definedName name="TABLE_SECTION_NUMBER_1" localSheetId="104">'x-733'!$B$13</definedName>
    <definedName name="TABLE_SECTION_NUMBER_1" localSheetId="105">'x-734'!$B$13</definedName>
    <definedName name="TABLE_SECTION_NUMBER_1" localSheetId="106">'x-735'!$B$13</definedName>
    <definedName name="TABLE_SECTION_NUMBER_1" localSheetId="107">'x-736'!$B$13</definedName>
    <definedName name="TABLE_SECTION_NUMBER_1" localSheetId="108">'x-801'!$B$13</definedName>
    <definedName name="TABLE_SECTION_NUMBER_1" localSheetId="109">'x-802'!$B$13</definedName>
    <definedName name="TABLE_SECTION_NUMBER_1" localSheetId="110">'x-803'!$B$13</definedName>
    <definedName name="TABLE_SECTION_NUMBER_1" localSheetId="111">'x-804'!$B$13</definedName>
    <definedName name="TABLE_SECTION_NUMBER_1" localSheetId="112">'x-805'!$B$13</definedName>
    <definedName name="TABLE_SECTION_NUMBER_1" localSheetId="113">'x-806'!$B$13</definedName>
    <definedName name="TABLE_SECTION_NUMBER_1" localSheetId="114">'x-807'!$B$13</definedName>
    <definedName name="TABLE_SECTION_NUMBER_1" localSheetId="115">'x-808'!$B$13</definedName>
    <definedName name="TABLE_SECTION_NUMBER_1" localSheetId="116">'x-810'!$B$13</definedName>
    <definedName name="TABLE_SECTION_NUMBER_1" localSheetId="117">'x-811'!$B$13</definedName>
    <definedName name="TABLE_SECTION_NUMBER_1" localSheetId="118">'x-812'!$B$13</definedName>
    <definedName name="TABLE_SECTION_NUMBER_1" localSheetId="119">'x-813'!$B$13</definedName>
    <definedName name="TABLE_SECTION_NUMBER_1" localSheetId="120">'x-814'!$B$13</definedName>
    <definedName name="TABLE_SECTION_NUMBER_1" localSheetId="121">'x-815'!$B$13</definedName>
    <definedName name="TABLE_SECTION_NUMBER_1" localSheetId="122">'x-816'!$B$13</definedName>
    <definedName name="TABLE_SECTION_NUMBER_2" localSheetId="29">'x-305'!$I$13</definedName>
    <definedName name="TABLE_SECTION_NUMBER_2" localSheetId="40">'x-409'!$K$13</definedName>
    <definedName name="TABLE_SECTION_NUMBER_2" localSheetId="44">'x-413'!$K$13</definedName>
    <definedName name="TABLE_SECTION_NUMBER_2" localSheetId="64">'x-607'!$G$13</definedName>
    <definedName name="TABLE_SECTION_NUMBER_2" localSheetId="101">'x-730'!$Q$13</definedName>
    <definedName name="TABLE_SECTION_NUMBER_2" localSheetId="104">'x-733'!$P$13</definedName>
    <definedName name="TABLE_SECTION_NUMBER_3" localSheetId="101">'x-730'!$AF$13</definedName>
    <definedName name="TABLE_SECTION_NUMBER_3" localSheetId="104">'x-733'!$AE$13</definedName>
    <definedName name="TABLE_SECTION_NUMBER_4" localSheetId="101">'x-730'!$AU$13</definedName>
    <definedName name="TABLE_SECTION_NUMBER_4" localSheetId="104">'x-733'!$AT$13</definedName>
    <definedName name="TABLE_SERIES_NUMBER_1" localSheetId="8">'x-201'!$B$14</definedName>
    <definedName name="TABLE_SERIES_NUMBER_1" localSheetId="9">'x-202'!$B$14</definedName>
    <definedName name="TABLE_SERIES_NUMBER_1" localSheetId="10">'x-203'!$B$14</definedName>
    <definedName name="TABLE_SERIES_NUMBER_1" localSheetId="11">'x-204'!$B$14</definedName>
    <definedName name="TABLE_SERIES_NUMBER_1" localSheetId="12">'x-205'!$B$14</definedName>
    <definedName name="TABLE_SERIES_NUMBER_1" localSheetId="13">'x-207'!$B$14</definedName>
    <definedName name="TABLE_SERIES_NUMBER_1" localSheetId="14">'x-208'!$B$14</definedName>
    <definedName name="TABLE_SERIES_NUMBER_1" localSheetId="15">'x-209'!$B$14</definedName>
    <definedName name="TABLE_SERIES_NUMBER_1" localSheetId="16">'x-211'!$B$14</definedName>
    <definedName name="TABLE_SERIES_NUMBER_1" localSheetId="17">'x-212'!$B$14</definedName>
    <definedName name="TABLE_SERIES_NUMBER_1" localSheetId="18">'x-213'!$B$14</definedName>
    <definedName name="TABLE_SERIES_NUMBER_1" localSheetId="19">'x-214'!$B$14</definedName>
    <definedName name="TABLE_SERIES_NUMBER_1" localSheetId="20">'x-215'!$B$14</definedName>
    <definedName name="TABLE_SERIES_NUMBER_1" localSheetId="21">'x-216'!$B$14</definedName>
    <definedName name="TABLE_SERIES_NUMBER_1" localSheetId="22">'x-217'!$B$14</definedName>
    <definedName name="TABLE_SERIES_NUMBER_1" localSheetId="23">'x-218'!$B$14</definedName>
    <definedName name="TABLE_SERIES_NUMBER_1" localSheetId="24">'x-223'!$B$14</definedName>
    <definedName name="TABLE_SERIES_NUMBER_1" localSheetId="25">'x-301'!$B$14</definedName>
    <definedName name="TABLE_SERIES_NUMBER_1" localSheetId="26">'x-302'!$B$14</definedName>
    <definedName name="TABLE_SERIES_NUMBER_1" localSheetId="27">'x-303'!$B$14</definedName>
    <definedName name="TABLE_SERIES_NUMBER_1" localSheetId="28">'x-304'!$B$14</definedName>
    <definedName name="TABLE_SERIES_NUMBER_1" localSheetId="29">'x-305'!$B$14</definedName>
    <definedName name="TABLE_SERIES_NUMBER_1" localSheetId="30">'x-306'!$B$14</definedName>
    <definedName name="TABLE_SERIES_NUMBER_1" localSheetId="31">'x-307'!$B$14</definedName>
    <definedName name="TABLE_SERIES_NUMBER_1" localSheetId="32">'x-401'!$B$14</definedName>
    <definedName name="TABLE_SERIES_NUMBER_1" localSheetId="33">'x-402'!$B$14</definedName>
    <definedName name="TABLE_SERIES_NUMBER_1" localSheetId="34">'x-403'!$B$14</definedName>
    <definedName name="TABLE_SERIES_NUMBER_1" localSheetId="35">'x-404'!$B$14</definedName>
    <definedName name="TABLE_SERIES_NUMBER_1" localSheetId="36">'x-405'!$B$14</definedName>
    <definedName name="TABLE_SERIES_NUMBER_1" localSheetId="37">'x-406'!$B$14</definedName>
    <definedName name="TABLE_SERIES_NUMBER_1" localSheetId="38">'x-407'!$B$14</definedName>
    <definedName name="TABLE_SERIES_NUMBER_1" localSheetId="39">'x-408'!$B$14</definedName>
    <definedName name="TABLE_SERIES_NUMBER_1" localSheetId="40">'x-409'!$B$14</definedName>
    <definedName name="TABLE_SERIES_NUMBER_1" localSheetId="41">'x-410'!$B$14</definedName>
    <definedName name="TABLE_SERIES_NUMBER_1" localSheetId="42">'x-411'!$B$14</definedName>
    <definedName name="TABLE_SERIES_NUMBER_1" localSheetId="43">'x-412'!$B$14</definedName>
    <definedName name="TABLE_SERIES_NUMBER_1" localSheetId="44">'x-413'!$B$14</definedName>
    <definedName name="TABLE_SERIES_NUMBER_1" localSheetId="45">'x-414'!$B$14</definedName>
    <definedName name="TABLE_SERIES_NUMBER_1" localSheetId="46">'x-415'!$B$14</definedName>
    <definedName name="TABLE_SERIES_NUMBER_1" localSheetId="47">'x-416'!$B$14</definedName>
    <definedName name="TABLE_SERIES_NUMBER_1" localSheetId="48">'x-417'!$B$14</definedName>
    <definedName name="TABLE_SERIES_NUMBER_1" localSheetId="49">'x-418'!$B$14</definedName>
    <definedName name="TABLE_SERIES_NUMBER_1" localSheetId="50">'x-419'!$B$14</definedName>
    <definedName name="TABLE_SERIES_NUMBER_1" localSheetId="51">'x-420'!$B$14</definedName>
    <definedName name="TABLE_SERIES_NUMBER_1" localSheetId="52">'x-421'!$B$14</definedName>
    <definedName name="TABLE_SERIES_NUMBER_1" localSheetId="53">'x-501'!$B$14</definedName>
    <definedName name="TABLE_SERIES_NUMBER_1" localSheetId="54">'x-502'!$B$14</definedName>
    <definedName name="TABLE_SERIES_NUMBER_1" localSheetId="55">'x-503'!$B$14</definedName>
    <definedName name="TABLE_SERIES_NUMBER_1" localSheetId="56">'x-504'!$B$14</definedName>
    <definedName name="TABLE_SERIES_NUMBER_1" localSheetId="57">'x-505'!$B$14</definedName>
    <definedName name="TABLE_SERIES_NUMBER_1" localSheetId="58">'x-601'!$B$14</definedName>
    <definedName name="TABLE_SERIES_NUMBER_1" localSheetId="59">'x-602'!$B$14</definedName>
    <definedName name="TABLE_SERIES_NUMBER_1" localSheetId="60">'x-603'!$B$14</definedName>
    <definedName name="TABLE_SERIES_NUMBER_1" localSheetId="61">'x-604'!$B$14</definedName>
    <definedName name="TABLE_SERIES_NUMBER_1" localSheetId="62">'x-605'!$B$14</definedName>
    <definedName name="TABLE_SERIES_NUMBER_1" localSheetId="63">'x-606'!$B$14</definedName>
    <definedName name="TABLE_SERIES_NUMBER_1" localSheetId="64">'x-607'!$B$14</definedName>
    <definedName name="TABLE_SERIES_NUMBER_1" localSheetId="65">'x-608'!$B$14</definedName>
    <definedName name="TABLE_SERIES_NUMBER_1" localSheetId="66">'x-609'!$B$14</definedName>
    <definedName name="TABLE_SERIES_NUMBER_1" localSheetId="67">'x-610'!$B$14</definedName>
    <definedName name="TABLE_SERIES_NUMBER_1" localSheetId="68">'x-611'!$B$14</definedName>
    <definedName name="TABLE_SERIES_NUMBER_1" localSheetId="69">'x-612'!$B$14</definedName>
    <definedName name="TABLE_SERIES_NUMBER_1" localSheetId="70">'x-613'!$B$14</definedName>
    <definedName name="TABLE_SERIES_NUMBER_1" localSheetId="71">'x-614'!$B$14</definedName>
    <definedName name="TABLE_SERIES_NUMBER_1" localSheetId="72">'x-615'!$B$14</definedName>
    <definedName name="TABLE_SERIES_NUMBER_1" localSheetId="73">'x-616'!$B$14</definedName>
    <definedName name="TABLE_SERIES_NUMBER_1" localSheetId="74">'x-617'!$B$14</definedName>
    <definedName name="TABLE_SERIES_NUMBER_1" localSheetId="75">'x-701'!$B$14</definedName>
    <definedName name="TABLE_SERIES_NUMBER_1" localSheetId="76">'x-702'!$B$14</definedName>
    <definedName name="TABLE_SERIES_NUMBER_1" localSheetId="77">'x-703'!$B$14</definedName>
    <definedName name="TABLE_SERIES_NUMBER_1" localSheetId="78">'x-704'!$B$14</definedName>
    <definedName name="TABLE_SERIES_NUMBER_1" localSheetId="79">'x-705'!$B$14</definedName>
    <definedName name="TABLE_SERIES_NUMBER_1" localSheetId="80">'x-706'!$B$14</definedName>
    <definedName name="TABLE_SERIES_NUMBER_1" localSheetId="81">'x-707'!$B$14</definedName>
    <definedName name="TABLE_SERIES_NUMBER_1" localSheetId="82">'x-708'!$B$14</definedName>
    <definedName name="TABLE_SERIES_NUMBER_1" localSheetId="83">'x-709'!$B$14</definedName>
    <definedName name="TABLE_SERIES_NUMBER_1" localSheetId="84">'x-710'!$B$14</definedName>
    <definedName name="TABLE_SERIES_NUMBER_1" localSheetId="85">'x-711'!$B$14</definedName>
    <definedName name="TABLE_SERIES_NUMBER_1" localSheetId="86">'x-712'!$B$14</definedName>
    <definedName name="TABLE_SERIES_NUMBER_1" localSheetId="87">'x-713'!$B$14</definedName>
    <definedName name="TABLE_SERIES_NUMBER_1" localSheetId="88">'x-714'!$B$14</definedName>
    <definedName name="TABLE_SERIES_NUMBER_1" localSheetId="89">'x-715'!$B$14</definedName>
    <definedName name="TABLE_SERIES_NUMBER_1" localSheetId="90">'x-716'!$B$14</definedName>
    <definedName name="TABLE_SERIES_NUMBER_1" localSheetId="91">'x-717'!$B$14</definedName>
    <definedName name="TABLE_SERIES_NUMBER_1" localSheetId="92">'x-718'!$B$14</definedName>
    <definedName name="TABLE_SERIES_NUMBER_1" localSheetId="93">'x-719'!$B$14</definedName>
    <definedName name="TABLE_SERIES_NUMBER_1" localSheetId="94">'x-720'!$B$14</definedName>
    <definedName name="TABLE_SERIES_NUMBER_1" localSheetId="95">'x-721'!$B$14</definedName>
    <definedName name="TABLE_SERIES_NUMBER_1" localSheetId="96">'x-725'!$B$14</definedName>
    <definedName name="TABLE_SERIES_NUMBER_1" localSheetId="97">'x-726'!$B$14</definedName>
    <definedName name="TABLE_SERIES_NUMBER_1" localSheetId="98">'x-727'!$B$14</definedName>
    <definedName name="TABLE_SERIES_NUMBER_1" localSheetId="99">'x-728'!$B$14</definedName>
    <definedName name="TABLE_SERIES_NUMBER_1" localSheetId="100">'x-729'!$B$14</definedName>
    <definedName name="TABLE_SERIES_NUMBER_1" localSheetId="101">'x-730'!$B$14</definedName>
    <definedName name="TABLE_SERIES_NUMBER_1" localSheetId="102">'x-731'!$B$14</definedName>
    <definedName name="TABLE_SERIES_NUMBER_1" localSheetId="103">'x-732'!$B$14</definedName>
    <definedName name="TABLE_SERIES_NUMBER_1" localSheetId="104">'x-733'!$B$14</definedName>
    <definedName name="TABLE_SERIES_NUMBER_1" localSheetId="105">'x-734'!$B$14</definedName>
    <definedName name="TABLE_SERIES_NUMBER_1" localSheetId="106">'x-735'!$B$14</definedName>
    <definedName name="TABLE_SERIES_NUMBER_1" localSheetId="107">'x-736'!$B$14</definedName>
    <definedName name="TABLE_SERIES_NUMBER_1" localSheetId="108">'x-801'!$B$14</definedName>
    <definedName name="TABLE_SERIES_NUMBER_1" localSheetId="109">'x-802'!$B$14</definedName>
    <definedName name="TABLE_SERIES_NUMBER_1" localSheetId="110">'x-803'!$B$14</definedName>
    <definedName name="TABLE_SERIES_NUMBER_1" localSheetId="111">'x-804'!$B$14</definedName>
    <definedName name="TABLE_SERIES_NUMBER_1" localSheetId="112">'x-805'!$B$14</definedName>
    <definedName name="TABLE_SERIES_NUMBER_1" localSheetId="113">'x-806'!$B$14</definedName>
    <definedName name="TABLE_SERIES_NUMBER_1" localSheetId="114">'x-807'!$B$14</definedName>
    <definedName name="TABLE_SERIES_NUMBER_1" localSheetId="115">'x-808'!$B$14</definedName>
    <definedName name="TABLE_SERIES_NUMBER_1" localSheetId="116">'x-810'!$B$14</definedName>
    <definedName name="TABLE_SERIES_NUMBER_1" localSheetId="117">'x-811'!$B$14</definedName>
    <definedName name="TABLE_SERIES_NUMBER_1" localSheetId="118">'x-812'!$B$14</definedName>
    <definedName name="TABLE_SERIES_NUMBER_1" localSheetId="119">'x-813'!$B$14</definedName>
    <definedName name="TABLE_SERIES_NUMBER_1" localSheetId="120">'x-814'!$B$14</definedName>
    <definedName name="TABLE_SERIES_NUMBER_1" localSheetId="121">'x-815'!$B$14</definedName>
    <definedName name="TABLE_SERIES_NUMBER_1" localSheetId="122">'x-816'!$B$14</definedName>
    <definedName name="TABLE_SERIES_NUMBER_2" localSheetId="29">'x-305'!$I$14</definedName>
    <definedName name="TABLE_SERIES_NUMBER_2" localSheetId="40">'x-409'!$K$14</definedName>
    <definedName name="TABLE_SERIES_NUMBER_2" localSheetId="44">'x-413'!$K$14</definedName>
    <definedName name="TABLE_SERIES_NUMBER_2" localSheetId="64">'x-607'!$G$14</definedName>
    <definedName name="TABLE_SERIES_NUMBER_2" localSheetId="101">'x-730'!$Q$14</definedName>
    <definedName name="TABLE_SERIES_NUMBER_2" localSheetId="104">'x-733'!$P$14</definedName>
    <definedName name="TABLE_SERIES_NUMBER_3" localSheetId="101">'x-730'!$AF$14</definedName>
    <definedName name="TABLE_SERIES_NUMBER_3" localSheetId="104">'x-733'!$AE$14</definedName>
    <definedName name="TABLE_SERIES_NUMBER_4" localSheetId="101">'x-730'!$AU$14</definedName>
    <definedName name="TABLE_SERIES_NUMBER_4" localSheetId="104">'x-733'!$AT$14</definedName>
    <definedName name="title">Cover!$A$2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2" i="55" l="1"/>
  <c r="A131" i="55"/>
  <c r="A130" i="55"/>
  <c r="A129" i="55"/>
  <c r="A128" i="55"/>
  <c r="A127" i="55"/>
  <c r="A126" i="55"/>
  <c r="A125" i="55"/>
  <c r="A124" i="55"/>
  <c r="A123" i="55"/>
  <c r="A122" i="55"/>
  <c r="A121" i="55"/>
  <c r="A120" i="55"/>
  <c r="A119" i="55"/>
  <c r="A118" i="55"/>
  <c r="A117" i="55"/>
  <c r="A116" i="55"/>
  <c r="A115" i="55"/>
  <c r="A114" i="55"/>
  <c r="A113" i="55"/>
  <c r="A112" i="55"/>
  <c r="A111" i="55"/>
  <c r="A110" i="55"/>
  <c r="A109" i="55"/>
  <c r="A108" i="55"/>
  <c r="A107" i="55"/>
  <c r="A106" i="55"/>
  <c r="A105" i="55"/>
  <c r="A104" i="55"/>
  <c r="A103" i="55"/>
  <c r="A102" i="55"/>
  <c r="A101" i="55"/>
  <c r="A100" i="55"/>
  <c r="A99" i="55"/>
  <c r="A98" i="55"/>
  <c r="A97" i="55"/>
  <c r="A96" i="55"/>
  <c r="A95" i="55"/>
  <c r="A94" i="55"/>
  <c r="A93" i="55"/>
  <c r="A92" i="55"/>
  <c r="A91" i="55"/>
  <c r="A90" i="55"/>
  <c r="A89" i="55"/>
  <c r="A88" i="55"/>
  <c r="A87" i="55"/>
  <c r="A86" i="55"/>
  <c r="A85" i="55"/>
  <c r="A84" i="55"/>
  <c r="A83" i="55"/>
  <c r="A82" i="55"/>
  <c r="A81" i="55"/>
  <c r="A80" i="55"/>
  <c r="A79" i="55"/>
  <c r="A78" i="55"/>
  <c r="A77" i="55"/>
  <c r="A76" i="55"/>
  <c r="A75" i="55"/>
  <c r="A74" i="55"/>
  <c r="A73" i="55"/>
  <c r="A72" i="55"/>
  <c r="A71" i="55"/>
  <c r="A70" i="55"/>
  <c r="A69" i="55"/>
  <c r="A68" i="55"/>
  <c r="A67" i="55"/>
  <c r="A66" i="55"/>
  <c r="A65" i="55"/>
  <c r="A64" i="55"/>
  <c r="A63" i="55"/>
  <c r="A62" i="55"/>
  <c r="A61" i="55"/>
  <c r="A60" i="55"/>
  <c r="A59" i="55"/>
  <c r="A58" i="55"/>
  <c r="A57" i="55"/>
  <c r="A56" i="55"/>
  <c r="A55" i="55"/>
  <c r="A54" i="55"/>
  <c r="A53" i="55"/>
  <c r="A52" i="55"/>
  <c r="A51" i="55"/>
  <c r="A50" i="55"/>
  <c r="A49" i="55"/>
  <c r="A48" i="55"/>
  <c r="A47" i="55"/>
  <c r="A46" i="55"/>
  <c r="A45" i="55"/>
  <c r="A44" i="55"/>
  <c r="A43" i="55"/>
  <c r="A42" i="55"/>
  <c r="A41" i="55"/>
  <c r="A40" i="55"/>
  <c r="A39" i="55"/>
  <c r="A38" i="55"/>
  <c r="A37" i="55"/>
  <c r="A36" i="55"/>
  <c r="A35" i="55"/>
  <c r="A34" i="55"/>
  <c r="A33" i="55"/>
  <c r="A32" i="55"/>
  <c r="A31" i="55"/>
  <c r="A30" i="55"/>
  <c r="A29" i="55"/>
  <c r="A28" i="55"/>
  <c r="A27" i="55"/>
  <c r="A26" i="55"/>
  <c r="A25" i="55"/>
  <c r="A24" i="55"/>
  <c r="A23" i="55"/>
  <c r="A22" i="55"/>
  <c r="A21" i="55"/>
  <c r="A20" i="55"/>
  <c r="A19" i="55"/>
  <c r="A18" i="55"/>
  <c r="A17" i="55"/>
  <c r="A16" i="55"/>
  <c r="A15" i="55"/>
  <c r="A14" i="55"/>
  <c r="A13" i="55"/>
  <c r="A12" i="55"/>
  <c r="A11" i="55"/>
  <c r="A10" i="55"/>
  <c r="A9" i="55"/>
  <c r="A8" i="55"/>
  <c r="A3" i="105"/>
  <c r="A3" i="106"/>
  <c r="A3" i="107"/>
  <c r="A3" i="108"/>
  <c r="A3" i="110"/>
  <c r="A3" i="111"/>
  <c r="A3" i="112"/>
  <c r="A3" i="114"/>
  <c r="A3" i="115"/>
  <c r="A3" i="120"/>
  <c r="A3" i="121"/>
  <c r="A3" i="190"/>
  <c r="A3" i="191"/>
  <c r="A3" i="192"/>
  <c r="A3" i="193"/>
  <c r="A3" i="198"/>
  <c r="A3" i="116"/>
  <c r="A3" i="117"/>
  <c r="A3" i="118"/>
  <c r="A3" i="119"/>
  <c r="A3" i="143"/>
  <c r="A3" i="144"/>
  <c r="A3" i="145"/>
  <c r="A3" i="122"/>
  <c r="A3" i="123"/>
  <c r="A3" i="124"/>
  <c r="A3" i="125"/>
  <c r="A3" i="126"/>
  <c r="A3" i="127"/>
  <c r="A3" i="128"/>
  <c r="A3" i="129"/>
  <c r="A3" i="130"/>
  <c r="A3" i="131"/>
  <c r="A3" i="132"/>
  <c r="A3" i="133"/>
  <c r="A3" i="134"/>
  <c r="A3" i="135"/>
  <c r="A3" i="136"/>
  <c r="A3" i="137"/>
  <c r="A3" i="138"/>
  <c r="A3" i="139"/>
  <c r="A3" i="140"/>
  <c r="A3" i="141"/>
  <c r="A3" i="142"/>
  <c r="A3" i="146"/>
  <c r="A3" i="147"/>
  <c r="A3" i="148"/>
  <c r="A3" i="149"/>
  <c r="A3" i="237"/>
  <c r="A3" i="150"/>
  <c r="A3" i="151"/>
  <c r="A3" i="152"/>
  <c r="A3" i="153"/>
  <c r="A3" i="154"/>
  <c r="A3" i="155"/>
  <c r="A3" i="156"/>
  <c r="A3" i="157"/>
  <c r="A3" i="158"/>
  <c r="A3" i="159"/>
  <c r="A3" i="160"/>
  <c r="A3" i="161"/>
  <c r="A3" i="162"/>
  <c r="A3" i="163"/>
  <c r="A3" i="164"/>
  <c r="A3" i="165"/>
  <c r="A3" i="166"/>
  <c r="A3" i="209"/>
  <c r="A3" i="210"/>
  <c r="A3" i="211"/>
  <c r="A3" i="212"/>
  <c r="A3" i="213"/>
  <c r="A3" i="214"/>
  <c r="A3" i="215"/>
  <c r="A3" i="216"/>
  <c r="A3" i="217"/>
  <c r="A3" i="218"/>
  <c r="A3" i="219"/>
  <c r="A3" i="220"/>
  <c r="A3" i="221"/>
  <c r="A3" i="167"/>
  <c r="A3" i="168"/>
  <c r="A3" i="169"/>
  <c r="A3" i="170"/>
  <c r="A3" i="171"/>
  <c r="A3" i="172"/>
  <c r="A3" i="173"/>
  <c r="A3" i="174"/>
  <c r="A3" i="178"/>
  <c r="A3" i="179"/>
  <c r="A3" i="180"/>
  <c r="A3" i="181"/>
  <c r="A3" i="182"/>
  <c r="A3" i="183"/>
  <c r="A3" i="184"/>
  <c r="A3" i="185"/>
  <c r="A3" i="186"/>
  <c r="A3" i="187"/>
  <c r="A3" i="188"/>
  <c r="A3" i="189"/>
  <c r="A3" i="199"/>
  <c r="A3" i="200"/>
  <c r="A3" i="201"/>
  <c r="A3" i="202"/>
  <c r="A3" i="203"/>
  <c r="A3" i="204"/>
  <c r="A3" i="205"/>
  <c r="A3" i="206"/>
  <c r="A3" i="208"/>
  <c r="A3" i="222"/>
  <c r="A3" i="223"/>
  <c r="A3" i="224"/>
  <c r="A3" i="225"/>
  <c r="A3" i="239"/>
  <c r="A3" i="240"/>
  <c r="A3" i="104"/>
  <c r="B23" i="240" l="1"/>
  <c r="A2" i="240"/>
  <c r="B23" i="239"/>
  <c r="A2" i="239"/>
  <c r="B23" i="237"/>
  <c r="A2" i="237"/>
  <c r="A2" i="235"/>
  <c r="B23" i="146"/>
  <c r="B23" i="225"/>
  <c r="B23" i="224"/>
  <c r="B23" i="223"/>
  <c r="B23" i="222"/>
  <c r="B23" i="208"/>
  <c r="B23" i="206"/>
  <c r="B23" i="205"/>
  <c r="B23" i="204"/>
  <c r="B23" i="203"/>
  <c r="B23" i="202"/>
  <c r="B23" i="201"/>
  <c r="B23" i="200"/>
  <c r="B23" i="199"/>
  <c r="B23" i="189"/>
  <c r="B23" i="188"/>
  <c r="B23" i="187"/>
  <c r="B23" i="186"/>
  <c r="B23" i="185"/>
  <c r="B23" i="184"/>
  <c r="B23" i="183"/>
  <c r="B23" i="182"/>
  <c r="B23" i="181"/>
  <c r="B23" i="180"/>
  <c r="B23" i="179"/>
  <c r="B23" i="178"/>
  <c r="B23" i="174"/>
  <c r="B23" i="173"/>
  <c r="B23" i="172"/>
  <c r="B23" i="171"/>
  <c r="B23" i="170"/>
  <c r="B23" i="169"/>
  <c r="B23" i="168"/>
  <c r="B23" i="167"/>
  <c r="B23" i="221"/>
  <c r="B23" i="220"/>
  <c r="B23" i="219"/>
  <c r="B23" i="218"/>
  <c r="B23" i="217"/>
  <c r="B23" i="216"/>
  <c r="B23" i="215"/>
  <c r="B23" i="214"/>
  <c r="B23" i="213"/>
  <c r="B23" i="212"/>
  <c r="B23" i="211"/>
  <c r="B23" i="210"/>
  <c r="B23" i="209"/>
  <c r="B23" i="166"/>
  <c r="B23" i="165"/>
  <c r="B23" i="164"/>
  <c r="B23" i="163"/>
  <c r="B23" i="162"/>
  <c r="B23" i="161"/>
  <c r="B23" i="160"/>
  <c r="B23" i="159"/>
  <c r="B23" i="158"/>
  <c r="B23" i="157"/>
  <c r="B23" i="156"/>
  <c r="B23" i="155"/>
  <c r="B23" i="154"/>
  <c r="B23" i="153"/>
  <c r="B23" i="152"/>
  <c r="B23" i="151"/>
  <c r="B23" i="150"/>
  <c r="B23" i="149"/>
  <c r="B23" i="148"/>
  <c r="B23" i="147"/>
  <c r="B23" i="142"/>
  <c r="B23" i="141"/>
  <c r="B23" i="140"/>
  <c r="B23" i="139"/>
  <c r="B23" i="138"/>
  <c r="B23" i="137"/>
  <c r="B23" i="136"/>
  <c r="B23" i="135"/>
  <c r="B23" i="134"/>
  <c r="B23" i="133"/>
  <c r="B23" i="132"/>
  <c r="B23" i="131"/>
  <c r="B23" i="130"/>
  <c r="B23" i="129"/>
  <c r="B23" i="128"/>
  <c r="B23" i="127"/>
  <c r="B23" i="126"/>
  <c r="B23" i="125"/>
  <c r="B23" i="124"/>
  <c r="B23" i="123"/>
  <c r="B23" i="122"/>
  <c r="B23" i="145"/>
  <c r="B23" i="144"/>
  <c r="B23" i="143"/>
  <c r="B23" i="190"/>
  <c r="B23" i="119"/>
  <c r="B23" i="118"/>
  <c r="B23" i="117"/>
  <c r="B23" i="116"/>
  <c r="B23" i="198"/>
  <c r="B23" i="193"/>
  <c r="B23" i="192"/>
  <c r="B23" i="191"/>
  <c r="B23" i="121"/>
  <c r="B23" i="120"/>
  <c r="B23" i="115"/>
  <c r="B23" i="114"/>
  <c r="B23" i="112"/>
  <c r="B23" i="111"/>
  <c r="B23" i="110"/>
  <c r="B23" i="108"/>
  <c r="B23" i="107"/>
  <c r="B23" i="106"/>
  <c r="B23" i="105"/>
  <c r="B23" i="104"/>
  <c r="B22" i="102" l="1"/>
  <c r="A2" i="225" l="1"/>
  <c r="A2" i="224"/>
  <c r="A2" i="223"/>
  <c r="A2" i="222"/>
  <c r="A2" i="221" l="1"/>
  <c r="A2" i="220"/>
  <c r="A2" i="219"/>
  <c r="A2" i="218"/>
  <c r="A2" i="217"/>
  <c r="A2" i="216"/>
  <c r="A2" i="215"/>
  <c r="A2" i="214"/>
  <c r="A2" i="213"/>
  <c r="A2" i="212"/>
  <c r="A2" i="211"/>
  <c r="A2" i="210"/>
  <c r="A2" i="209"/>
  <c r="A2" i="208" l="1"/>
  <c r="A2" i="206" l="1"/>
  <c r="A2" i="205"/>
  <c r="A2" i="204"/>
  <c r="A2" i="203"/>
  <c r="A2" i="202"/>
  <c r="A2" i="201"/>
  <c r="A2" i="200"/>
  <c r="A2" i="199"/>
  <c r="A2" i="198" l="1"/>
  <c r="A2" i="193"/>
  <c r="A2" i="192"/>
  <c r="A2" i="191"/>
  <c r="A2" i="190"/>
  <c r="A2" i="189" l="1"/>
  <c r="A2" i="188"/>
  <c r="A2" i="187"/>
  <c r="A2" i="186"/>
  <c r="A2" i="185"/>
  <c r="A2" i="184"/>
  <c r="A2" i="183"/>
  <c r="A2" i="182" l="1"/>
  <c r="A2" i="181"/>
  <c r="A2" i="180"/>
  <c r="A2" i="179"/>
  <c r="A2" i="178"/>
  <c r="A2" i="174"/>
  <c r="A2" i="173"/>
  <c r="A2" i="172"/>
  <c r="A2" i="171"/>
  <c r="A2" i="170"/>
  <c r="A2" i="169"/>
  <c r="A2" i="168"/>
  <c r="A2" i="167"/>
  <c r="A2" i="166" l="1"/>
  <c r="A2" i="165"/>
  <c r="A2" i="164"/>
  <c r="A2" i="163"/>
  <c r="A2" i="162"/>
  <c r="A2" i="161"/>
  <c r="A2" i="160"/>
  <c r="A2" i="159"/>
  <c r="A2" i="158"/>
  <c r="A2" i="157"/>
  <c r="A2" i="156"/>
  <c r="A2" i="155"/>
  <c r="A2" i="154"/>
  <c r="A2" i="153"/>
  <c r="A2" i="152"/>
  <c r="A2" i="151"/>
  <c r="A2" i="150"/>
  <c r="A2" i="149" l="1"/>
  <c r="A2" i="148"/>
  <c r="A2" i="147"/>
  <c r="A2" i="146"/>
  <c r="A2" i="145"/>
  <c r="A2" i="144"/>
  <c r="A2" i="143"/>
  <c r="A2" i="142" l="1"/>
  <c r="A2" i="141"/>
  <c r="A2" i="140"/>
  <c r="A2" i="139"/>
  <c r="A2" i="138"/>
  <c r="A2" i="137"/>
  <c r="A2" i="136"/>
  <c r="A2" i="135"/>
  <c r="A2" i="134"/>
  <c r="A2" i="133"/>
  <c r="A2" i="132"/>
  <c r="A2" i="131"/>
  <c r="A2" i="130"/>
  <c r="A2" i="129"/>
  <c r="A2" i="128"/>
  <c r="A2" i="127"/>
  <c r="A2" i="126"/>
  <c r="A2" i="125"/>
  <c r="A2" i="124"/>
  <c r="A2" i="123"/>
  <c r="A2" i="122"/>
  <c r="A4" i="1" l="1"/>
  <c r="A4" i="77"/>
  <c r="A2" i="121"/>
  <c r="A2" i="120"/>
  <c r="A2" i="119" l="1"/>
  <c r="A2" i="118"/>
  <c r="A2" i="117"/>
  <c r="A2" i="116"/>
  <c r="A2" i="115"/>
  <c r="A2" i="114"/>
  <c r="A2" i="112"/>
  <c r="A2" i="111"/>
  <c r="A2" i="110"/>
  <c r="A2" i="108"/>
  <c r="A2" i="107"/>
  <c r="A2" i="106"/>
  <c r="A2" i="105"/>
  <c r="A2" i="104"/>
  <c r="A3" i="102" l="1"/>
  <c r="A4" i="102" l="1"/>
  <c r="A2" i="102"/>
  <c r="A4" i="84" l="1"/>
  <c r="A2" i="84"/>
  <c r="A2" i="78"/>
  <c r="A2" i="77"/>
  <c r="A2" i="55" l="1"/>
</calcChain>
</file>

<file path=xl/sharedStrings.xml><?xml version="1.0" encoding="utf-8"?>
<sst xmlns="http://schemas.openxmlformats.org/spreadsheetml/2006/main" count="6042" uniqueCount="984">
  <si>
    <t>Government Actuary's Department</t>
  </si>
  <si>
    <t>Civil Service Pension Schemes - Consolidated Factor Spreadsheet</t>
  </si>
  <si>
    <t>Cover</t>
  </si>
  <si>
    <t>Specification</t>
  </si>
  <si>
    <t>This spreadsheet contains the full suite of factors that are in force for the Civil Service Pension Schemes</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</si>
  <si>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</si>
  <si>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</si>
  <si>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</si>
  <si>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</si>
  <si>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</si>
  <si>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</si>
  <si>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Factor List</t>
  </si>
  <si>
    <t xml:space="preserve">This sheet lists the full suite of factors that are in force together with the following information: </t>
  </si>
  <si>
    <t>Assumptions</t>
  </si>
  <si>
    <t>This sheet lists the suite of key assumptions underlying the factors set out in this speadsheet.</t>
  </si>
  <si>
    <t>Club 2023 Table 2 and onwards</t>
  </si>
  <si>
    <t xml:space="preserve">The 100 series factors contain the club transfer factors. Each different type of club transfer factor is set out on a separate sheet starting with sheet Club 2023 Table 2. </t>
  </si>
  <si>
    <t>x-201 and onwards</t>
  </si>
  <si>
    <t xml:space="preserve">The 200 series factors contain the non club transfer factors. Each different type of non club transfer factor is set out on a separate sheet starting with sheet x-201, where x relates to the scheme (0 for CSOPS and 1 for PCSPS). </t>
  </si>
  <si>
    <t>x-301 and onwards</t>
  </si>
  <si>
    <t xml:space="preserve">The 300 series factors contain the pension sharing on divorce factors. Each different type of pension sharing on divorce factor is set out on a separate sheet starting with sheet x-301, where x relates to the scheme (0 for CSOPS and 1 for PCSPS). </t>
  </si>
  <si>
    <t>x-401 and onwards</t>
  </si>
  <si>
    <t xml:space="preserve">The 400 series factors contain early and late retirement factors. Each different type of early or late retirement factor is set out on a separate sheet starting with sheet x-401, where x relates to the scheme (0 for CSOPS and 1 for PCSPS). </t>
  </si>
  <si>
    <t>x-501 and onwards</t>
  </si>
  <si>
    <t xml:space="preserve">The 500 series factors contain the commutation factors. Each different type of commutation factor is set out on a separate sheet starting with sheet x-501, where x relates to the scheme (0 for CSOPS and 1 for PCSPS). </t>
  </si>
  <si>
    <t>x-601 and onwards</t>
  </si>
  <si>
    <t xml:space="preserve">The 600 series factors contain the scheme pays factors. Each different type of scheme pays factor is set out on a separate sheet starting with sheet x-601, where x relates to the scheme (0 for CSOPS and 1 for PCSPS). </t>
  </si>
  <si>
    <t>x-701 and onwards</t>
  </si>
  <si>
    <t xml:space="preserve">The 700 series factors contain the additional benefit or additional contribution factors. Each different type of additional benefit or additional contribution factor is set out on a separate sheet starting with sheet x-701, where x relates to the scheme (0 for CSOPS and 1 for PCSPS). </t>
  </si>
  <si>
    <t>x-801 and onwards</t>
  </si>
  <si>
    <t xml:space="preserve">The 800 series factors contain the other scheme specific factors. Each different type of other scheme specific factor is set out on a separate sheet starting with sheet x-801, where x relates to the scheme (0 for CSOPS and 1 for PCSPS). </t>
  </si>
  <si>
    <t>Purpose of Spreadsheet</t>
  </si>
  <si>
    <t>Purpose of the Cabinet Office Consolidated Factor Spreadsheet</t>
  </si>
  <si>
    <t xml:space="preserve">This spreadsheet is provided by GAD at the request of  Cabinet Office (CO).  Its purpose is to set out in one place for convenience the actuarial factors provided by GAD to CO from time to time in respect of the Civil Service Pension Schemes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CO).   
GAD has no liability for any changes made to this spreadsheet whilst being used by CO or any other third party.
This spreadsheet should not be made available online without the express permission of GAD. 
This spreadsheet is password protected. 
</t>
  </si>
  <si>
    <t>Version Control</t>
  </si>
  <si>
    <t>Version control</t>
  </si>
  <si>
    <t xml:space="preserve">This sheet is intended to assist Cabinet Office in understanding which factors have changed and when. </t>
  </si>
  <si>
    <t>Version control on this sheet commences with the 2017/18 factor review (version 2018-1)</t>
  </si>
  <si>
    <t>Version 2018 - 1 (9 November 2018)</t>
  </si>
  <si>
    <t>Provides the following new factor tables:</t>
  </si>
  <si>
    <t>Provides the following revised factors:</t>
  </si>
  <si>
    <t>x-200 and x-300 series</t>
  </si>
  <si>
    <t>Confirms that the following factor table is no longer required by CO:</t>
  </si>
  <si>
    <t>Factors still to follow:</t>
  </si>
  <si>
    <t>x-100, x-400, x-500, x-600, x-700, and x800 series</t>
  </si>
  <si>
    <t>Methodology changes:</t>
  </si>
  <si>
    <t>None - table should be used with existing guidance notes as referenced</t>
  </si>
  <si>
    <t>Date modified:</t>
  </si>
  <si>
    <t>Version 2018 - 2 (7 December 2018)</t>
  </si>
  <si>
    <t>x-300, x-400, x-500, x-600, x-700 (AP and EPA/EEPA only)</t>
  </si>
  <si>
    <t>x-700(ARBO), and x800 series</t>
  </si>
  <si>
    <t>Version 2018 - 3 (21 December 2018)</t>
  </si>
  <si>
    <t>x-200 (215-223) (TV in factors only)</t>
  </si>
  <si>
    <t>Version 2019 - 1 (11 March 2019)</t>
  </si>
  <si>
    <t>x-100 (Club factors), x-700 (ARBO: 701-713), and x800 series (Allocation: 801 to 808, CILON factors: 809 and 810, and WPS refund factors: 811 to 814)</t>
  </si>
  <si>
    <t>None</t>
  </si>
  <si>
    <t>Version 2023-01</t>
  </si>
  <si>
    <t>Provides the following updated factor tables:</t>
  </si>
  <si>
    <t>x-201 to x-214, x-301 to x-307, x-601 to x-617
x-206 and x-210 removed (GMP factors only)</t>
  </si>
  <si>
    <t>Date Modified:</t>
  </si>
  <si>
    <t>Version 2023-02</t>
  </si>
  <si>
    <t>x-215 to x-218
x-223
x-401 to x-421</t>
  </si>
  <si>
    <t>Withdrawn factor tables:</t>
  </si>
  <si>
    <t>x-219 to x-222 (final salary/nuvos transfer in factors)</t>
  </si>
  <si>
    <t>Version 2023-03</t>
  </si>
  <si>
    <t>x-501 to x-504
x-701 to x-713</t>
  </si>
  <si>
    <t>Version 2023-04</t>
  </si>
  <si>
    <t>Club 2023 Tables 2-6 (copies of updated Club factors)</t>
  </si>
  <si>
    <t>x-714 to x-721, x-725 to x-736
x-801 to x-808, x-810 to x-814</t>
  </si>
  <si>
    <t>x-809 (legacy scheme CILON factors), 
x-722 to x-724 (legacy AP LS factors), 
x-101 to x-110 (Old Club factors. These have been replaced by Club 2023 Tables 2 to 6).</t>
  </si>
  <si>
    <t>Version 2025-01</t>
  </si>
  <si>
    <t>x-505, x-815, x-816</t>
  </si>
  <si>
    <t>Other changes:</t>
  </si>
  <si>
    <t>The key assumptions underlying the factors have been added on a separate tab called "Assumptions".</t>
  </si>
  <si>
    <t>Version 2025-02</t>
  </si>
  <si>
    <t>x-612, x-613, x-614, x-615</t>
  </si>
  <si>
    <t>Updated to remove LTA tables</t>
  </si>
  <si>
    <t xml:space="preserve">Summary of Factors </t>
  </si>
  <si>
    <t>x=0</t>
  </si>
  <si>
    <t>x=1</t>
  </si>
  <si>
    <t>x=2</t>
  </si>
  <si>
    <t>x=3</t>
  </si>
  <si>
    <t>x=4</t>
  </si>
  <si>
    <t>x=5</t>
  </si>
  <si>
    <t>PCSPS_EW</t>
  </si>
  <si>
    <t>Alpha</t>
  </si>
  <si>
    <t>Classic</t>
  </si>
  <si>
    <t>Premium</t>
  </si>
  <si>
    <t>Classic Plus</t>
  </si>
  <si>
    <t>Nuvos</t>
  </si>
  <si>
    <t>Civil Service Compensation Scheme</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</si>
  <si>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</si>
  <si>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</si>
  <si>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</si>
  <si>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</si>
  <si>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</si>
  <si>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</si>
  <si>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</si>
  <si>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</si>
  <si>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</si>
  <si>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DO NOT REMOVE WORKSHEET</t>
  </si>
  <si>
    <t>BaseTablesList</t>
  </si>
  <si>
    <t>ImprovementsList</t>
  </si>
  <si>
    <t>PCFA00</t>
  </si>
  <si>
    <t>CMI2016F-07-1pt5</t>
  </si>
  <si>
    <t>PCMA00</t>
  </si>
  <si>
    <t>CMI2016M-07-1pt5</t>
  </si>
  <si>
    <t>PFA80</t>
  </si>
  <si>
    <t>Long Cohort</t>
  </si>
  <si>
    <t>PFA92</t>
  </si>
  <si>
    <t>Medium Cohort</t>
  </si>
  <si>
    <t>PFA92 - 08</t>
  </si>
  <si>
    <t>PFA80imp</t>
  </si>
  <si>
    <t>PFA92-10</t>
  </si>
  <si>
    <t>PMA80</t>
  </si>
  <si>
    <t>PMA80imp</t>
  </si>
  <si>
    <t>PMA92</t>
  </si>
  <si>
    <t>PMA92 - 08</t>
  </si>
  <si>
    <t>Short Cohort</t>
  </si>
  <si>
    <t>PMA92-10</t>
  </si>
  <si>
    <t>SMPI-2018imp</t>
  </si>
  <si>
    <t>PNFA00</t>
  </si>
  <si>
    <t>UKF2004imp</t>
  </si>
  <si>
    <t>PNFA00-06</t>
  </si>
  <si>
    <t>UKF2006imp</t>
  </si>
  <si>
    <t>PNFA00-08</t>
  </si>
  <si>
    <t>UKF2006imp_HLE</t>
  </si>
  <si>
    <t>PNFA00-10</t>
  </si>
  <si>
    <t>UKF2006imp_LLE</t>
  </si>
  <si>
    <t>PNMA00</t>
  </si>
  <si>
    <t>UKF2008imp</t>
  </si>
  <si>
    <t>PNMA00-06</t>
  </si>
  <si>
    <t>UKF2010imp</t>
  </si>
  <si>
    <t>PNMA00-08</t>
  </si>
  <si>
    <t>UKF2012imp</t>
  </si>
  <si>
    <t>PNMA00-10</t>
  </si>
  <si>
    <t>UKF2014imp</t>
  </si>
  <si>
    <t>S1DFA</t>
  </si>
  <si>
    <t>UKf2016HLEimp</t>
  </si>
  <si>
    <t>S1DFA-06</t>
  </si>
  <si>
    <t>UKF2016imp</t>
  </si>
  <si>
    <t>S1DFA-08</t>
  </si>
  <si>
    <t>UKf2016LLEimp</t>
  </si>
  <si>
    <t>S1DFA-10</t>
  </si>
  <si>
    <t>UKM2004imp</t>
  </si>
  <si>
    <t>S1DFA-12</t>
  </si>
  <si>
    <t>UKM2006imp</t>
  </si>
  <si>
    <t>S1DFA-14</t>
  </si>
  <si>
    <t>UKM2006imp_HLE</t>
  </si>
  <si>
    <t>S1DFA-16</t>
  </si>
  <si>
    <t>UKM2006imp_LLE</t>
  </si>
  <si>
    <t>S1DFA-L</t>
  </si>
  <si>
    <t>UKM2008imp</t>
  </si>
  <si>
    <t>S1DFA-L-06</t>
  </si>
  <si>
    <t>UKM2010imp</t>
  </si>
  <si>
    <t>S1DFA-L-08</t>
  </si>
  <si>
    <t>UKM2012imp</t>
  </si>
  <si>
    <t>S1DFA-L-10</t>
  </si>
  <si>
    <t>UKM2014imp</t>
  </si>
  <si>
    <t>S1DFA-L-12</t>
  </si>
  <si>
    <t>UKm2016HLEimp</t>
  </si>
  <si>
    <t>S1IFA</t>
  </si>
  <si>
    <t>UKM2016imp</t>
  </si>
  <si>
    <t>S1IFA-06</t>
  </si>
  <si>
    <t>UKm2016LLEimp</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</si>
  <si>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</si>
  <si>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</si>
  <si>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</si>
  <si>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</si>
  <si>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</si>
  <si>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</si>
  <si>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</si>
  <si>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</si>
  <si>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</si>
  <si>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</si>
  <si>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</si>
  <si>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</si>
  <si>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</si>
  <si>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</si>
  <si>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</si>
  <si>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</si>
  <si>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</si>
  <si>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</si>
  <si>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</si>
  <si>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</si>
  <si>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</si>
  <si>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</si>
  <si>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</si>
  <si>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</si>
  <si>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</si>
  <si>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</si>
  <si>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</si>
  <si>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</si>
  <si>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</si>
  <si>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</si>
  <si>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</si>
  <si>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</si>
  <si>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</si>
  <si>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</si>
  <si>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</si>
  <si>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</si>
  <si>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</si>
  <si>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</si>
  <si>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</si>
  <si>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</si>
  <si>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</si>
  <si>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</si>
  <si>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</si>
  <si>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</si>
  <si>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</si>
  <si>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</si>
  <si>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</si>
  <si>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</si>
  <si>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</si>
  <si>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</si>
  <si>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</si>
  <si>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</si>
  <si>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</si>
  <si>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</si>
  <si>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</si>
  <si>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</si>
  <si>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</si>
  <si>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</si>
  <si>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</si>
  <si>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</si>
  <si>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</si>
  <si>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</si>
  <si>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</si>
  <si>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</si>
  <si>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</si>
  <si>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</si>
  <si>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</si>
  <si>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</si>
  <si>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</si>
  <si>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</si>
  <si>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</si>
  <si>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</si>
  <si>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</si>
  <si>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</si>
  <si>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</si>
  <si>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</si>
  <si>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</si>
  <si>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</si>
  <si>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</si>
  <si>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</si>
  <si>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</si>
  <si>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</si>
  <si>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</si>
  <si>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</si>
  <si>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</si>
  <si>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</si>
  <si>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</si>
  <si>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</si>
  <si>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</si>
  <si>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</si>
  <si>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</si>
  <si>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</si>
  <si>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</si>
  <si>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</si>
  <si>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</si>
  <si>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</si>
  <si>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</si>
  <si>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</si>
  <si>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</si>
  <si>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</si>
  <si>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</si>
  <si>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</si>
  <si>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</si>
  <si>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</si>
  <si>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</si>
  <si>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</si>
  <si>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</si>
  <si>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</si>
  <si>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</si>
  <si>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</si>
  <si>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</si>
  <si>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</si>
  <si>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</si>
  <si>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</si>
  <si>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</si>
  <si>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</si>
  <si>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</si>
  <si>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</si>
  <si>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</si>
  <si>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</si>
  <si>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</si>
  <si>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</si>
  <si>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</si>
  <si>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</si>
  <si>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</si>
  <si>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Data Item</t>
  </si>
  <si>
    <t>Factor Table Information</t>
  </si>
  <si>
    <t>Client</t>
  </si>
  <si>
    <t>Enter the client name eg NHSPS_EW</t>
  </si>
  <si>
    <t>Section</t>
  </si>
  <si>
    <t>Enter the section name eg NHSPS 2015</t>
  </si>
  <si>
    <t>Factor Type</t>
  </si>
  <si>
    <t>Enter the factor type (which should be consistent with the series header types found on the summary sheet (eg early or late retirement)</t>
  </si>
  <si>
    <t>Enter a description of the factor (eg use description from factor table in guidance)</t>
  </si>
  <si>
    <t>Gender</t>
  </si>
  <si>
    <t>Enter either "unisex" or "m and f"</t>
  </si>
  <si>
    <t>Factor Age/Period Definition</t>
  </si>
  <si>
    <t>Enter in age definition</t>
  </si>
  <si>
    <t>Section Number</t>
  </si>
  <si>
    <t>Enter section number (this relates to the number used to identify the scheme section - see top of summary tab for section number)</t>
  </si>
  <si>
    <t>Series Number</t>
  </si>
  <si>
    <t>Enter series number (this reflects the number in the relevant series eg if it’s the first ER/LR factor then it would be "401")</t>
  </si>
  <si>
    <t>Table Reference</t>
  </si>
  <si>
    <t>Enter table number (this is the section number plus the series number so we can identify the section and factor type eg if the section number for NHSPS 2015 was 0 and the factor was the first in the ER/LR factor series then this would be "0-401" entered here.</t>
  </si>
  <si>
    <t>Table Reference in Guidance</t>
  </si>
  <si>
    <t>Enter the table reference from the guidance notes</t>
  </si>
  <si>
    <t>Related Factor Table Reference (where the factor uses the same table as another factor in this spreadsheet)</t>
  </si>
  <si>
    <t>If the factor table on this sheet is the same as another factor in the spreadsheet. Then enter that table reference here eg 0-.201. If this factor table is unique then put "n/a".</t>
  </si>
  <si>
    <t>Date Factors Issued to Client</t>
  </si>
  <si>
    <t>Enter the date the factors are issued to the client</t>
  </si>
  <si>
    <t>Date Factors Implemented (if known)</t>
  </si>
  <si>
    <t xml:space="preserve">Enter the date the factors are implemented </t>
  </si>
  <si>
    <t>Factor Status</t>
  </si>
  <si>
    <t>Enter whether table is inforce, withdrawn, refer to gad etc</t>
  </si>
  <si>
    <t>Copy the relevant factor table and foot notes here. Unisex or male factor table in this grey box.</t>
  </si>
  <si>
    <t>Table Location</t>
  </si>
  <si>
    <t>Section Number (x)</t>
  </si>
  <si>
    <t>Table Reference (Section-Series Number)</t>
  </si>
  <si>
    <t>Assumption Set</t>
  </si>
  <si>
    <t>Civil Servants and Others Pension Scheme (CSOPS)</t>
  </si>
  <si>
    <t>CETV</t>
  </si>
  <si>
    <t>Non club Alpha CETV factors for pension age of 60</t>
  </si>
  <si>
    <t>Male &amp; Female</t>
  </si>
  <si>
    <t>Age last birthday</t>
  </si>
  <si>
    <t>0-201</t>
  </si>
  <si>
    <t>P2CETV60</t>
  </si>
  <si>
    <t>Issued</t>
  </si>
  <si>
    <t>2023 factor review set</t>
  </si>
  <si>
    <t>Non club Alpha CETV factors for pension age of 65</t>
  </si>
  <si>
    <t>0-202</t>
  </si>
  <si>
    <t>P2CETV65</t>
  </si>
  <si>
    <t>Non club Alpha CETV factors for pension age of 66</t>
  </si>
  <si>
    <t>0-203</t>
  </si>
  <si>
    <t>P2CETV66</t>
  </si>
  <si>
    <t>Non club Alpha CETV factors for pension age 67</t>
  </si>
  <si>
    <t>0-204</t>
  </si>
  <si>
    <t>P2CETV67</t>
  </si>
  <si>
    <t>Non club Alpha CETV factors for pension age 68</t>
  </si>
  <si>
    <t>0-205</t>
  </si>
  <si>
    <t>P2CETV68</t>
  </si>
  <si>
    <t>Principal Civil Service Pension Scheme (PCSPS)</t>
  </si>
  <si>
    <t>Classic, Classic Plus and Premium</t>
  </si>
  <si>
    <t>CETV factors for normal pension age of 60 - classic, classic plus and premium</t>
  </si>
  <si>
    <t>1-207</t>
  </si>
  <si>
    <t>P1CETV60</t>
  </si>
  <si>
    <t>CETV factors for normal pension age of 65 - classic, classic plus and premium</t>
  </si>
  <si>
    <t>1-208</t>
  </si>
  <si>
    <t>P1CETV65</t>
  </si>
  <si>
    <t>CETV factors for normal pension age of 65 - nuvos</t>
  </si>
  <si>
    <t>1-209</t>
  </si>
  <si>
    <t>P1CETVN</t>
  </si>
  <si>
    <t>CETV factors for added pension benefits - Classic</t>
  </si>
  <si>
    <t>1-211</t>
  </si>
  <si>
    <t>P1CETVAPC</t>
  </si>
  <si>
    <t>Classic Plus and Premium</t>
  </si>
  <si>
    <t>CETV factors for added pension benefits - classic plus and premium</t>
  </si>
  <si>
    <t>1-212</t>
  </si>
  <si>
    <t>P1CETVAPP</t>
  </si>
  <si>
    <t>Alpha revaluation factors</t>
  </si>
  <si>
    <t>Unisex</t>
  </si>
  <si>
    <t>Number of 1 Aprils between Calculation Date and NPA</t>
  </si>
  <si>
    <t>0-213</t>
  </si>
  <si>
    <t>P2CETVREVAL</t>
  </si>
  <si>
    <t>Nuvos revaluation factors</t>
  </si>
  <si>
    <t>1-214</t>
  </si>
  <si>
    <t>P1CETVREVAL</t>
  </si>
  <si>
    <t>TV In (non-club)</t>
  </si>
  <si>
    <t>Non Club alpha transfers in factors for NPA of 65</t>
  </si>
  <si>
    <t>Age</t>
  </si>
  <si>
    <t>0-215</t>
  </si>
  <si>
    <t>P2TVIN65</t>
  </si>
  <si>
    <t>Non Club alpha transfers in factors for NPA of 66</t>
  </si>
  <si>
    <t>0-216</t>
  </si>
  <si>
    <t>P2TVIN66</t>
  </si>
  <si>
    <t>Non Club alpha transfers in factors for NPA of 67</t>
  </si>
  <si>
    <t>0-217</t>
  </si>
  <si>
    <t>P2TVIN67</t>
  </si>
  <si>
    <t>Non Club alpha transfers in factors for NPA of 68</t>
  </si>
  <si>
    <t>0-218</t>
  </si>
  <si>
    <t>P2TVIN68</t>
  </si>
  <si>
    <t xml:space="preserve">Non-club alpha Revaluation factors </t>
  </si>
  <si>
    <t>Number of 1 Aprils</t>
  </si>
  <si>
    <t>0-223</t>
  </si>
  <si>
    <t>P2TVINREVAL</t>
  </si>
  <si>
    <t>Pensioner CE</t>
  </si>
  <si>
    <t>Pensioner cash equivalents on divorce factors - pensioners not on ill health</t>
  </si>
  <si>
    <t>0-301</t>
  </si>
  <si>
    <t>P2CENH1</t>
  </si>
  <si>
    <t>Pensioner cash equivalents on divorce factors - pensioners on ill health</t>
  </si>
  <si>
    <t>0-302</t>
  </si>
  <si>
    <t>P2CEIH1</t>
  </si>
  <si>
    <t>All Sections</t>
  </si>
  <si>
    <t>Pensioner cash equivalents on divorce factors - pensioner not on ill health</t>
  </si>
  <si>
    <t>1-303</t>
  </si>
  <si>
    <t>P1CENH1</t>
  </si>
  <si>
    <t>1-304</t>
  </si>
  <si>
    <t>P1CEIH1</t>
  </si>
  <si>
    <t>Pension Credit</t>
  </si>
  <si>
    <t xml:space="preserve">Alpha - factors to convert pension credit to pension for a male pension credit member </t>
  </si>
  <si>
    <t>Male</t>
  </si>
  <si>
    <t>Age last birthday at relevant date</t>
  </si>
  <si>
    <t>0-305A</t>
  </si>
  <si>
    <t>P2PCM1</t>
  </si>
  <si>
    <t xml:space="preserve">Alpha - factors to convert pension credit to pension for a female pension credit member </t>
  </si>
  <si>
    <t>Female</t>
  </si>
  <si>
    <t>0-305B</t>
  </si>
  <si>
    <t>P2PCF1</t>
  </si>
  <si>
    <t>PCSPS - factors to convert pension credit to pension for a classic, classic plus or premium pension credit member</t>
  </si>
  <si>
    <t>1-306</t>
  </si>
  <si>
    <t>P1PCCP1</t>
  </si>
  <si>
    <t>Nuvos - factors to convert pension credit to pension for a nuvos pension credit member</t>
  </si>
  <si>
    <t>1-307</t>
  </si>
  <si>
    <t>P1PCNU1</t>
  </si>
  <si>
    <t>ERF</t>
  </si>
  <si>
    <t>Early payment reduction factors for EEPA 60</t>
  </si>
  <si>
    <t>Age at early retirement (complete years and months, ignoring part months)</t>
  </si>
  <si>
    <t>0-401</t>
  </si>
  <si>
    <t>P2ER60</t>
  </si>
  <si>
    <t>Early payment reduction factors for NPA/EPA 65</t>
  </si>
  <si>
    <t>0-402</t>
  </si>
  <si>
    <t>P2ER65</t>
  </si>
  <si>
    <t>Early payment reduction factors for NPA/EPA 66</t>
  </si>
  <si>
    <t>0-403</t>
  </si>
  <si>
    <t>P2ER66</t>
  </si>
  <si>
    <t>Early payment reduction factors for NPA/EPA 67</t>
  </si>
  <si>
    <t>0-404</t>
  </si>
  <si>
    <t>P2ER67</t>
  </si>
  <si>
    <t>Early payment reduction factors for NPA/EPA 68</t>
  </si>
  <si>
    <t>0-405</t>
  </si>
  <si>
    <t>P2ER68</t>
  </si>
  <si>
    <t xml:space="preserve">Early retirement for all members except for those retiring before age 55 whose deemed date for pension increases is in an earlier financial year than when the date of early retirement occurs. (Circumstance 1) - Classic and Premium NPA 60 members. Factors for calculating the actuarially reduced pension </t>
  </si>
  <si>
    <t>Age at early retirement (in years and completed months)</t>
  </si>
  <si>
    <t>1-406</t>
  </si>
  <si>
    <t>P1ER60PEN1</t>
  </si>
  <si>
    <t xml:space="preserve">Early retirement for all members except for those retiring before age 55 whose deemed date for pension increases is in an earlier financial year than when the date of early retirement occurs. (Circumstance 1) - Classic NPA 60 members. Factors for calculating the actuarially reduced lump sum </t>
  </si>
  <si>
    <t>1-407</t>
  </si>
  <si>
    <t>P1ER60LS1</t>
  </si>
  <si>
    <t>Classic and Premium</t>
  </si>
  <si>
    <t xml:space="preserve">Early retirement for members retiring before age 55 whose deemed date for pension increases is in an earlier financial year than when the date of early retirement occurs. (Circumstance 2) - Classic and Premium NPA 60 members. Factors for calculating the actuarially reduced pension </t>
  </si>
  <si>
    <t>1-408</t>
  </si>
  <si>
    <t>P1ER60PEN2</t>
  </si>
  <si>
    <t xml:space="preserve">Early retirement for members retiring before age 55 whose deemed date for pension increases is in an earlier financial year than when the date of early retirement occurs. (Circumstance 2) - Classic NPA 60 members. Factors for calculating the actuarially reduced lump sum </t>
  </si>
  <si>
    <t>1-409A</t>
  </si>
  <si>
    <t>P1ER60LS2 - Table B</t>
  </si>
  <si>
    <t>1-409B</t>
  </si>
  <si>
    <t>P1ER60LS2 - Table C</t>
  </si>
  <si>
    <t xml:space="preserve">Early retirement for all members except for those retiring before age 55 whose deemed date for pension increases is in an earlier financial year than when the date of early retirement occurs. (Circumstance 1) - Classic and Premium NPA 65 members. Factors for calculating the actuarially reduced pension </t>
  </si>
  <si>
    <t>1-410</t>
  </si>
  <si>
    <t>P1ER65PEN1</t>
  </si>
  <si>
    <t xml:space="preserve">Early retirement for all members except for those retiring before age 55 whose deemed date for pension increases is in an earlier financial year than when the date of early retirement occurs. (Circumstance 1) - Classic NPA 65 members. Factors for calculating the actuarially reduced lump sum </t>
  </si>
  <si>
    <t>1-411</t>
  </si>
  <si>
    <t>P1ER65LS1</t>
  </si>
  <si>
    <t xml:space="preserve">Early retirement for members before age 55 whose deemed date for pension increases is in an earlier financial year than when the date of early retirement occurs. (Circumstance 2) - Classic and Premium NPA 65 members. Factors for calculating the actuarially reduced pension </t>
  </si>
  <si>
    <t>1-412</t>
  </si>
  <si>
    <t>P1ER65PEN2</t>
  </si>
  <si>
    <t xml:space="preserve">Early retirement for members retiring before age 55 whose deemed date for pension increases is in an earlier financial year than when the date of early retirement occurs. (Circumstance 2) - Classic NPA 65 members. Factors for calculating the actuarially reduced lump sum </t>
  </si>
  <si>
    <t>1-413A</t>
  </si>
  <si>
    <t>P1ER65LS2 - Table B</t>
  </si>
  <si>
    <t>1-413B</t>
  </si>
  <si>
    <t>P1ER65LS2 - Table C</t>
  </si>
  <si>
    <t>Early retirement from nuvos scheme</t>
  </si>
  <si>
    <t>Determine age at retirement in years and complete months and subtract from 65 to determine period taken early</t>
  </si>
  <si>
    <t>4-414</t>
  </si>
  <si>
    <t>P1ER65NUV</t>
  </si>
  <si>
    <t>LRF</t>
  </si>
  <si>
    <t>Age addition factors across various NPA/EPAs - for use with all descriptions of pension except added (self only) pension</t>
  </si>
  <si>
    <t>Age at late retirement (in years and completed months)</t>
  </si>
  <si>
    <t>0-415</t>
  </si>
  <si>
    <t>P2AA1</t>
  </si>
  <si>
    <t>29 June 2023 (Extended table issued 15 September 2023)</t>
  </si>
  <si>
    <t>Age addition factors across various NPA/EPAs - for use with added (self only) pension</t>
  </si>
  <si>
    <t>0-416</t>
  </si>
  <si>
    <t>P2AA2</t>
  </si>
  <si>
    <t>Age addition factors in Nuvos</t>
  </si>
  <si>
    <t>Age last birthday at the date of retirement</t>
  </si>
  <si>
    <t>1-417</t>
  </si>
  <si>
    <t>P1AANUV</t>
  </si>
  <si>
    <t>Late Payment Supplement factors for Nuvos</t>
  </si>
  <si>
    <t>Period (in complete months) between NPA (or if later, from date member became a deferred member) and eventual retirement age. Ignore part months.</t>
  </si>
  <si>
    <t>1-418</t>
  </si>
  <si>
    <t>P1LPSNUV</t>
  </si>
  <si>
    <t>Late payment Supplement Factors across various NPAs for use where member's and contingent partner's pension will receive a LPS</t>
  </si>
  <si>
    <t>0-419</t>
  </si>
  <si>
    <t>P2LPS1</t>
  </si>
  <si>
    <t>Late payment supplement factors across various NPAs - for use with added (self only) pension</t>
  </si>
  <si>
    <t>0-420</t>
  </si>
  <si>
    <t>P2LPS2</t>
  </si>
  <si>
    <t>Early retirement for all members except for those retiring before age 55 whose deemed date for PI is in an earlier financial year then when date of ER occurs</t>
  </si>
  <si>
    <t>1-421</t>
  </si>
  <si>
    <t>F</t>
  </si>
  <si>
    <t>Triv Comm</t>
  </si>
  <si>
    <t>Trivial Commutation Factors (Amount of lump sum for every £1 of pension)</t>
  </si>
  <si>
    <t>0-501</t>
  </si>
  <si>
    <t>P2TC1</t>
  </si>
  <si>
    <t>Classic: Trivial commutation factors - Amount of lump sum for every £1 of pension</t>
  </si>
  <si>
    <t>1-502</t>
  </si>
  <si>
    <t>P1TCCL1</t>
  </si>
  <si>
    <t>Premium and Nuvos</t>
  </si>
  <si>
    <t>Premium and nuvos: trivial Commutation factors - Amount of lump sum for every £1 of pension</t>
  </si>
  <si>
    <t>1-503</t>
  </si>
  <si>
    <t>P1TCPN1</t>
  </si>
  <si>
    <t>Inverse Comm</t>
  </si>
  <si>
    <t>Classic: inverse commutation factors (Amount of additional pension for every £100 of lump sum)</t>
  </si>
  <si>
    <t>Age at retirement in years and complete months</t>
  </si>
  <si>
    <t>1-504</t>
  </si>
  <si>
    <t>P1IC1</t>
  </si>
  <si>
    <t>Classic: inverse commutation - age adjustment factor</t>
  </si>
  <si>
    <t>1-505</t>
  </si>
  <si>
    <t>P1IC2</t>
  </si>
  <si>
    <t>Scheme pays AA</t>
  </si>
  <si>
    <t>Alpha scheme pays factors - all NPAs</t>
  </si>
  <si>
    <t>0-601</t>
  </si>
  <si>
    <t>A1</t>
  </si>
  <si>
    <t>Pensioner members (normal health) - Scheme pays factors - All NPAs</t>
  </si>
  <si>
    <t>0-602</t>
  </si>
  <si>
    <t>D1</t>
  </si>
  <si>
    <t>Pensioner members (ill health) - Scheme pays factors - All NPAs</t>
  </si>
  <si>
    <t>0-603</t>
  </si>
  <si>
    <t>D2</t>
  </si>
  <si>
    <t>Classic and Premium scheme pays factors (NPA 60 and NPA 65)</t>
  </si>
  <si>
    <t>1-604</t>
  </si>
  <si>
    <t xml:space="preserve"> A1</t>
  </si>
  <si>
    <t>Nuvos scheme pays factors - NPA 65</t>
  </si>
  <si>
    <t>1-605</t>
  </si>
  <si>
    <t>A2</t>
  </si>
  <si>
    <t>Reduction to pension offset on ill health retirement - all sections</t>
  </si>
  <si>
    <t>Years until NPA at date of retirement</t>
  </si>
  <si>
    <t>1-606</t>
  </si>
  <si>
    <t>B1</t>
  </si>
  <si>
    <t>Scheme pays AA LRF</t>
  </si>
  <si>
    <t>Increases to pension and lump sum offset for retirement after NPA 60</t>
  </si>
  <si>
    <t>Years after NPA at date of retirement</t>
  </si>
  <si>
    <t>1-607A</t>
  </si>
  <si>
    <t>C1</t>
  </si>
  <si>
    <t>Increases to pension and lump sum offset for retirement after NPA 65</t>
  </si>
  <si>
    <t>1-607B</t>
  </si>
  <si>
    <t>Scheme pays factors where the member has already retired in normal health</t>
  </si>
  <si>
    <t>1-608</t>
  </si>
  <si>
    <t>Scheme pays factors where the member has already retired in ill health</t>
  </si>
  <si>
    <t>1-609</t>
  </si>
  <si>
    <t>Reduction to pension offset on ill health retirement</t>
  </si>
  <si>
    <t>0-610</t>
  </si>
  <si>
    <t>Increases to pension offset for retirement after NPA</t>
  </si>
  <si>
    <t>0-611</t>
  </si>
  <si>
    <t>Scheme pays LTA</t>
  </si>
  <si>
    <t>Factors to calculate pension offset for members retiring in normal health where Lifetime Allowance charge payable</t>
  </si>
  <si>
    <t>0-612</t>
  </si>
  <si>
    <t>P2LTANH</t>
  </si>
  <si>
    <t>Withdrawn</t>
  </si>
  <si>
    <t>Factors to calculate pension offset for members retiring in ill health where Lifetime Allowance charge payable</t>
  </si>
  <si>
    <t>0-613</t>
  </si>
  <si>
    <t>P2LTAIH</t>
  </si>
  <si>
    <t xml:space="preserve">Factors to calculate pension offset for members retiring in normal health where Lifetime Allowance charge payable. </t>
  </si>
  <si>
    <t>1-614</t>
  </si>
  <si>
    <t>P1LTANH</t>
  </si>
  <si>
    <t>1-615</t>
  </si>
  <si>
    <t>P1LTAIH</t>
  </si>
  <si>
    <t>0-616</t>
  </si>
  <si>
    <t>1-617</t>
  </si>
  <si>
    <t>A3</t>
  </si>
  <si>
    <t>ARBO</t>
  </si>
  <si>
    <t>Factors for actuarial reduction buy out (ARBO) for alpha members - Alpha ARBO factors for pension age of 60</t>
  </si>
  <si>
    <t>Age at early retirement</t>
  </si>
  <si>
    <t>0-701</t>
  </si>
  <si>
    <t>P2ARBO60</t>
  </si>
  <si>
    <t>Factors for actuarial reduction buy out (ARBO) for alpha members - Alpha ARBO factors for pension age of 65</t>
  </si>
  <si>
    <t>0-702</t>
  </si>
  <si>
    <t>P2ARBO65</t>
  </si>
  <si>
    <t>Factors for actuarial reduction buy out (ARBO) for alpha members - Alpha ARBO factors for pension age of 66</t>
  </si>
  <si>
    <t>0-703</t>
  </si>
  <si>
    <t>P2ARBO66</t>
  </si>
  <si>
    <t>Factors for actuarial reduction buy out (ARBO) for alpha members - Alpha ARBO factors for pension age of 67</t>
  </si>
  <si>
    <t>0-704</t>
  </si>
  <si>
    <t>P2ARBO67</t>
  </si>
  <si>
    <t>Factors for actuarial reduction buy out (ARBO) for alpha members - Alpha ARBO factors for pension age of 68</t>
  </si>
  <si>
    <t>0-705</t>
  </si>
  <si>
    <t>P2ARBO68</t>
  </si>
  <si>
    <t>Factors for actuarial reduction buy out (ARBO) - ARBO factors for classic or premium members with an NPA of 60</t>
  </si>
  <si>
    <t>1-706</t>
  </si>
  <si>
    <t>P1ARBO60</t>
  </si>
  <si>
    <t>Factors for actuarial reduction buy out (ARBO) - ARBO factors for classic or premium members with an NPA of 65</t>
  </si>
  <si>
    <t>1-707</t>
  </si>
  <si>
    <t>P1ARBO65FS</t>
  </si>
  <si>
    <t>Factors for actuarial reduction buy out (ARBO) - ARBO factors for nuvos members</t>
  </si>
  <si>
    <t>1-708</t>
  </si>
  <si>
    <t>P1ARBO65NUV</t>
  </si>
  <si>
    <t>Factors for actuarial reduction buy out (ARBO) - ARBO factors for nuvos pension credit members</t>
  </si>
  <si>
    <t>1-709</t>
  </si>
  <si>
    <t>P1ARBO60NUV</t>
  </si>
  <si>
    <t>ARBO before age 55 with PI deemed date before early retirement - Gx factors for all members</t>
  </si>
  <si>
    <t>1-710</t>
  </si>
  <si>
    <t>P1ARBOGX</t>
  </si>
  <si>
    <t>ARBO before age 55 with PI deemed date before early retirement - Hx factors for all members</t>
  </si>
  <si>
    <t>1-711</t>
  </si>
  <si>
    <t>P1ARBOHX</t>
  </si>
  <si>
    <t xml:space="preserve">Classic and Premium </t>
  </si>
  <si>
    <t>ARBO before age 55 with PI deemed date before early retirement - Fx factors for classic or premium members with NPA60</t>
  </si>
  <si>
    <t>1-712</t>
  </si>
  <si>
    <t>ARBO before age 55 with PI deemed date before early retirement - Fx factors for classic or premium members with NPA65</t>
  </si>
  <si>
    <t>1-713</t>
  </si>
  <si>
    <t>Added pension</t>
  </si>
  <si>
    <t>Alpha added pension by lump sum factors for normal pension age of 65</t>
  </si>
  <si>
    <t>Male and Female</t>
  </si>
  <si>
    <t>0-714</t>
  </si>
  <si>
    <t>P2APLS65</t>
  </si>
  <si>
    <t>Alpha Added Pension by lump sum factors for normal pension age of 66</t>
  </si>
  <si>
    <t>0-715</t>
  </si>
  <si>
    <t>P2APLS66</t>
  </si>
  <si>
    <t>Alpha Added Pension by lump sum factors for normal pension age of 67</t>
  </si>
  <si>
    <t>0-716</t>
  </si>
  <si>
    <t>P2APLS67</t>
  </si>
  <si>
    <t>Alpha Added Pension by lump sum for normal pension age of 68</t>
  </si>
  <si>
    <t>0-717</t>
  </si>
  <si>
    <t>P2APLS68</t>
  </si>
  <si>
    <t>Alpha Added Pension by periodical contribution factors for normal pension age of 65</t>
  </si>
  <si>
    <t>0-718</t>
  </si>
  <si>
    <t>P2APPC65</t>
  </si>
  <si>
    <t>Alpha Added Pension by periodical contribution factors for normal pension age of 66</t>
  </si>
  <si>
    <t>0-719</t>
  </si>
  <si>
    <t>P2APPC66</t>
  </si>
  <si>
    <t>Alpha Added Pension by periodical contribution factors for normal pension age of 67</t>
  </si>
  <si>
    <t>0-720</t>
  </si>
  <si>
    <t>P2APPC67</t>
  </si>
  <si>
    <t>Alpha Added Pension by periodical contribution factors for normal pension age of 68</t>
  </si>
  <si>
    <t>0-721</t>
  </si>
  <si>
    <t>P2APPC68</t>
  </si>
  <si>
    <t>Added Pension by periodical contribution factors for Classic</t>
  </si>
  <si>
    <t>1-725</t>
  </si>
  <si>
    <t>P1APPCCL1</t>
  </si>
  <si>
    <t xml:space="preserve">Added Pension by periodical contribution factors for Classic Plus and Premium </t>
  </si>
  <si>
    <t>1-726</t>
  </si>
  <si>
    <t>P1APPCCP1</t>
  </si>
  <si>
    <t>Added Pension by periodical contribution factors for Nuvos</t>
  </si>
  <si>
    <t>1-727</t>
  </si>
  <si>
    <t>P1APPCNU1</t>
  </si>
  <si>
    <t>Alpha Added Pension revaluation factors</t>
  </si>
  <si>
    <t>0-728</t>
  </si>
  <si>
    <t>Table 9</t>
  </si>
  <si>
    <t>All sections</t>
  </si>
  <si>
    <t xml:space="preserve">Added pension revaluation factors </t>
  </si>
  <si>
    <t>1-729</t>
  </si>
  <si>
    <t>Table 7</t>
  </si>
  <si>
    <t>EPA</t>
  </si>
  <si>
    <t>Contribution rates for EPA options - Retire 1 year early: NPA 65</t>
  </si>
  <si>
    <t>Age (complete years, ignoring part years) and NPA (in complete years and complete months, ignoring part
months)</t>
  </si>
  <si>
    <t>0-730A</t>
  </si>
  <si>
    <t>P2EPA1</t>
  </si>
  <si>
    <t>Civil Service and Others Pension Scheme (CSOPS): Enhanced Effective Pension Age (EEPA) and Effective Pension Age (EPA) options for alpha members, Contribution rates, ‘headroom’ calculation factors and guidance - 1 August 2019</t>
  </si>
  <si>
    <t>Contribution rates for EPA options - Retire 1 year early: NPA 66</t>
  </si>
  <si>
    <t>0-730B</t>
  </si>
  <si>
    <t>Contribution rates for EPA options - Retire 1 year early: NPA 67</t>
  </si>
  <si>
    <t>0-730C</t>
  </si>
  <si>
    <t>Contribution rates for EPA options - Retire 1 year early: NPA 68</t>
  </si>
  <si>
    <t>Age (complete years, ignoring part years)</t>
  </si>
  <si>
    <t>0-730D</t>
  </si>
  <si>
    <t>Contribution rates for EPA options - Retire 2 year early: NPA 66</t>
  </si>
  <si>
    <t>0-731A</t>
  </si>
  <si>
    <t>P2EPA2</t>
  </si>
  <si>
    <t>Contribution rates for EPA options - Retire 3 year early: NPA 67</t>
  </si>
  <si>
    <t>0-732A</t>
  </si>
  <si>
    <t>P2EPA3</t>
  </si>
  <si>
    <t>EEPA</t>
  </si>
  <si>
    <t>Contribution rates for EEPA options - NPA 65 to 66</t>
  </si>
  <si>
    <t>0-733A</t>
  </si>
  <si>
    <t>P2EEPA65</t>
  </si>
  <si>
    <t>Contribution rates for EEPA options - NPA 66 to 67</t>
  </si>
  <si>
    <t>0-733B</t>
  </si>
  <si>
    <t>Contribution rates for EEPA options - NPA 67 to 68</t>
  </si>
  <si>
    <t>0-733C</t>
  </si>
  <si>
    <t>Contribution rates for EEPA options - NPA 68</t>
  </si>
  <si>
    <t>0-733D</t>
  </si>
  <si>
    <t>EEPA and EPA options for alpha members
Contribution rates, 'headroom' calculation factors and guidance - All NPAs</t>
  </si>
  <si>
    <t>0-734</t>
  </si>
  <si>
    <t>P2EEPA60</t>
  </si>
  <si>
    <t>EPA and EEPA</t>
  </si>
  <si>
    <t>Headroom' factors - Prospective accrual accumulation factor
Period between Option commencement date and EPA (or EEPA) (in years and months, ignoring part months)</t>
  </si>
  <si>
    <t>Years</t>
  </si>
  <si>
    <t>0-735</t>
  </si>
  <si>
    <t>P2HR1</t>
  </si>
  <si>
    <t>Headroom' factors - Revaluation factor</t>
  </si>
  <si>
    <t>Number of years (ignoring part years) between Option commencement date and EPA (or EEPA)</t>
  </si>
  <si>
    <t>0-736</t>
  </si>
  <si>
    <t>P2HRRev1</t>
  </si>
  <si>
    <t>Allocation</t>
  </si>
  <si>
    <t>Alpha Allocation Pension factors for male member in favour of his wife or other female dependant</t>
  </si>
  <si>
    <t>Age of beneficiary/Age of officer</t>
  </si>
  <si>
    <t>0-801</t>
  </si>
  <si>
    <t>Table P2ALC1</t>
  </si>
  <si>
    <t>Alpha Allocation Pension factors for female member in favour of her husband or other male dependant</t>
  </si>
  <si>
    <t>0-802</t>
  </si>
  <si>
    <t>Table P2ALC2</t>
  </si>
  <si>
    <t>Alpha Allocation factors for male member in favour of a male dependant</t>
  </si>
  <si>
    <t>0-803</t>
  </si>
  <si>
    <t>Table P2ALC3</t>
  </si>
  <si>
    <t>Alpha Allocation factors for female member in favour of a female dependant</t>
  </si>
  <si>
    <t>0-804</t>
  </si>
  <si>
    <t>Table P2ALC4</t>
  </si>
  <si>
    <t>Pension Allocation factors for male member in favour of his wife or other female dependant</t>
  </si>
  <si>
    <t>1-805</t>
  </si>
  <si>
    <t>Table P1ALC1</t>
  </si>
  <si>
    <t xml:space="preserve">Pension Allocation factors for female member in favour of her husband or other male dependant </t>
  </si>
  <si>
    <t>1-806</t>
  </si>
  <si>
    <t>Table P1ALC2</t>
  </si>
  <si>
    <t xml:space="preserve">Pension Allocation factors for male member in favour of a male dependant  </t>
  </si>
  <si>
    <t>1-807</t>
  </si>
  <si>
    <t>Table P1ALC3</t>
  </si>
  <si>
    <t xml:space="preserve">Pension Allocation factors for female member in favour of a female dependant </t>
  </si>
  <si>
    <t>1-808</t>
  </si>
  <si>
    <t>Table P1ALC4</t>
  </si>
  <si>
    <t>CILON</t>
  </si>
  <si>
    <t>CILON factors for compensation for pension loss</t>
  </si>
  <si>
    <t>Age (years) on last day of service</t>
  </si>
  <si>
    <t>0-810</t>
  </si>
  <si>
    <t>Table 1: P2CIL1</t>
  </si>
  <si>
    <t>WPS refunds</t>
  </si>
  <si>
    <t>WPS refunds – Factors to calculate the premium for members retiring in normal health</t>
  </si>
  <si>
    <t>1-811</t>
  </si>
  <si>
    <t>P1WPS_NH1</t>
  </si>
  <si>
    <t>WPS refunds – Factors to calculate the premium for members retiring early in ill health</t>
  </si>
  <si>
    <t>1-812</t>
  </si>
  <si>
    <t>P1WPS_IH1</t>
  </si>
  <si>
    <t>WPS refunds – Factors to calculate the additional reduction for classic plus members retiring in normal health</t>
  </si>
  <si>
    <t>1-813</t>
  </si>
  <si>
    <t>P1WPS_NH2</t>
  </si>
  <si>
    <t>WPS refunds – Factors to calculate the additional reduction for classic plus members retiring early in ill health</t>
  </si>
  <si>
    <t>1-814</t>
  </si>
  <si>
    <t>P1WPS_IH2</t>
  </si>
  <si>
    <t>GMP test</t>
  </si>
  <si>
    <t>GMP test factors</t>
  </si>
  <si>
    <t>1-815</t>
  </si>
  <si>
    <t>GMP</t>
  </si>
  <si>
    <t>Principal Civil Servants Pension Scheme (PCSPS)</t>
  </si>
  <si>
    <t>Classic plus</t>
  </si>
  <si>
    <t>1-816</t>
  </si>
  <si>
    <t>Assumptions underlying factors (Note 1 &amp; 2)</t>
  </si>
  <si>
    <t>Financial assumptions</t>
  </si>
  <si>
    <t>Nominal discount rate p.a.</t>
  </si>
  <si>
    <t>Consumer Price Indexation (CPI) p.a.</t>
  </si>
  <si>
    <t>Retail Price Indexation (RPI) - pre 2030 p.a.</t>
  </si>
  <si>
    <t>N/A</t>
  </si>
  <si>
    <t>Retail Price Indexation (RPI) - post 2030 p.a.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</si>
  <si>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</si>
  <si>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</si>
  <si>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</si>
  <si>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</si>
  <si>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</si>
  <si>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</si>
  <si>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</si>
  <si>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</si>
  <si>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</si>
  <si>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</si>
  <si>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</si>
  <si>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100% of S3NMA_M</t>
  </si>
  <si>
    <t>Normal health pensioner - female</t>
  </si>
  <si>
    <t xml:space="preserve">96% of S3NFA_H </t>
  </si>
  <si>
    <t>Ill health pensioner - male</t>
  </si>
  <si>
    <t>Ill health pensioner - female</t>
  </si>
  <si>
    <t>Dependant - male</t>
  </si>
  <si>
    <t xml:space="preserve">81% of S3DMA </t>
  </si>
  <si>
    <t>Dependant - female</t>
  </si>
  <si>
    <t xml:space="preserve">93% of S3DFA </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</si>
  <si>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</si>
  <si>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</si>
  <si>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</si>
  <si>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</si>
  <si>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</si>
  <si>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</si>
  <si>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</si>
  <si>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</si>
  <si>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3 years older than partner.</t>
  </si>
  <si>
    <t>Age difference between member and spouse/dependant/partner, where member is female</t>
  </si>
  <si>
    <t>2 years younger than partner.</t>
  </si>
  <si>
    <t>Proportion married or partnered</t>
  </si>
  <si>
    <t>Generally in line with proposed 2020 valuation assumptions (Note 3).
100% for options where the member can purchase additional dependant benefits.</t>
  </si>
  <si>
    <t>Allowance for commutation</t>
  </si>
  <si>
    <t>Nil, except for mandatory lump sums.</t>
  </si>
  <si>
    <t>Expense loading</t>
  </si>
  <si>
    <t>Allowance for short-term dependants pension</t>
  </si>
  <si>
    <t>Normal pension age in the 2015 scheme</t>
  </si>
  <si>
    <t>In line with HMT valuation directions.</t>
  </si>
  <si>
    <t>Rates of ill health retirement</t>
  </si>
  <si>
    <t>In line with proposed 2020 valuation assumptions (Note 3).</t>
  </si>
  <si>
    <t>Ill health benefit enhancements</t>
  </si>
  <si>
    <t>Mortality before retirement</t>
  </si>
  <si>
    <t>Rates of leaving service</t>
  </si>
  <si>
    <t>Retirement ages</t>
  </si>
  <si>
    <t>All retirements take place at normal pension age.</t>
  </si>
  <si>
    <t>Salary scales</t>
  </si>
  <si>
    <t>Not applicable.</t>
  </si>
  <si>
    <t>Guarantee periods</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</si>
  <si>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</si>
  <si>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Notes to the assumptions</t>
  </si>
  <si>
    <t>1. Advice underlying these assumptions</t>
  </si>
  <si>
    <t>Assumptions bulletin to CO dated 31 March 2023.</t>
  </si>
  <si>
    <t xml:space="preserve">2. Assumption summary </t>
  </si>
  <si>
    <t>The above assumptions were provided in the note dated 15 September 2023.</t>
  </si>
  <si>
    <t>3. 2020 valuation assumptions</t>
  </si>
  <si>
    <t>The 2020 valuation assumption report dated 18 September 2023.</t>
  </si>
  <si>
    <t>Related Factor Guidance</t>
  </si>
  <si>
    <t>Scheme</t>
  </si>
  <si>
    <t>Section(s)</t>
  </si>
  <si>
    <t>Scheme Number</t>
  </si>
  <si>
    <t>Male - Member's pension</t>
  </si>
  <si>
    <t>Male - Partner's pension</t>
  </si>
  <si>
    <t>Female - Member's pension</t>
  </si>
  <si>
    <t>Female - Partner's pension</t>
  </si>
  <si>
    <t xml:space="preserve">Male - Partner's pension </t>
  </si>
  <si>
    <t>Male - Deduction for NI modification</t>
  </si>
  <si>
    <t>Male - Lump sum</t>
  </si>
  <si>
    <t>Female - Deduction for NI modification</t>
  </si>
  <si>
    <t>Female - Lump sum</t>
  </si>
  <si>
    <t>Male - member's factor</t>
  </si>
  <si>
    <t>Male - Partner's pension factor</t>
  </si>
  <si>
    <t>Male - Member + spouse's pension factor</t>
  </si>
  <si>
    <t>Female - member's factor</t>
  </si>
  <si>
    <t>Female - Partner's pension factor</t>
  </si>
  <si>
    <t>Female - Member + spouse's pension factor</t>
  </si>
  <si>
    <t>Male - Member's pension factor</t>
  </si>
  <si>
    <t>Female - Member's pension factor</t>
  </si>
  <si>
    <t>Factor</t>
  </si>
  <si>
    <t>Table Reference Guidance</t>
  </si>
  <si>
    <t>Member's pension factor - Male</t>
  </si>
  <si>
    <t>Partner's pension factor - Male</t>
  </si>
  <si>
    <t>Member's pension factor - Female</t>
  </si>
  <si>
    <t>Partner's pension factor - Female</t>
  </si>
  <si>
    <t>Male - Gross pension of £1 a year</t>
  </si>
  <si>
    <t>Male - Partner's pension of £1 a year</t>
  </si>
  <si>
    <t>Male - Deduction for GMP of £1 a year (pre 88)</t>
  </si>
  <si>
    <t>Male - Deduction for GMP of £1 a year (post 88)</t>
  </si>
  <si>
    <t>Female - Gross pension of £1 a year</t>
  </si>
  <si>
    <t>Female - Partner's pension of £1 a year</t>
  </si>
  <si>
    <t>Female - Deduction for GMP of £1 a year (pre 88)</t>
  </si>
  <si>
    <t>Female - Deduction for GMP of £1 a year (post 88)</t>
  </si>
  <si>
    <t>Male - Deduction for GMP of £1 a year (Pre 88)</t>
  </si>
  <si>
    <t>Male - Deduction for GMP of £1 a year (Post 88)</t>
  </si>
  <si>
    <t>Female - Deduction for GMP of £1 a year (Pre 88)</t>
  </si>
  <si>
    <t>Female - Deduction for GMP of £1 a year (Post 88)</t>
  </si>
  <si>
    <t>Male - Deduction for NI modification of £1 a year</t>
  </si>
  <si>
    <t>Female - Deduction for NI modification of £1 a year</t>
  </si>
  <si>
    <t xml:space="preserve">Gross pension at £1 a year with NPA 65 </t>
  </si>
  <si>
    <t>Gross pension at £1 a year with NPA 66</t>
  </si>
  <si>
    <t>Gross pension at £1 a year with NPA 67</t>
  </si>
  <si>
    <t>Gross pension at £1 a year with NPA 68</t>
  </si>
  <si>
    <t>Gross pension at £1 a year with NPA 65</t>
  </si>
  <si>
    <t>Male - Gross pension at £1 a year: classic, classic plus or premium pension credit member</t>
  </si>
  <si>
    <t>Male - Lump sum of £1: classic pension credit member</t>
  </si>
  <si>
    <t>Female - Gross pension at £1 a year: classic, classic plus or premium pension credit member</t>
  </si>
  <si>
    <t>Female - Lump sum of £1: classic pension credit member</t>
  </si>
  <si>
    <t>Male - Gross pension of £1 a year: nuvos pension credit member</t>
  </si>
  <si>
    <t>Female - Gross pension of £1 a year: nuvos pension credit member</t>
  </si>
  <si>
    <t>Months/Age</t>
  </si>
  <si>
    <t>Factors are simple reductions of</t>
  </si>
  <si>
    <t>For the first 3 years that the member retires early</t>
  </si>
  <si>
    <t>For the next 3 years</t>
  </si>
  <si>
    <t>For each year above 6 years that the member retires early.</t>
  </si>
  <si>
    <t>Age Last</t>
  </si>
  <si>
    <t>Appropriate percentage</t>
  </si>
  <si>
    <t>65 to 66</t>
  </si>
  <si>
    <t>67 to 70</t>
  </si>
  <si>
    <t>71 and over</t>
  </si>
  <si>
    <t>65 to 69</t>
  </si>
  <si>
    <t>70 to 75</t>
  </si>
  <si>
    <t>76 and over</t>
  </si>
  <si>
    <t>NPA</t>
  </si>
  <si>
    <t>Former contributing member's and dependant's pension (Column 1)</t>
  </si>
  <si>
    <t>Dependant's pension (Column 2)</t>
  </si>
  <si>
    <t>Pension credit member's pension (Column 3)</t>
  </si>
  <si>
    <t>Member's and spouse's pension (Column 1)</t>
  </si>
  <si>
    <t>Member pension - Male member (Column 1)</t>
  </si>
  <si>
    <t>Member pension - Female member (column 2)</t>
  </si>
  <si>
    <t>Member and Spouse - Male member (Column 3)</t>
  </si>
  <si>
    <t>Member and Spouse - Female member (Column 4)</t>
  </si>
  <si>
    <t>from</t>
  </si>
  <si>
    <t>50 years and 0 months to 50 years and 5 months</t>
  </si>
  <si>
    <t>50 years and 6 months to 50 years and 11 months</t>
  </si>
  <si>
    <t>51 years and 0 months to 51 years and 5 months</t>
  </si>
  <si>
    <t>51 years and 6 months to 51 years and 11 months</t>
  </si>
  <si>
    <t>52 years and 0 months to 52 years and 5 months</t>
  </si>
  <si>
    <t>52 years and 6 months to 52 years and 11 months</t>
  </si>
  <si>
    <t>53 years and 0 months to 53 years and 5 months</t>
  </si>
  <si>
    <t>53 years and 6 months to 53 years and 11 months</t>
  </si>
  <si>
    <t>54 years and 0 months to 54 years and 5 months</t>
  </si>
  <si>
    <t>54 years and 6 months to 54 years and 11 months</t>
  </si>
  <si>
    <t>55 years and 0 months to 55 years and 5 months</t>
  </si>
  <si>
    <t>55 years and 6 months to 55 years and 11 months</t>
  </si>
  <si>
    <t>56 years and 0 months to 56 years and 5 months</t>
  </si>
  <si>
    <t>56 years and 6 months to 56 years and 11 months</t>
  </si>
  <si>
    <t>57 years and 0 months to 57 years and 5 months</t>
  </si>
  <si>
    <t>57 years and 6 months to 57 years and 11 months</t>
  </si>
  <si>
    <t>58 years and 0 months to 58 years and 5 months</t>
  </si>
  <si>
    <t>58 years and 6 months to 58 years and 11 months</t>
  </si>
  <si>
    <t>59 years and 0 months to 59 years and 5 months</t>
  </si>
  <si>
    <t xml:space="preserve">59 years and 6 months to 59 years and 11 months </t>
  </si>
  <si>
    <t>60 years and 0 months to 60 years and 5 months</t>
  </si>
  <si>
    <t>60 years and 6 months to 60 years and 11 months</t>
  </si>
  <si>
    <t>61 years and 0 months to 61 years and 5 months</t>
  </si>
  <si>
    <t>61 years and 6 months to 61 years and 11 months</t>
  </si>
  <si>
    <t>62 years and 0 months to 62 years and 5 months</t>
  </si>
  <si>
    <t>62 years and 6 months to 62 years and 11 months</t>
  </si>
  <si>
    <t>63 years and 0 months to 63 years and 5 months</t>
  </si>
  <si>
    <t>63 years and 6 months to 63 years and 11 months</t>
  </si>
  <si>
    <t>64 years and 0 months to 64 years and 5 months</t>
  </si>
  <si>
    <t>64 years and 6 months to 64 years and 11 months</t>
  </si>
  <si>
    <t>65 years and 0 months to 65 years and 5 months</t>
  </si>
  <si>
    <t>65 years and 6 months to 65 years and 11 months</t>
  </si>
  <si>
    <t xml:space="preserve">66 years and 0 months to 66 years and 5 months </t>
  </si>
  <si>
    <t>66 years and 6 months to 66 years and 11 months</t>
  </si>
  <si>
    <t>67 years and 0 months to 67 years and 5 monmths</t>
  </si>
  <si>
    <t>67 years and 6 months to 67 years and 11 months</t>
  </si>
  <si>
    <t>68 years and 0 months to 68 years and 5 months</t>
  </si>
  <si>
    <t>68 years and 6 months to 68 years and 11 months</t>
  </si>
  <si>
    <t>69 years and 0 months to 69 years and 5 months</t>
  </si>
  <si>
    <t>69 years and 6 months to 69 years and 11 months</t>
  </si>
  <si>
    <t>70 years and 0 months to 70 years and 5 months</t>
  </si>
  <si>
    <t>70 years and 6 months to 70 years and 11 months</t>
  </si>
  <si>
    <t>71 years and 0 months to 71 years and 5 months</t>
  </si>
  <si>
    <t>71 years and 6 months to 71 years and 11 months</t>
  </si>
  <si>
    <t>72 years and 0 months to 72 years and 5 months</t>
  </si>
  <si>
    <t>72 years and 6 months to 72 years and 11 months</t>
  </si>
  <si>
    <t>73 years and 0 months to 73 years and 5 months</t>
  </si>
  <si>
    <t>73 years and 6 months to 73 years and 11 months</t>
  </si>
  <si>
    <t>74 years and 0 months to 74 years and 5 months</t>
  </si>
  <si>
    <t>74 years and 6 months to 74 years and 11 months</t>
  </si>
  <si>
    <t>Item</t>
  </si>
  <si>
    <t>Percentage reduction per year</t>
  </si>
  <si>
    <t>Age reduction</t>
  </si>
  <si>
    <t xml:space="preserve">Note that the amount of extra pension should be adjusted where the member and spouse pension will both be increased (columns 3 and 4) and the member is more than 10 years older than their spouse.  The adjustment is a reduction of 0.5% for each complete year in excess of 10 years that the member is older than the spouse. </t>
  </si>
  <si>
    <t>Male NPA 65 Factor</t>
  </si>
  <si>
    <t>Female NPA 65 Factor</t>
  </si>
  <si>
    <t>Male NPA 66 Factor</t>
  </si>
  <si>
    <t>Female NPA 66 Factor</t>
  </si>
  <si>
    <t>Male NPA 67 Factor</t>
  </si>
  <si>
    <t>Female NPA 67 Factor</t>
  </si>
  <si>
    <t>Male NPA 68 Factor</t>
  </si>
  <si>
    <t>Female NPA 68 Factor</t>
  </si>
  <si>
    <t>Male NPA 60 - Pension Factor</t>
  </si>
  <si>
    <t>Male NPA 60 - Lump Sum Factor</t>
  </si>
  <si>
    <t>Female NPA 60 - Pension Factor</t>
  </si>
  <si>
    <t>Female NPA 60 - Lump Sum Factor</t>
  </si>
  <si>
    <t>Male NPA 65 - Pension Factor</t>
  </si>
  <si>
    <t>Male NPA 65 - Lump Sum Factor</t>
  </si>
  <si>
    <t>Female NPA 65 - Pension Factor</t>
  </si>
  <si>
    <t>Female NPA 65 - Lump Sum Factor</t>
  </si>
  <si>
    <t>Years Early</t>
  </si>
  <si>
    <t>Years Late</t>
  </si>
  <si>
    <t>NPA 60 Pension Factor</t>
  </si>
  <si>
    <t>NPA 60 Lump Sum Factor</t>
  </si>
  <si>
    <t>NPA 65 Pension Factor</t>
  </si>
  <si>
    <t>NPA 65 Lump Sum Factor</t>
  </si>
  <si>
    <t>Male Factor</t>
  </si>
  <si>
    <t>Female Factor</t>
  </si>
  <si>
    <t>Member's pension factor - Males</t>
  </si>
  <si>
    <t>Member's pension factor - Females</t>
  </si>
  <si>
    <t>Member + Spouse - Unisex</t>
  </si>
  <si>
    <t>Member + Spouse</t>
  </si>
  <si>
    <t>Age/Months</t>
  </si>
  <si>
    <t>P2EPA1 
Normal Pension Age 68 (years and whole months (rounded up))</t>
  </si>
  <si>
    <t>Contribution rates for EPA options - Retire 2 year early: NPA 67</t>
  </si>
  <si>
    <t>Contribution rates for EPA options - Retire 2 year early: NPA 68</t>
  </si>
  <si>
    <t>0-731B</t>
  </si>
  <si>
    <t>0-731C</t>
  </si>
  <si>
    <t>Assumption set</t>
  </si>
  <si>
    <t>P2EPA2 
Normal Pension Age 68 (years and whole months (rounded up))</t>
  </si>
  <si>
    <t>Contribution rates for EPA options - Retire 3 year early: NPA 68</t>
  </si>
  <si>
    <t>0-732B</t>
  </si>
  <si>
    <t>P2EPA3 
Normal Pension Age 67 (years and whole months (rounded up))</t>
  </si>
  <si>
    <t>Years/Months Early</t>
  </si>
  <si>
    <t>Age of beneficiary \ Age of officer</t>
  </si>
  <si>
    <t>NPA 65</t>
  </si>
  <si>
    <t>NPA 66</t>
  </si>
  <si>
    <t>NPA 67</t>
  </si>
  <si>
    <t>NPA 68</t>
  </si>
  <si>
    <t>20 and under</t>
  </si>
  <si>
    <t>60 and above</t>
  </si>
  <si>
    <t>Age last birthday (at the relevant date)</t>
  </si>
  <si>
    <t>29 and under</t>
  </si>
  <si>
    <t>30-39</t>
  </si>
  <si>
    <t>40-49</t>
  </si>
  <si>
    <t>50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</si>
</sst>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F800]dddd\,\ mmmm\ dd\,\ yyyy"/>
    <numFmt numFmtId="167" formatCode="0.000%"/>
  </numFmts>
  <fonts count="32"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b/>
      <sz val="10"/>
      <color indexed="8"/>
      <name val="Arial"/>
      <family val="2"/>
    </font>
    <font>
      <sz val="10"/>
      <name val="Arial"/>
      <family val="2"/>
    </font>
    <font>
      <u/>
      <sz val="10"/>
      <color theme="10"/>
      <name val="Arial"/>
      <family val="2"/>
    </font>
    <font>
      <b/>
      <sz val="10"/>
      <color rgb="FF808080"/>
      <name val="Arial"/>
      <family val="2"/>
    </font>
    <font>
      <sz val="10"/>
      <color rgb="FF808080"/>
      <name val="Arial"/>
      <family val="2"/>
    </font>
    <font>
      <b/>
      <sz val="12"/>
      <color rgb="FF000000"/>
      <name val="Arial"/>
      <family val="2"/>
    </font>
    <font>
      <b/>
      <sz val="12"/>
      <name val="Arial"/>
      <family val="2"/>
    </font>
    <font>
      <sz val="8"/>
      <name val="Arial"/>
      <family val="2"/>
    </font>
    <font>
      <b/>
      <sz val="10"/>
      <color theme="0" tint="-0.499984740745262"/>
      <name val="Arial"/>
      <family val="2"/>
    </font>
    <font>
      <sz val="10"/>
      <color theme="0" tint="-0.499984740745262"/>
      <name val="Arial"/>
      <family val="2"/>
    </font>
    <font>
      <b/>
      <sz val="10"/>
      <color theme="2" tint="-0.499984740745262"/>
      <name val="Arial"/>
      <family val="2"/>
    </font>
    <font>
      <sz val="10"/>
      <color theme="2" tint="-0.499984740745262"/>
      <name val="Arial"/>
      <family val="2"/>
    </font>
    <font>
      <sz val="12"/>
      <name val="Arial"/>
      <family val="2"/>
    </font>
    <font>
      <u/>
      <sz val="10"/>
      <color rgb="FF0563C1"/>
      <name val="Arial"/>
      <family val="2"/>
    </font>
    <font>
      <sz val="12"/>
      <color rgb="FF000000"/>
      <name val="Arial"/>
      <family val="2"/>
    </font>
    <font>
      <b/>
      <sz val="9"/>
      <name val="Arial"/>
      <family val="2"/>
    </font>
  </fonts>
  <fills count="14">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rgb="FF5B9BD5"/>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7">
    <xf numFmtId="0" fontId="0" fillId="0" borderId="0"/>
    <xf numFmtId="0" fontId="2" fillId="0" borderId="0"/>
    <xf numFmtId="0" fontId="3" fillId="0" borderId="0"/>
    <xf numFmtId="9" fontId="3" fillId="0" borderId="0" applyFont="0" applyFill="0" applyBorder="0" applyAlignment="0" applyProtection="0"/>
    <xf numFmtId="9" fontId="17" fillId="0" borderId="0" applyFont="0" applyFill="0" applyBorder="0" applyAlignment="0" applyProtection="0"/>
    <xf numFmtId="0" fontId="18" fillId="0" borderId="0" applyNumberFormat="0" applyFill="0" applyBorder="0" applyAlignment="0" applyProtection="0"/>
    <xf numFmtId="0" fontId="1" fillId="0" borderId="0"/>
  </cellStyleXfs>
  <cellXfs count="205">
    <xf numFmtId="0" fontId="0" fillId="0" borderId="0" xfId="0"/>
    <xf numFmtId="0" fontId="5" fillId="0" borderId="0" xfId="0" applyFont="1"/>
    <xf numFmtId="0" fontId="3" fillId="0" borderId="0" xfId="0" applyFont="1" applyAlignment="1">
      <alignment vertical="top" wrapText="1"/>
    </xf>
    <xf numFmtId="0" fontId="0" fillId="0" borderId="0" xfId="0" applyAlignment="1">
      <alignment vertical="top"/>
    </xf>
    <xf numFmtId="0" fontId="6" fillId="2" borderId="1" xfId="0" applyFont="1" applyFill="1" applyBorder="1"/>
    <xf numFmtId="0" fontId="7" fillId="3" borderId="2" xfId="0" applyFont="1" applyFill="1" applyBorder="1"/>
    <xf numFmtId="0" fontId="8" fillId="3" borderId="0" xfId="0" applyFont="1" applyFill="1"/>
    <xf numFmtId="0" fontId="4" fillId="0" borderId="0" xfId="0" applyFont="1"/>
    <xf numFmtId="14" fontId="0" fillId="0" borderId="0" xfId="0" applyNumberFormat="1"/>
    <xf numFmtId="0" fontId="0" fillId="3" borderId="0" xfId="0" applyFill="1"/>
    <xf numFmtId="0" fontId="0" fillId="2" borderId="1" xfId="0" applyFill="1" applyBorder="1"/>
    <xf numFmtId="0" fontId="7"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0" fillId="0" borderId="0" xfId="0" applyAlignment="1">
      <alignment wrapText="1"/>
    </xf>
    <xf numFmtId="0" fontId="3" fillId="0" borderId="0" xfId="2"/>
    <xf numFmtId="0" fontId="0" fillId="0" borderId="11" xfId="0" applyBorder="1"/>
    <xf numFmtId="0" fontId="0" fillId="0" borderId="14" xfId="0" applyBorder="1"/>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left"/>
    </xf>
    <xf numFmtId="0" fontId="5" fillId="0" borderId="11" xfId="0" applyFont="1" applyBorder="1" applyAlignment="1">
      <alignment horizontal="left"/>
    </xf>
    <xf numFmtId="0" fontId="5"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6" fillId="2" borderId="1" xfId="2" applyFont="1" applyFill="1" applyBorder="1"/>
    <xf numFmtId="0" fontId="3" fillId="2" borderId="1" xfId="2" applyFill="1" applyBorder="1"/>
    <xf numFmtId="0" fontId="7" fillId="3" borderId="2" xfId="2" applyFont="1" applyFill="1" applyBorder="1"/>
    <xf numFmtId="0" fontId="3" fillId="3" borderId="0" xfId="2" applyFill="1"/>
    <xf numFmtId="0" fontId="8" fillId="3" borderId="0" xfId="2" applyFont="1" applyFill="1"/>
    <xf numFmtId="0" fontId="4" fillId="0" borderId="0" xfId="2" applyFont="1"/>
    <xf numFmtId="0" fontId="5" fillId="4" borderId="15" xfId="2" applyFont="1" applyFill="1" applyBorder="1" applyAlignment="1">
      <alignment vertical="top"/>
    </xf>
    <xf numFmtId="0" fontId="5" fillId="4" borderId="15" xfId="2" applyFont="1" applyFill="1" applyBorder="1" applyAlignment="1">
      <alignment vertical="top" wrapText="1"/>
    </xf>
    <xf numFmtId="0" fontId="3" fillId="4" borderId="15" xfId="2"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3" fillId="4" borderId="4" xfId="2" applyFill="1" applyBorder="1" applyAlignment="1">
      <alignment horizontal="left" vertical="top"/>
    </xf>
    <xf numFmtId="0" fontId="11" fillId="4" borderId="15" xfId="2" applyFont="1" applyFill="1" applyBorder="1" applyAlignment="1">
      <alignment horizontal="left" vertical="top" wrapText="1"/>
    </xf>
    <xf numFmtId="0" fontId="3" fillId="4" borderId="15" xfId="2" applyFill="1" applyBorder="1" applyAlignment="1">
      <alignment horizontal="left" vertical="top" wrapText="1"/>
    </xf>
    <xf numFmtId="0" fontId="3" fillId="4" borderId="4" xfId="2" applyFill="1" applyBorder="1" applyAlignment="1">
      <alignment horizontal="left" vertical="top" wrapText="1"/>
    </xf>
    <xf numFmtId="14" fontId="11" fillId="4" borderId="15" xfId="2" applyNumberFormat="1" applyFont="1" applyFill="1" applyBorder="1" applyAlignment="1">
      <alignment horizontal="left" vertical="top" wrapText="1"/>
    </xf>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22" fontId="0" fillId="0" borderId="0" xfId="0" applyNumberFormat="1"/>
    <xf numFmtId="1" fontId="15" fillId="0" borderId="0" xfId="0" applyNumberFormat="1" applyFont="1" applyAlignment="1">
      <alignment vertical="top" wrapText="1"/>
    </xf>
    <xf numFmtId="0" fontId="14" fillId="0" borderId="0" xfId="0" applyFont="1"/>
    <xf numFmtId="2" fontId="14" fillId="0" borderId="0" xfId="0" applyNumberFormat="1" applyFont="1"/>
    <xf numFmtId="0" fontId="15" fillId="0" borderId="0" xfId="0" applyFont="1" applyAlignment="1">
      <alignment horizontal="left" wrapText="1"/>
    </xf>
    <xf numFmtId="0" fontId="14" fillId="0" borderId="0" xfId="0" applyFont="1" applyAlignment="1">
      <alignment horizontal="left" wrapText="1"/>
    </xf>
    <xf numFmtId="0" fontId="15" fillId="0" borderId="0" xfId="0" applyFont="1" applyAlignment="1">
      <alignment horizontal="centerContinuous" wrapText="1"/>
    </xf>
    <xf numFmtId="0" fontId="14" fillId="0" borderId="0" xfId="0" applyFont="1" applyAlignment="1">
      <alignment horizontal="centerContinuous" wrapText="1"/>
    </xf>
    <xf numFmtId="0" fontId="0" fillId="0" borderId="0" xfId="0" applyAlignment="1">
      <alignment horizontal="left"/>
    </xf>
    <xf numFmtId="0" fontId="14" fillId="0" borderId="0" xfId="2" applyFont="1" applyAlignment="1">
      <alignment horizontal="left" wrapText="1"/>
    </xf>
    <xf numFmtId="0" fontId="14" fillId="0" borderId="0" xfId="2" applyFont="1" applyAlignment="1">
      <alignment horizontal="centerContinuous" wrapText="1"/>
    </xf>
    <xf numFmtId="1" fontId="15" fillId="0" borderId="0" xfId="2" applyNumberFormat="1" applyFont="1" applyAlignment="1">
      <alignment vertical="top" wrapText="1"/>
    </xf>
    <xf numFmtId="0" fontId="14" fillId="0" borderId="0" xfId="2" applyFont="1"/>
    <xf numFmtId="2" fontId="14" fillId="0" borderId="0" xfId="2" applyNumberFormat="1" applyFont="1"/>
    <xf numFmtId="0" fontId="14" fillId="0" borderId="0" xfId="0" applyFont="1" applyAlignment="1">
      <alignment horizontal="right"/>
    </xf>
    <xf numFmtId="0" fontId="15" fillId="0" borderId="0" xfId="2" applyFont="1" applyAlignment="1">
      <alignment horizontal="left" wrapText="1"/>
    </xf>
    <xf numFmtId="0" fontId="15" fillId="0" borderId="0" xfId="2" applyFont="1" applyAlignment="1">
      <alignment horizontal="centerContinuous" wrapText="1"/>
    </xf>
    <xf numFmtId="164" fontId="14" fillId="0" borderId="0" xfId="2" applyNumberFormat="1" applyFont="1"/>
    <xf numFmtId="165" fontId="14" fillId="0" borderId="0" xfId="0" applyNumberFormat="1" applyFont="1"/>
    <xf numFmtId="1" fontId="14" fillId="0" borderId="0" xfId="0" applyNumberFormat="1" applyFont="1" applyAlignment="1">
      <alignment vertical="top" wrapText="1"/>
    </xf>
    <xf numFmtId="165" fontId="14" fillId="0" borderId="0" xfId="3" applyNumberFormat="1" applyFont="1" applyFill="1" applyAlignment="1">
      <alignment vertical="top" wrapText="1"/>
    </xf>
    <xf numFmtId="10" fontId="14" fillId="0" borderId="0" xfId="0" applyNumberFormat="1" applyFont="1"/>
    <xf numFmtId="10" fontId="0" fillId="8" borderId="0" xfId="0" applyNumberFormat="1" applyFill="1"/>
    <xf numFmtId="0" fontId="15" fillId="0" borderId="0" xfId="2" applyFont="1"/>
    <xf numFmtId="164" fontId="14" fillId="0" borderId="0" xfId="2" applyNumberFormat="1" applyFont="1" applyAlignment="1">
      <alignment vertical="top" wrapText="1"/>
    </xf>
    <xf numFmtId="0" fontId="16" fillId="0" borderId="0" xfId="2" applyFont="1"/>
    <xf numFmtId="0" fontId="14" fillId="0" borderId="0" xfId="2" applyFont="1" applyAlignment="1">
      <alignment horizontal="right"/>
    </xf>
    <xf numFmtId="165" fontId="14" fillId="0" borderId="0" xfId="2" applyNumberFormat="1" applyFont="1"/>
    <xf numFmtId="165" fontId="14" fillId="0" borderId="0" xfId="4" applyNumberFormat="1" applyFont="1" applyFill="1"/>
    <xf numFmtId="164" fontId="14" fillId="0" borderId="0" xfId="4" applyNumberFormat="1" applyFont="1" applyFill="1"/>
    <xf numFmtId="0" fontId="18" fillId="0" borderId="0" xfId="5"/>
    <xf numFmtId="1" fontId="15" fillId="0" borderId="0" xfId="0" applyNumberFormat="1" applyFont="1" applyAlignment="1">
      <alignment horizontal="center" vertical="center" wrapText="1"/>
    </xf>
    <xf numFmtId="0" fontId="14" fillId="0" borderId="0" xfId="0" applyFont="1" applyAlignment="1">
      <alignment horizontal="center" vertical="center"/>
    </xf>
    <xf numFmtId="2" fontId="14" fillId="0" borderId="0" xfId="0" applyNumberFormat="1" applyFont="1" applyAlignment="1">
      <alignment horizontal="center" vertical="center"/>
    </xf>
    <xf numFmtId="0" fontId="5" fillId="0" borderId="0" xfId="0" applyFont="1" applyAlignment="1">
      <alignment wrapText="1"/>
    </xf>
    <xf numFmtId="0" fontId="19" fillId="0" borderId="0" xfId="0" applyFont="1"/>
    <xf numFmtId="0" fontId="20" fillId="0" borderId="0" xfId="0" applyFont="1"/>
    <xf numFmtId="0" fontId="20" fillId="0" borderId="0" xfId="0" applyFont="1" applyAlignment="1">
      <alignment vertical="top" wrapText="1"/>
    </xf>
    <xf numFmtId="0" fontId="20" fillId="0" borderId="0" xfId="0" applyFont="1" applyAlignment="1">
      <alignment wrapText="1"/>
    </xf>
    <xf numFmtId="0" fontId="20" fillId="0" borderId="0" xfId="0" applyFont="1" applyAlignment="1">
      <alignment horizontal="left" vertical="top" wrapText="1"/>
    </xf>
    <xf numFmtId="14" fontId="20" fillId="0" borderId="0" xfId="0" applyNumberFormat="1" applyFont="1"/>
    <xf numFmtId="0" fontId="21" fillId="0" borderId="0" xfId="0" applyFont="1" applyAlignment="1">
      <alignment horizontal="left" vertical="center" wrapText="1"/>
    </xf>
    <xf numFmtId="0" fontId="15" fillId="0" borderId="0" xfId="0" applyFont="1" applyAlignment="1">
      <alignment horizontal="left" vertical="center" wrapText="1"/>
    </xf>
    <xf numFmtId="0" fontId="21" fillId="0" borderId="0" xfId="0" applyFont="1" applyAlignment="1">
      <alignment vertical="center" wrapText="1"/>
    </xf>
    <xf numFmtId="0" fontId="0" fillId="5" borderId="0" xfId="0" applyFill="1" applyAlignment="1">
      <alignment vertical="center"/>
    </xf>
    <xf numFmtId="0" fontId="14" fillId="0" borderId="0" xfId="0" applyFont="1" applyAlignment="1">
      <alignment vertical="center" wrapText="1"/>
    </xf>
    <xf numFmtId="0" fontId="0" fillId="6" borderId="0" xfId="0" applyFill="1" applyAlignment="1">
      <alignment vertical="center"/>
    </xf>
    <xf numFmtId="0" fontId="3" fillId="7" borderId="0" xfId="0" applyFont="1" applyFill="1" applyAlignment="1">
      <alignment vertical="center"/>
    </xf>
    <xf numFmtId="0" fontId="3" fillId="0" borderId="0" xfId="0" applyFont="1" applyAlignment="1">
      <alignmen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0" fillId="2" borderId="1" xfId="0" applyFill="1" applyBorder="1" applyAlignment="1">
      <alignment horizontal="left"/>
    </xf>
    <xf numFmtId="0" fontId="0" fillId="3" borderId="0" xfId="0" applyFill="1" applyAlignment="1">
      <alignment horizontal="left"/>
    </xf>
    <xf numFmtId="1" fontId="15" fillId="0" borderId="0" xfId="2" applyNumberFormat="1" applyFont="1" applyAlignment="1">
      <alignment horizontal="center" vertical="center" wrapText="1"/>
    </xf>
    <xf numFmtId="0" fontId="14" fillId="0" borderId="0" xfId="2" applyFont="1" applyAlignment="1">
      <alignment horizontal="center" vertical="center"/>
    </xf>
    <xf numFmtId="164" fontId="14" fillId="0" borderId="0" xfId="2" applyNumberFormat="1" applyFont="1" applyAlignment="1">
      <alignment horizontal="center" vertical="center"/>
    </xf>
    <xf numFmtId="164" fontId="14" fillId="0" borderId="0" xfId="0" applyNumberFormat="1" applyFont="1" applyAlignment="1">
      <alignment horizontal="center" vertical="center"/>
    </xf>
    <xf numFmtId="0" fontId="14" fillId="0" borderId="0" xfId="0" applyFont="1" applyAlignment="1">
      <alignment horizontal="left"/>
    </xf>
    <xf numFmtId="165" fontId="14" fillId="0" borderId="0" xfId="3" applyNumberFormat="1" applyFont="1" applyFill="1"/>
    <xf numFmtId="0" fontId="24" fillId="0" borderId="0" xfId="0" applyFont="1"/>
    <xf numFmtId="0" fontId="25" fillId="0" borderId="0" xfId="0" applyFont="1"/>
    <xf numFmtId="0" fontId="25" fillId="0" borderId="0" xfId="0" applyFont="1" applyAlignment="1">
      <alignment wrapText="1"/>
    </xf>
    <xf numFmtId="14" fontId="25" fillId="0" borderId="0" xfId="0" applyNumberFormat="1" applyFont="1"/>
    <xf numFmtId="164" fontId="14" fillId="0" borderId="0" xfId="0" applyNumberFormat="1" applyFont="1"/>
    <xf numFmtId="166" fontId="14" fillId="0" borderId="0" xfId="0" applyNumberFormat="1" applyFont="1" applyAlignment="1">
      <alignment horizontal="centerContinuous" wrapText="1"/>
    </xf>
    <xf numFmtId="166" fontId="3" fillId="0" borderId="0" xfId="2" applyNumberFormat="1"/>
    <xf numFmtId="0" fontId="3" fillId="9" borderId="0" xfId="0" applyFont="1" applyFill="1" applyAlignment="1">
      <alignment vertical="center"/>
    </xf>
    <xf numFmtId="0" fontId="14" fillId="10" borderId="0" xfId="0" applyFont="1" applyFill="1" applyAlignment="1">
      <alignment vertical="center" wrapText="1"/>
    </xf>
    <xf numFmtId="0" fontId="3" fillId="0" borderId="0" xfId="0" applyFont="1"/>
    <xf numFmtId="0" fontId="5" fillId="11" borderId="0" xfId="0" applyFont="1" applyFill="1"/>
    <xf numFmtId="0" fontId="3" fillId="13" borderId="0" xfId="0" applyFont="1" applyFill="1"/>
    <xf numFmtId="0" fontId="3" fillId="11" borderId="0" xfId="0" applyFont="1" applyFill="1"/>
    <xf numFmtId="0" fontId="3" fillId="10" borderId="0" xfId="0" applyFont="1" applyFill="1" applyAlignment="1">
      <alignment wrapText="1"/>
    </xf>
    <xf numFmtId="14" fontId="3" fillId="12" borderId="0" xfId="0" applyNumberFormat="1" applyFont="1" applyFill="1"/>
    <xf numFmtId="0" fontId="26" fillId="0" borderId="0" xfId="0" applyFont="1"/>
    <xf numFmtId="0" fontId="27" fillId="0" borderId="0" xfId="0" applyFont="1"/>
    <xf numFmtId="0" fontId="27" fillId="0" borderId="0" xfId="0" applyFont="1" applyAlignment="1">
      <alignment wrapText="1"/>
    </xf>
    <xf numFmtId="14" fontId="27" fillId="0" borderId="0" xfId="0" applyNumberFormat="1" applyFont="1"/>
    <xf numFmtId="0" fontId="3" fillId="0" borderId="0" xfId="0" applyFont="1" applyAlignment="1">
      <alignment horizontal="center"/>
    </xf>
    <xf numFmtId="0" fontId="29" fillId="0" borderId="0" xfId="0" applyFont="1" applyAlignment="1">
      <alignment vertical="center"/>
    </xf>
    <xf numFmtId="0" fontId="21" fillId="12" borderId="0" xfId="0" applyFont="1" applyFill="1" applyAlignment="1">
      <alignment wrapText="1"/>
    </xf>
    <xf numFmtId="0" fontId="21" fillId="12" borderId="0" xfId="0" applyFont="1" applyFill="1" applyAlignment="1">
      <alignment horizontal="left" wrapText="1"/>
    </xf>
    <xf numFmtId="0" fontId="21" fillId="10" borderId="0" xfId="0" applyFont="1" applyFill="1" applyAlignment="1">
      <alignment wrapText="1"/>
    </xf>
    <xf numFmtId="0" fontId="21" fillId="10" borderId="0" xfId="0" applyFont="1" applyFill="1" applyAlignment="1">
      <alignment horizontal="left" wrapText="1"/>
    </xf>
    <xf numFmtId="0" fontId="30" fillId="12" borderId="0" xfId="0" applyFont="1" applyFill="1" applyAlignment="1">
      <alignment horizontal="left" wrapText="1"/>
    </xf>
    <xf numFmtId="0" fontId="30" fillId="10" borderId="0" xfId="0" applyFont="1" applyFill="1" applyAlignment="1">
      <alignment horizontal="left" wrapText="1"/>
    </xf>
    <xf numFmtId="10" fontId="30" fillId="10" borderId="0" xfId="0" applyNumberFormat="1" applyFont="1" applyFill="1" applyAlignment="1">
      <alignment horizontal="left" wrapText="1"/>
    </xf>
    <xf numFmtId="10" fontId="30" fillId="12" borderId="0" xfId="0" applyNumberFormat="1" applyFont="1" applyFill="1" applyAlignment="1">
      <alignment horizontal="left" wrapText="1"/>
    </xf>
    <xf numFmtId="0" fontId="30" fillId="10" borderId="0" xfId="0" applyFont="1" applyFill="1" applyAlignment="1">
      <alignment horizontal="left"/>
    </xf>
    <xf numFmtId="0" fontId="28" fillId="10" borderId="0" xfId="0" applyFont="1" applyFill="1" applyAlignment="1">
      <alignment horizontal="left" wrapText="1"/>
    </xf>
    <xf numFmtId="0" fontId="28" fillId="12" borderId="0" xfId="0" applyFont="1" applyFill="1" applyAlignment="1">
      <alignment horizontal="left" wrapText="1"/>
    </xf>
    <xf numFmtId="9" fontId="28" fillId="10" borderId="0" xfId="0" applyNumberFormat="1" applyFont="1" applyFill="1" applyAlignment="1">
      <alignment horizontal="left" wrapText="1"/>
    </xf>
    <xf numFmtId="9" fontId="30" fillId="12" borderId="0" xfId="0" applyNumberFormat="1" applyFont="1" applyFill="1" applyAlignment="1">
      <alignment horizontal="left" wrapText="1"/>
    </xf>
    <xf numFmtId="165" fontId="15" fillId="0" borderId="0" xfId="4" applyNumberFormat="1" applyFont="1" applyAlignment="1">
      <alignment vertical="top" wrapText="1"/>
    </xf>
    <xf numFmtId="1" fontId="14" fillId="0" borderId="0" xfId="4" applyNumberFormat="1" applyFont="1" applyFill="1"/>
    <xf numFmtId="0" fontId="15" fillId="11" borderId="0" xfId="0" applyFont="1" applyFill="1" applyAlignment="1">
      <alignment vertical="top" wrapText="1"/>
    </xf>
    <xf numFmtId="0" fontId="15" fillId="12" borderId="0" xfId="0" applyFont="1" applyFill="1" applyAlignment="1">
      <alignment horizontal="center" vertical="center" wrapText="1"/>
    </xf>
    <xf numFmtId="0" fontId="14" fillId="13" borderId="0" xfId="0" applyFont="1" applyFill="1"/>
    <xf numFmtId="10" fontId="14" fillId="10" borderId="0" xfId="0" applyNumberFormat="1" applyFont="1" applyFill="1" applyAlignment="1">
      <alignment horizontal="center" vertical="center"/>
    </xf>
    <xf numFmtId="0" fontId="14" fillId="11" borderId="0" xfId="0" applyFont="1" applyFill="1"/>
    <xf numFmtId="10" fontId="14" fillId="12" borderId="0" xfId="0" applyNumberFormat="1" applyFont="1" applyFill="1" applyAlignment="1">
      <alignment horizontal="center" vertical="center" wrapText="1"/>
    </xf>
    <xf numFmtId="0" fontId="15" fillId="11" borderId="0" xfId="0" applyFont="1" applyFill="1" applyAlignment="1">
      <alignment horizontal="center" vertical="center" wrapText="1"/>
    </xf>
    <xf numFmtId="0" fontId="14" fillId="13" borderId="0" xfId="0" applyFont="1" applyFill="1" applyAlignment="1">
      <alignment horizontal="center" vertical="center"/>
    </xf>
    <xf numFmtId="0" fontId="14" fillId="10" borderId="0" xfId="0" applyFont="1" applyFill="1" applyAlignment="1">
      <alignment horizontal="center" vertical="center"/>
    </xf>
    <xf numFmtId="0" fontId="14" fillId="11" borderId="0" xfId="0" applyFont="1" applyFill="1" applyAlignment="1">
      <alignment horizontal="center" vertical="center"/>
    </xf>
    <xf numFmtId="0" fontId="14" fillId="12" borderId="0" xfId="0" applyFont="1" applyFill="1" applyAlignment="1">
      <alignment horizontal="center" vertical="center"/>
    </xf>
    <xf numFmtId="0" fontId="15" fillId="11" borderId="0" xfId="0" applyFont="1" applyFill="1" applyAlignment="1">
      <alignment horizontal="right" vertical="top" wrapText="1"/>
    </xf>
    <xf numFmtId="0" fontId="3" fillId="12" borderId="0" xfId="0" applyFont="1" applyFill="1"/>
    <xf numFmtId="0" fontId="3" fillId="10" borderId="0" xfId="0" applyFont="1" applyFill="1"/>
    <xf numFmtId="167" fontId="30" fillId="10" borderId="0" xfId="0" applyNumberFormat="1" applyFont="1" applyFill="1" applyAlignment="1">
      <alignment horizontal="left" wrapText="1"/>
    </xf>
    <xf numFmtId="0" fontId="3" fillId="0" borderId="0" xfId="0" applyFont="1" applyAlignment="1">
      <alignment wrapText="1"/>
    </xf>
    <xf numFmtId="0" fontId="15" fillId="0" borderId="0" xfId="0" applyFont="1" applyAlignment="1">
      <alignment horizontal="left"/>
    </xf>
    <xf numFmtId="166" fontId="14" fillId="0" borderId="0" xfId="0" applyNumberFormat="1" applyFont="1" applyAlignment="1">
      <alignment horizontal="left"/>
    </xf>
    <xf numFmtId="0" fontId="14" fillId="0" borderId="0" xfId="2" applyFont="1" applyAlignment="1">
      <alignment horizontal="left"/>
    </xf>
    <xf numFmtId="0" fontId="15" fillId="0" borderId="0" xfId="2" applyFont="1" applyAlignment="1">
      <alignment horizontal="left"/>
    </xf>
    <xf numFmtId="14" fontId="14" fillId="0" borderId="0" xfId="0" applyNumberFormat="1" applyFont="1" applyAlignment="1">
      <alignment horizontal="left"/>
    </xf>
    <xf numFmtId="14" fontId="14" fillId="0" borderId="0" xfId="2" applyNumberFormat="1" applyFont="1" applyAlignment="1">
      <alignment horizontal="left"/>
    </xf>
    <xf numFmtId="0" fontId="18" fillId="0" borderId="0" xfId="5" applyFill="1" applyAlignment="1">
      <alignment horizontal="left" vertical="center" wrapText="1"/>
    </xf>
    <xf numFmtId="0" fontId="14" fillId="0" borderId="0" xfId="0" applyFont="1" applyAlignment="1">
      <alignment wrapText="1"/>
    </xf>
    <xf numFmtId="166" fontId="14" fillId="0" borderId="0" xfId="0" applyNumberFormat="1" applyFont="1" applyAlignment="1">
      <alignment horizontal="left" vertical="center" wrapText="1"/>
    </xf>
    <xf numFmtId="0" fontId="22"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3" fillId="12" borderId="0" xfId="0" applyFont="1" applyFill="1"/>
    <xf numFmtId="0" fontId="3" fillId="10" borderId="0" xfId="0" applyFont="1" applyFill="1"/>
    <xf numFmtId="0" fontId="31" fillId="0" borderId="0" xfId="0" applyFont="1" applyAlignment="1">
      <alignment vertical="center" wrapText="1"/>
    </xf>
  </cellXfs>
  <cellStyles count="7">
    <cellStyle name="Hyperlink" xfId="5" builtinId="8"/>
    <cellStyle name="Normal" xfId="0" builtinId="0"/>
    <cellStyle name="Normal 2" xfId="1" xr:uid="{00000000-0005-0000-0000-000002000000}"/>
    <cellStyle name="Normal 2 2" xfId="2" xr:uid="{00000000-0005-0000-0000-000003000000}"/>
    <cellStyle name="Normal 2 3" xfId="6" xr:uid="{BAB35022-B4CC-4B1F-BF4F-994153ABF142}"/>
    <cellStyle name="Per cent" xfId="4" builtinId="5"/>
    <cellStyle name="Percent 2" xfId="3" xr:uid="{00000000-0005-0000-0000-000005000000}"/>
  </cellStyles>
  <dxfs count="1539">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D9D9D9"/>
        </patternFill>
      </fill>
    </dxf>
    <dxf>
      <fill>
        <patternFill>
          <bgColor rgb="FFE3E3E3"/>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D9D9D9"/>
        </patternFill>
      </fill>
    </dxf>
    <dxf>
      <fill>
        <patternFill>
          <bgColor rgb="FFE3E3E3"/>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00FFFF"/>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customXml" Target="../customXml/item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theme" Target="theme/theme1.xml"/><Relationship Id="rId129" Type="http://schemas.openxmlformats.org/officeDocument/2006/relationships/customXml" Target="../customXml/item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customXml" Target="../customXml/item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customXml" Target="../customXml/item4.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showGridLines="0" zoomScale="85" zoomScaleNormal="85" workbookViewId="0">
      <selection activeCell="A3" sqref="A3"/>
    </sheetView>
  </sheetViews>
  <sheetFormatPr defaultRowHeight="13.2" x14ac:dyDescent="0.25"/>
  <cols>
    <col min="1" max="1" width="20" customWidth="1"/>
    <col min="2" max="2" width="130.5546875" style="2" customWidth="1"/>
    <col min="3" max="3" width="9.21875"/>
    <col min="4" max="4" width="10.21875" bestFit="1" customWidth="1"/>
    <col min="5" max="7" width="9.21875"/>
    <col min="8" max="8" width="10.21875" customWidth="1"/>
    <col min="9" max="9" width="11.44140625" customWidth="1"/>
    <col min="10" max="11" width="9.21875"/>
    <col min="12" max="12" width="15.44140625" bestFit="1" customWidth="1"/>
    <col min="13" max="13" width="21" bestFit="1" customWidth="1"/>
    <col min="14" max="14" width="9.44140625" customWidth="1"/>
    <col min="15" max="15" width="9.5546875" customWidth="1"/>
    <col min="16" max="20" width="13.21875" customWidth="1"/>
    <col min="21" max="26" width="9.21875"/>
    <col min="27" max="27" width="11.44140625" customWidth="1"/>
    <col min="28" max="28" width="10.21875" customWidth="1"/>
    <col min="29" max="30" width="9.21875"/>
    <col min="31" max="31" width="15.44140625" bestFit="1" customWidth="1"/>
    <col min="32" max="32" width="21" bestFit="1" customWidth="1"/>
    <col min="33" max="34" width="9.5546875" bestFit="1" customWidth="1"/>
    <col min="35" max="35" width="9.5546875" customWidth="1"/>
    <col min="36" max="38" width="9.21875"/>
    <col min="39" max="39" width="12.44140625" bestFit="1" customWidth="1"/>
    <col min="40" max="45" width="9.21875"/>
  </cols>
  <sheetData>
    <row r="1" spans="1:4" ht="21" x14ac:dyDescent="0.4">
      <c r="A1" s="4" t="s">
        <v>0</v>
      </c>
      <c r="B1" s="4"/>
    </row>
    <row r="2" spans="1:4" ht="15.6" x14ac:dyDescent="0.3">
      <c r="A2" s="5" t="s">
        <v>1</v>
      </c>
      <c r="B2" s="5"/>
    </row>
    <row r="3" spans="1:4" ht="15.6" x14ac:dyDescent="0.3">
      <c r="A3" s="6" t="s">
        <v>2</v>
      </c>
      <c r="B3" s="6"/>
    </row>
    <row r="4" spans="1:4" x14ac:dyDescent="0.25">
      <c r="A4" s="7" t="str">
        <f ca="1">CELL("filename",A1)</f>
        <v>https://tris42.sharepoint.com/sites/gad_wrkgrp_actuarial/pspsactuarialwork/Central/Factors &amp; Guidance/2024 Guidance Review/4. Online portal/3. Import data/3. Factor tables/0_client_friendly/Ready to be uploaded/2025-03/[CS GB Consolidated Factors 2025-02.xlsx]Cover</v>
      </c>
    </row>
    <row r="5" spans="1:4" x14ac:dyDescent="0.25">
      <c r="D5" s="8"/>
    </row>
    <row r="6" spans="1:4" x14ac:dyDescent="0.25">
      <c r="A6" s="1"/>
    </row>
    <row r="7" spans="1:4" ht="25.5" customHeight="1" x14ac:dyDescent="0.25">
      <c r="A7" s="113" t="s">
        <v>3</v>
      </c>
      <c r="B7" s="114" t="s">
        <v>4</v>
      </c>
    </row>
    <row r="11" spans="1:4" ht="25.5" customHeight="1" x14ac:dyDescent="0.25">
      <c r="A11" s="115" t="s">
        <v>5</v>
      </c>
      <c r="B11" s="115" t="s">
        <v>6</v>
      </c>
    </row>
    <row r="12" spans="1:4" ht="19.5" customHeight="1" x14ac:dyDescent="0.25">
      <c r="A12" s="116" t="s">
        <v>7</v>
      </c>
      <c r="B12" s="117" t="s">
        <v>8</v>
      </c>
    </row>
    <row r="13" spans="1:4" ht="19.5" customHeight="1" x14ac:dyDescent="0.25">
      <c r="A13" s="118" t="s">
        <v>9</v>
      </c>
      <c r="B13" s="117" t="s">
        <v>10</v>
      </c>
    </row>
    <row r="14" spans="1:4" ht="19.5" customHeight="1" x14ac:dyDescent="0.25">
      <c r="A14" s="119" t="s">
        <v>11</v>
      </c>
      <c r="B14" s="117" t="s">
        <v>12</v>
      </c>
    </row>
    <row r="15" spans="1:4" ht="19.5" customHeight="1" x14ac:dyDescent="0.25">
      <c r="A15" s="138" t="s">
        <v>13</v>
      </c>
      <c r="B15" s="139" t="s">
        <v>14</v>
      </c>
      <c r="C15" s="140"/>
      <c r="D15" s="140"/>
    </row>
    <row r="16" spans="1:4" ht="26.4" x14ac:dyDescent="0.25">
      <c r="A16" s="120" t="s">
        <v>15</v>
      </c>
      <c r="B16" s="120" t="s">
        <v>16</v>
      </c>
    </row>
    <row r="17" spans="1:2" ht="26.4" x14ac:dyDescent="0.25">
      <c r="A17" s="117" t="s">
        <v>17</v>
      </c>
      <c r="B17" s="117" t="s">
        <v>18</v>
      </c>
    </row>
    <row r="18" spans="1:2" ht="26.4" x14ac:dyDescent="0.25">
      <c r="A18" s="117" t="s">
        <v>19</v>
      </c>
      <c r="B18" s="117" t="s">
        <v>20</v>
      </c>
    </row>
    <row r="19" spans="1:2" ht="26.4" x14ac:dyDescent="0.25">
      <c r="A19" s="120" t="s">
        <v>21</v>
      </c>
      <c r="B19" s="120" t="s">
        <v>22</v>
      </c>
    </row>
    <row r="20" spans="1:2" ht="26.4" x14ac:dyDescent="0.25">
      <c r="A20" s="120" t="s">
        <v>23</v>
      </c>
      <c r="B20" s="120" t="s">
        <v>24</v>
      </c>
    </row>
    <row r="21" spans="1:2" ht="26.4" x14ac:dyDescent="0.25">
      <c r="A21" s="120" t="s">
        <v>25</v>
      </c>
      <c r="B21" s="120" t="s">
        <v>26</v>
      </c>
    </row>
    <row r="22" spans="1:2" ht="26.4" x14ac:dyDescent="0.25">
      <c r="A22" s="120" t="s">
        <v>27</v>
      </c>
      <c r="B22" s="120" t="s">
        <v>28</v>
      </c>
    </row>
    <row r="23" spans="1:2" ht="26.4" x14ac:dyDescent="0.25">
      <c r="A23" s="120" t="s">
        <v>29</v>
      </c>
      <c r="B23" s="120" t="s">
        <v>30</v>
      </c>
    </row>
    <row r="24" spans="1:2" x14ac:dyDescent="0.25">
      <c r="A24" s="3"/>
    </row>
    <row r="25" spans="1:2" x14ac:dyDescent="0.25">
      <c r="A25" s="3"/>
    </row>
  </sheetData>
  <sheetProtection algorithmName="SHA-512" hashValue="OYdNf/XaB20ajLPg9fHGCMmuWt1W0OLkEkz3gnani1mlgatyaQKXCjGYKSAZRuClbCuqKruxWFlOZsX7xgBqrQ==" saltValue="KcPIwwONyOs2vHt9ciRO+A==" spinCount="100000" sheet="1" objects="1" scenarios="1"/>
  <phoneticPr fontId="4" type="noConversion"/>
  <conditionalFormatting sqref="A7">
    <cfRule type="expression" dxfId="1538" priority="3" stopIfTrue="1">
      <formula>MOD(ROW(),2)=0</formula>
    </cfRule>
    <cfRule type="expression" dxfId="1537" priority="4" stopIfTrue="1">
      <formula>MOD(ROW(),2)&lt;&gt;0</formula>
    </cfRule>
  </conditionalFormatting>
  <conditionalFormatting sqref="A11">
    <cfRule type="expression" dxfId="1536" priority="5" stopIfTrue="1">
      <formula>MOD(ROW(),2)=0</formula>
    </cfRule>
    <cfRule type="expression" dxfId="1535" priority="6" stopIfTrue="1">
      <formula>MOD(ROW(),2)&lt;&gt;0</formula>
    </cfRule>
  </conditionalFormatting>
  <conditionalFormatting sqref="A16:A23">
    <cfRule type="expression" dxfId="1534" priority="11" stopIfTrue="1">
      <formula>MOD(ROW(),2)=0</formula>
    </cfRule>
    <cfRule type="expression" dxfId="1533" priority="12" stopIfTrue="1">
      <formula>MOD(ROW(),2)&lt;&gt;0</formula>
    </cfRule>
  </conditionalFormatting>
  <conditionalFormatting sqref="B7">
    <cfRule type="expression" dxfId="1532" priority="1" stopIfTrue="1">
      <formula>MOD(ROW(),2)=0</formula>
    </cfRule>
    <cfRule type="expression" dxfId="1531" priority="2" stopIfTrue="1">
      <formula>MOD(ROW(),2)&lt;&gt;0</formula>
    </cfRule>
  </conditionalFormatting>
  <conditionalFormatting sqref="B11:B14">
    <cfRule type="expression" dxfId="1530" priority="7" stopIfTrue="1">
      <formula>MOD(ROW(),2)=0</formula>
    </cfRule>
    <cfRule type="expression" dxfId="1529" priority="8" stopIfTrue="1">
      <formula>MOD(ROW(),2)&lt;&gt;0</formula>
    </cfRule>
  </conditionalFormatting>
  <conditionalFormatting sqref="B16:B23">
    <cfRule type="expression" dxfId="1528" priority="13" stopIfTrue="1">
      <formula>MOD(ROW(),2)=0</formula>
    </cfRule>
    <cfRule type="expression" dxfId="1527" priority="14" stopIfTrue="1">
      <formula>MOD(ROW(),2)&lt;&gt;0</formula>
    </cfRule>
  </conditionalFormatting>
  <pageMargins left="0.75" right="0.75" top="1" bottom="1" header="0.5" footer="0.5"/>
  <pageSetup paperSize="9" scale="78"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0"/>
  <dimension ref="A1:E85"/>
  <sheetViews>
    <sheetView showGridLines="0" zoomScale="85" zoomScaleNormal="85" workbookViewId="0">
      <selection activeCell="A4" sqref="A4"/>
    </sheetView>
  </sheetViews>
  <sheetFormatPr defaultColWidth="10" defaultRowHeight="13.2" x14ac:dyDescent="0.25"/>
  <cols>
    <col min="1" max="1" width="31.5546875" style="27" customWidth="1"/>
    <col min="2" max="5" width="22.5546875" style="27" customWidth="1"/>
    <col min="6" max="16384" width="10" style="27"/>
  </cols>
  <sheetData>
    <row r="1" spans="1:5" ht="21" x14ac:dyDescent="0.4">
      <c r="A1" s="39" t="s">
        <v>0</v>
      </c>
      <c r="B1" s="40"/>
      <c r="C1" s="40"/>
      <c r="D1" s="40"/>
      <c r="E1" s="40"/>
    </row>
    <row r="2" spans="1:5" ht="15.6" x14ac:dyDescent="0.3">
      <c r="A2" s="41" t="str">
        <f>IF(title="&gt; Enter workbook title here","Enter workbook title in Cover sheet",title)</f>
        <v>Civil Service Pension Schemes - Consolidated Factor Spreadsheet</v>
      </c>
      <c r="B2" s="42"/>
      <c r="C2" s="42"/>
      <c r="D2" s="42"/>
      <c r="E2" s="42"/>
    </row>
    <row r="3" spans="1:5" ht="15.6" x14ac:dyDescent="0.3">
      <c r="A3" s="43" t="str">
        <f>TABLE_FACTOR_TYPE_1&amp;" - x-"&amp;TABLE_SERIES_NUMBER_1</f>
        <v>CETV - x-202</v>
      </c>
      <c r="B3" s="42"/>
      <c r="C3" s="42"/>
      <c r="D3" s="42"/>
      <c r="E3" s="42"/>
    </row>
    <row r="4" spans="1:5" x14ac:dyDescent="0.25">
      <c r="A4" s="44"/>
    </row>
    <row r="6" spans="1:5" x14ac:dyDescent="0.25">
      <c r="A6" s="76" t="s">
        <v>290</v>
      </c>
      <c r="B6" s="129" t="s">
        <v>291</v>
      </c>
      <c r="C6" s="129"/>
      <c r="D6" s="129"/>
      <c r="E6" s="129"/>
    </row>
    <row r="7" spans="1:5" x14ac:dyDescent="0.25">
      <c r="A7" s="77" t="s">
        <v>804</v>
      </c>
      <c r="B7" s="129" t="s">
        <v>324</v>
      </c>
      <c r="C7" s="129"/>
      <c r="D7" s="129"/>
      <c r="E7" s="129"/>
    </row>
    <row r="8" spans="1:5" x14ac:dyDescent="0.25">
      <c r="A8" s="77" t="s">
        <v>805</v>
      </c>
      <c r="B8" s="129" t="s">
        <v>85</v>
      </c>
      <c r="C8" s="129"/>
      <c r="D8" s="129"/>
      <c r="E8" s="129"/>
    </row>
    <row r="9" spans="1:5" x14ac:dyDescent="0.25">
      <c r="A9" s="77" t="s">
        <v>296</v>
      </c>
      <c r="B9" s="129" t="s">
        <v>325</v>
      </c>
      <c r="C9" s="129"/>
      <c r="D9" s="129"/>
      <c r="E9" s="129"/>
    </row>
    <row r="10" spans="1:5" x14ac:dyDescent="0.25">
      <c r="A10" s="77" t="s">
        <v>6</v>
      </c>
      <c r="B10" s="129" t="s">
        <v>333</v>
      </c>
      <c r="C10" s="129"/>
      <c r="D10" s="129"/>
      <c r="E10" s="129"/>
    </row>
    <row r="11" spans="1:5" x14ac:dyDescent="0.25">
      <c r="A11" s="77" t="s">
        <v>299</v>
      </c>
      <c r="B11" s="129" t="s">
        <v>327</v>
      </c>
      <c r="C11" s="129"/>
      <c r="D11" s="129"/>
      <c r="E11" s="129"/>
    </row>
    <row r="12" spans="1:5" x14ac:dyDescent="0.25">
      <c r="A12" s="77" t="s">
        <v>301</v>
      </c>
      <c r="B12" s="129" t="s">
        <v>328</v>
      </c>
      <c r="C12" s="129"/>
      <c r="D12" s="129"/>
      <c r="E12" s="129"/>
    </row>
    <row r="13" spans="1:5" x14ac:dyDescent="0.25">
      <c r="A13" s="77" t="s">
        <v>806</v>
      </c>
      <c r="B13" s="129">
        <v>0</v>
      </c>
      <c r="C13" s="129"/>
      <c r="D13" s="129"/>
      <c r="E13" s="129"/>
    </row>
    <row r="14" spans="1:5" x14ac:dyDescent="0.25">
      <c r="A14" s="77" t="s">
        <v>305</v>
      </c>
      <c r="B14" s="129">
        <v>202</v>
      </c>
      <c r="C14" s="129"/>
      <c r="D14" s="129"/>
      <c r="E14" s="129"/>
    </row>
    <row r="15" spans="1:5" x14ac:dyDescent="0.25">
      <c r="A15" s="77" t="s">
        <v>307</v>
      </c>
      <c r="B15" s="129" t="s">
        <v>334</v>
      </c>
      <c r="C15" s="129"/>
      <c r="D15" s="129"/>
      <c r="E15" s="129"/>
    </row>
    <row r="16" spans="1:5" x14ac:dyDescent="0.25">
      <c r="A16" s="77" t="s">
        <v>309</v>
      </c>
      <c r="B16" s="129" t="s">
        <v>335</v>
      </c>
      <c r="C16" s="129"/>
      <c r="D16" s="129"/>
      <c r="E16" s="129"/>
    </row>
    <row r="17" spans="1:5" x14ac:dyDescent="0.25">
      <c r="A17" s="77" t="s">
        <v>803</v>
      </c>
      <c r="B17" s="129"/>
      <c r="C17" s="129"/>
      <c r="D17" s="129"/>
      <c r="E17" s="129"/>
    </row>
    <row r="18" spans="1:5" x14ac:dyDescent="0.25">
      <c r="A18" s="77" t="s">
        <v>313</v>
      </c>
      <c r="B18" s="187">
        <v>45071</v>
      </c>
      <c r="C18" s="129"/>
      <c r="D18" s="129"/>
      <c r="E18" s="129"/>
    </row>
    <row r="19" spans="1:5" x14ac:dyDescent="0.25">
      <c r="A19" s="77" t="s">
        <v>315</v>
      </c>
      <c r="B19" s="187"/>
      <c r="C19" s="129"/>
      <c r="D19" s="129"/>
      <c r="E19" s="129"/>
    </row>
    <row r="20" spans="1:5" x14ac:dyDescent="0.25">
      <c r="A20" s="77" t="s">
        <v>317</v>
      </c>
      <c r="B20" s="129" t="s">
        <v>331</v>
      </c>
      <c r="C20" s="129"/>
      <c r="D20" s="129"/>
      <c r="E20" s="129"/>
    </row>
    <row r="21" spans="1:5" x14ac:dyDescent="0.25">
      <c r="A21" s="77" t="s">
        <v>323</v>
      </c>
      <c r="B21" s="129" t="s">
        <v>332</v>
      </c>
      <c r="C21" s="129"/>
      <c r="D21" s="129"/>
      <c r="E21" s="129"/>
    </row>
    <row r="23" spans="1:5" x14ac:dyDescent="0.25">
      <c r="B23" s="102" t="str">
        <f>HYPERLINK("#'Factor List'!A1","Back to Factor List")</f>
        <v>Back to Factor List</v>
      </c>
    </row>
    <row r="24" spans="1:5" x14ac:dyDescent="0.25">
      <c r="B24" s="102" t="s">
        <v>13</v>
      </c>
    </row>
    <row r="25" spans="1:5" x14ac:dyDescent="0.25">
      <c r="B25" s="102"/>
    </row>
    <row r="26" spans="1:5" ht="26.4" x14ac:dyDescent="0.25">
      <c r="A26" s="103" t="s">
        <v>373</v>
      </c>
      <c r="B26" s="103" t="s">
        <v>807</v>
      </c>
      <c r="C26" s="103" t="s">
        <v>808</v>
      </c>
      <c r="D26" s="103" t="s">
        <v>809</v>
      </c>
      <c r="E26" s="103" t="s">
        <v>810</v>
      </c>
    </row>
    <row r="27" spans="1:5" x14ac:dyDescent="0.25">
      <c r="A27" s="104">
        <v>17</v>
      </c>
      <c r="B27" s="105">
        <v>3.51</v>
      </c>
      <c r="C27" s="105">
        <v>0.59</v>
      </c>
      <c r="D27" s="105">
        <v>3.51</v>
      </c>
      <c r="E27" s="105">
        <v>0.59</v>
      </c>
    </row>
    <row r="28" spans="1:5" x14ac:dyDescent="0.25">
      <c r="A28" s="104">
        <v>18</v>
      </c>
      <c r="B28" s="105">
        <v>3.63</v>
      </c>
      <c r="C28" s="105">
        <v>0.63</v>
      </c>
      <c r="D28" s="105">
        <v>3.63</v>
      </c>
      <c r="E28" s="105">
        <v>0.63</v>
      </c>
    </row>
    <row r="29" spans="1:5" x14ac:dyDescent="0.25">
      <c r="A29" s="104">
        <v>19</v>
      </c>
      <c r="B29" s="105">
        <v>3.76</v>
      </c>
      <c r="C29" s="105">
        <v>0.66</v>
      </c>
      <c r="D29" s="105">
        <v>3.76</v>
      </c>
      <c r="E29" s="105">
        <v>0.66</v>
      </c>
    </row>
    <row r="30" spans="1:5" x14ac:dyDescent="0.25">
      <c r="A30" s="104">
        <v>20</v>
      </c>
      <c r="B30" s="105">
        <v>3.89</v>
      </c>
      <c r="C30" s="105">
        <v>0.69</v>
      </c>
      <c r="D30" s="105">
        <v>3.89</v>
      </c>
      <c r="E30" s="105">
        <v>0.69</v>
      </c>
    </row>
    <row r="31" spans="1:5" x14ac:dyDescent="0.25">
      <c r="A31" s="104">
        <v>21</v>
      </c>
      <c r="B31" s="105">
        <v>4.0199999999999996</v>
      </c>
      <c r="C31" s="105">
        <v>0.71</v>
      </c>
      <c r="D31" s="105">
        <v>4.0199999999999996</v>
      </c>
      <c r="E31" s="105">
        <v>0.71</v>
      </c>
    </row>
    <row r="32" spans="1:5" x14ac:dyDescent="0.25">
      <c r="A32" s="104">
        <v>22</v>
      </c>
      <c r="B32" s="105">
        <v>4.16</v>
      </c>
      <c r="C32" s="105">
        <v>0.74</v>
      </c>
      <c r="D32" s="105">
        <v>4.16</v>
      </c>
      <c r="E32" s="105">
        <v>0.74</v>
      </c>
    </row>
    <row r="33" spans="1:5" x14ac:dyDescent="0.25">
      <c r="A33" s="104">
        <v>23</v>
      </c>
      <c r="B33" s="105">
        <v>4.3</v>
      </c>
      <c r="C33" s="105">
        <v>0.77</v>
      </c>
      <c r="D33" s="105">
        <v>4.3</v>
      </c>
      <c r="E33" s="105">
        <v>0.77</v>
      </c>
    </row>
    <row r="34" spans="1:5" x14ac:dyDescent="0.25">
      <c r="A34" s="104">
        <v>24</v>
      </c>
      <c r="B34" s="105">
        <v>4.45</v>
      </c>
      <c r="C34" s="105">
        <v>0.8</v>
      </c>
      <c r="D34" s="105">
        <v>4.45</v>
      </c>
      <c r="E34" s="105">
        <v>0.8</v>
      </c>
    </row>
    <row r="35" spans="1:5" x14ac:dyDescent="0.25">
      <c r="A35" s="104">
        <v>25</v>
      </c>
      <c r="B35" s="105">
        <v>4.6100000000000003</v>
      </c>
      <c r="C35" s="105">
        <v>0.83</v>
      </c>
      <c r="D35" s="105">
        <v>4.6100000000000003</v>
      </c>
      <c r="E35" s="105">
        <v>0.83</v>
      </c>
    </row>
    <row r="36" spans="1:5" x14ac:dyDescent="0.25">
      <c r="A36" s="104">
        <v>26</v>
      </c>
      <c r="B36" s="105">
        <v>4.76</v>
      </c>
      <c r="C36" s="105">
        <v>0.86</v>
      </c>
      <c r="D36" s="105">
        <v>4.76</v>
      </c>
      <c r="E36" s="105">
        <v>0.86</v>
      </c>
    </row>
    <row r="37" spans="1:5" x14ac:dyDescent="0.25">
      <c r="A37" s="104">
        <v>27</v>
      </c>
      <c r="B37" s="105">
        <v>4.93</v>
      </c>
      <c r="C37" s="105">
        <v>0.89</v>
      </c>
      <c r="D37" s="105">
        <v>4.93</v>
      </c>
      <c r="E37" s="105">
        <v>0.89</v>
      </c>
    </row>
    <row r="38" spans="1:5" x14ac:dyDescent="0.25">
      <c r="A38" s="104">
        <v>28</v>
      </c>
      <c r="B38" s="105">
        <v>5.0999999999999996</v>
      </c>
      <c r="C38" s="105">
        <v>0.92</v>
      </c>
      <c r="D38" s="105">
        <v>5.0999999999999996</v>
      </c>
      <c r="E38" s="105">
        <v>0.92</v>
      </c>
    </row>
    <row r="39" spans="1:5" x14ac:dyDescent="0.25">
      <c r="A39" s="104">
        <v>29</v>
      </c>
      <c r="B39" s="105">
        <v>5.27</v>
      </c>
      <c r="C39" s="105">
        <v>0.95</v>
      </c>
      <c r="D39" s="105">
        <v>5.27</v>
      </c>
      <c r="E39" s="105">
        <v>0.95</v>
      </c>
    </row>
    <row r="40" spans="1:5" x14ac:dyDescent="0.25">
      <c r="A40" s="104">
        <v>30</v>
      </c>
      <c r="B40" s="105">
        <v>5.46</v>
      </c>
      <c r="C40" s="105">
        <v>0.98</v>
      </c>
      <c r="D40" s="105">
        <v>5.46</v>
      </c>
      <c r="E40" s="105">
        <v>0.98</v>
      </c>
    </row>
    <row r="41" spans="1:5" x14ac:dyDescent="0.25">
      <c r="A41" s="104">
        <v>31</v>
      </c>
      <c r="B41" s="105">
        <v>5.64</v>
      </c>
      <c r="C41" s="105">
        <v>1.02</v>
      </c>
      <c r="D41" s="105">
        <v>5.64</v>
      </c>
      <c r="E41" s="105">
        <v>1.02</v>
      </c>
    </row>
    <row r="42" spans="1:5" x14ac:dyDescent="0.25">
      <c r="A42" s="104">
        <v>32</v>
      </c>
      <c r="B42" s="105">
        <v>5.84</v>
      </c>
      <c r="C42" s="105">
        <v>1.05</v>
      </c>
      <c r="D42" s="105">
        <v>5.84</v>
      </c>
      <c r="E42" s="105">
        <v>1.05</v>
      </c>
    </row>
    <row r="43" spans="1:5" x14ac:dyDescent="0.25">
      <c r="A43" s="104">
        <v>33</v>
      </c>
      <c r="B43" s="105">
        <v>6.04</v>
      </c>
      <c r="C43" s="105">
        <v>1.0900000000000001</v>
      </c>
      <c r="D43" s="105">
        <v>6.04</v>
      </c>
      <c r="E43" s="105">
        <v>1.0900000000000001</v>
      </c>
    </row>
    <row r="44" spans="1:5" x14ac:dyDescent="0.25">
      <c r="A44" s="104">
        <v>34</v>
      </c>
      <c r="B44" s="105">
        <v>6.25</v>
      </c>
      <c r="C44" s="105">
        <v>1.1299999999999999</v>
      </c>
      <c r="D44" s="105">
        <v>6.25</v>
      </c>
      <c r="E44" s="105">
        <v>1.1299999999999999</v>
      </c>
    </row>
    <row r="45" spans="1:5" x14ac:dyDescent="0.25">
      <c r="A45" s="104">
        <v>35</v>
      </c>
      <c r="B45" s="105">
        <v>6.47</v>
      </c>
      <c r="C45" s="105">
        <v>1.17</v>
      </c>
      <c r="D45" s="105">
        <v>6.47</v>
      </c>
      <c r="E45" s="105">
        <v>1.17</v>
      </c>
    </row>
    <row r="46" spans="1:5" x14ac:dyDescent="0.25">
      <c r="A46" s="104">
        <v>36</v>
      </c>
      <c r="B46" s="105">
        <v>6.69</v>
      </c>
      <c r="C46" s="105">
        <v>1.21</v>
      </c>
      <c r="D46" s="105">
        <v>6.69</v>
      </c>
      <c r="E46" s="105">
        <v>1.21</v>
      </c>
    </row>
    <row r="47" spans="1:5" x14ac:dyDescent="0.25">
      <c r="A47" s="104">
        <v>37</v>
      </c>
      <c r="B47" s="105">
        <v>6.92</v>
      </c>
      <c r="C47" s="105">
        <v>1.25</v>
      </c>
      <c r="D47" s="105">
        <v>6.92</v>
      </c>
      <c r="E47" s="105">
        <v>1.25</v>
      </c>
    </row>
    <row r="48" spans="1:5" x14ac:dyDescent="0.25">
      <c r="A48" s="104">
        <v>38</v>
      </c>
      <c r="B48" s="105">
        <v>7.16</v>
      </c>
      <c r="C48" s="105">
        <v>1.29</v>
      </c>
      <c r="D48" s="105">
        <v>7.16</v>
      </c>
      <c r="E48" s="105">
        <v>1.29</v>
      </c>
    </row>
    <row r="49" spans="1:5" x14ac:dyDescent="0.25">
      <c r="A49" s="104">
        <v>39</v>
      </c>
      <c r="B49" s="105">
        <v>7.41</v>
      </c>
      <c r="C49" s="105">
        <v>1.33</v>
      </c>
      <c r="D49" s="105">
        <v>7.41</v>
      </c>
      <c r="E49" s="105">
        <v>1.33</v>
      </c>
    </row>
    <row r="50" spans="1:5" x14ac:dyDescent="0.25">
      <c r="A50" s="104">
        <v>40</v>
      </c>
      <c r="B50" s="105">
        <v>7.67</v>
      </c>
      <c r="C50" s="105">
        <v>1.37</v>
      </c>
      <c r="D50" s="105">
        <v>7.67</v>
      </c>
      <c r="E50" s="105">
        <v>1.37</v>
      </c>
    </row>
    <row r="51" spans="1:5" x14ac:dyDescent="0.25">
      <c r="A51" s="104">
        <v>41</v>
      </c>
      <c r="B51" s="105">
        <v>7.93</v>
      </c>
      <c r="C51" s="105">
        <v>1.42</v>
      </c>
      <c r="D51" s="105">
        <v>7.93</v>
      </c>
      <c r="E51" s="105">
        <v>1.42</v>
      </c>
    </row>
    <row r="52" spans="1:5" x14ac:dyDescent="0.25">
      <c r="A52" s="104">
        <v>42</v>
      </c>
      <c r="B52" s="105">
        <v>8.2100000000000009</v>
      </c>
      <c r="C52" s="105">
        <v>1.46</v>
      </c>
      <c r="D52" s="105">
        <v>8.2100000000000009</v>
      </c>
      <c r="E52" s="105">
        <v>1.46</v>
      </c>
    </row>
    <row r="53" spans="1:5" x14ac:dyDescent="0.25">
      <c r="A53" s="104">
        <v>43</v>
      </c>
      <c r="B53" s="105">
        <v>8.5</v>
      </c>
      <c r="C53" s="105">
        <v>1.51</v>
      </c>
      <c r="D53" s="105">
        <v>8.5</v>
      </c>
      <c r="E53" s="105">
        <v>1.51</v>
      </c>
    </row>
    <row r="54" spans="1:5" x14ac:dyDescent="0.25">
      <c r="A54" s="104">
        <v>44</v>
      </c>
      <c r="B54" s="105">
        <v>8.8000000000000007</v>
      </c>
      <c r="C54" s="105">
        <v>1.56</v>
      </c>
      <c r="D54" s="105">
        <v>8.8000000000000007</v>
      </c>
      <c r="E54" s="105">
        <v>1.56</v>
      </c>
    </row>
    <row r="55" spans="1:5" x14ac:dyDescent="0.25">
      <c r="A55" s="104">
        <v>45</v>
      </c>
      <c r="B55" s="105">
        <v>9.1</v>
      </c>
      <c r="C55" s="105">
        <v>1.6</v>
      </c>
      <c r="D55" s="105">
        <v>9.1</v>
      </c>
      <c r="E55" s="105">
        <v>1.6</v>
      </c>
    </row>
    <row r="56" spans="1:5" x14ac:dyDescent="0.25">
      <c r="A56" s="104">
        <v>46</v>
      </c>
      <c r="B56" s="105">
        <v>9.42</v>
      </c>
      <c r="C56" s="105">
        <v>1.65</v>
      </c>
      <c r="D56" s="105">
        <v>9.42</v>
      </c>
      <c r="E56" s="105">
        <v>1.65</v>
      </c>
    </row>
    <row r="57" spans="1:5" x14ac:dyDescent="0.25">
      <c r="A57" s="104">
        <v>47</v>
      </c>
      <c r="B57" s="105">
        <v>9.76</v>
      </c>
      <c r="C57" s="105">
        <v>1.7</v>
      </c>
      <c r="D57" s="105">
        <v>9.76</v>
      </c>
      <c r="E57" s="105">
        <v>1.7</v>
      </c>
    </row>
    <row r="58" spans="1:5" x14ac:dyDescent="0.25">
      <c r="A58" s="104">
        <v>48</v>
      </c>
      <c r="B58" s="105">
        <v>10.1</v>
      </c>
      <c r="C58" s="105">
        <v>1.75</v>
      </c>
      <c r="D58" s="105">
        <v>10.1</v>
      </c>
      <c r="E58" s="105">
        <v>1.75</v>
      </c>
    </row>
    <row r="59" spans="1:5" x14ac:dyDescent="0.25">
      <c r="A59" s="104">
        <v>49</v>
      </c>
      <c r="B59" s="105">
        <v>10.46</v>
      </c>
      <c r="C59" s="105">
        <v>1.8</v>
      </c>
      <c r="D59" s="105">
        <v>10.46</v>
      </c>
      <c r="E59" s="105">
        <v>1.8</v>
      </c>
    </row>
    <row r="60" spans="1:5" x14ac:dyDescent="0.25">
      <c r="A60" s="104">
        <v>50</v>
      </c>
      <c r="B60" s="105">
        <v>10.83</v>
      </c>
      <c r="C60" s="105">
        <v>1.85</v>
      </c>
      <c r="D60" s="105">
        <v>10.83</v>
      </c>
      <c r="E60" s="105">
        <v>1.85</v>
      </c>
    </row>
    <row r="61" spans="1:5" x14ac:dyDescent="0.25">
      <c r="A61" s="104">
        <v>51</v>
      </c>
      <c r="B61" s="105">
        <v>11.22</v>
      </c>
      <c r="C61" s="105">
        <v>1.9</v>
      </c>
      <c r="D61" s="105">
        <v>11.22</v>
      </c>
      <c r="E61" s="105">
        <v>1.9</v>
      </c>
    </row>
    <row r="62" spans="1:5" x14ac:dyDescent="0.25">
      <c r="A62" s="104">
        <v>52</v>
      </c>
      <c r="B62" s="105">
        <v>11.62</v>
      </c>
      <c r="C62" s="105">
        <v>1.95</v>
      </c>
      <c r="D62" s="105">
        <v>11.62</v>
      </c>
      <c r="E62" s="105">
        <v>1.95</v>
      </c>
    </row>
    <row r="63" spans="1:5" x14ac:dyDescent="0.25">
      <c r="A63" s="104">
        <v>53</v>
      </c>
      <c r="B63" s="105">
        <v>12.04</v>
      </c>
      <c r="C63" s="105">
        <v>2</v>
      </c>
      <c r="D63" s="105">
        <v>12.04</v>
      </c>
      <c r="E63" s="105">
        <v>2</v>
      </c>
    </row>
    <row r="64" spans="1:5" x14ac:dyDescent="0.25">
      <c r="A64" s="104">
        <v>54</v>
      </c>
      <c r="B64" s="105">
        <v>12.47</v>
      </c>
      <c r="C64" s="105">
        <v>2.06</v>
      </c>
      <c r="D64" s="105">
        <v>12.47</v>
      </c>
      <c r="E64" s="105">
        <v>2.06</v>
      </c>
    </row>
    <row r="65" spans="1:5" x14ac:dyDescent="0.25">
      <c r="A65" s="104">
        <v>55</v>
      </c>
      <c r="B65" s="105">
        <v>12.92</v>
      </c>
      <c r="C65" s="105">
        <v>2.11</v>
      </c>
      <c r="D65" s="105">
        <v>12.92</v>
      </c>
      <c r="E65" s="105">
        <v>2.11</v>
      </c>
    </row>
    <row r="66" spans="1:5" x14ac:dyDescent="0.25">
      <c r="A66" s="104">
        <v>56</v>
      </c>
      <c r="B66" s="105">
        <v>13.4</v>
      </c>
      <c r="C66" s="105">
        <v>2.16</v>
      </c>
      <c r="D66" s="105">
        <v>13.4</v>
      </c>
      <c r="E66" s="105">
        <v>2.16</v>
      </c>
    </row>
    <row r="67" spans="1:5" x14ac:dyDescent="0.25">
      <c r="A67" s="104">
        <v>57</v>
      </c>
      <c r="B67" s="105">
        <v>13.89</v>
      </c>
      <c r="C67" s="105">
        <v>2.21</v>
      </c>
      <c r="D67" s="105">
        <v>13.89</v>
      </c>
      <c r="E67" s="105">
        <v>2.21</v>
      </c>
    </row>
    <row r="68" spans="1:5" x14ac:dyDescent="0.25">
      <c r="A68" s="104">
        <v>58</v>
      </c>
      <c r="B68" s="105">
        <v>14.41</v>
      </c>
      <c r="C68" s="105">
        <v>2.2599999999999998</v>
      </c>
      <c r="D68" s="105">
        <v>14.41</v>
      </c>
      <c r="E68" s="105">
        <v>2.2599999999999998</v>
      </c>
    </row>
    <row r="69" spans="1:5" x14ac:dyDescent="0.25">
      <c r="A69" s="104">
        <v>59</v>
      </c>
      <c r="B69" s="105">
        <v>14.94</v>
      </c>
      <c r="C69" s="105">
        <v>2.31</v>
      </c>
      <c r="D69" s="105">
        <v>14.94</v>
      </c>
      <c r="E69" s="105">
        <v>2.31</v>
      </c>
    </row>
    <row r="70" spans="1:5" x14ac:dyDescent="0.25">
      <c r="A70" s="104">
        <v>60</v>
      </c>
      <c r="B70" s="105">
        <v>15.51</v>
      </c>
      <c r="C70" s="105">
        <v>2.36</v>
      </c>
      <c r="D70" s="105">
        <v>15.51</v>
      </c>
      <c r="E70" s="105">
        <v>2.36</v>
      </c>
    </row>
    <row r="71" spans="1:5" x14ac:dyDescent="0.25">
      <c r="A71" s="104">
        <v>61</v>
      </c>
      <c r="B71" s="105">
        <v>16.100000000000001</v>
      </c>
      <c r="C71" s="105">
        <v>2.41</v>
      </c>
      <c r="D71" s="105">
        <v>16.100000000000001</v>
      </c>
      <c r="E71" s="105">
        <v>2.41</v>
      </c>
    </row>
    <row r="72" spans="1:5" x14ac:dyDescent="0.25">
      <c r="A72" s="104">
        <v>62</v>
      </c>
      <c r="B72" s="105">
        <v>16.73</v>
      </c>
      <c r="C72" s="105">
        <v>2.4500000000000002</v>
      </c>
      <c r="D72" s="105">
        <v>16.73</v>
      </c>
      <c r="E72" s="105">
        <v>2.4500000000000002</v>
      </c>
    </row>
    <row r="73" spans="1:5" x14ac:dyDescent="0.25">
      <c r="A73" s="104">
        <v>63</v>
      </c>
      <c r="B73" s="105">
        <v>17.38</v>
      </c>
      <c r="C73" s="105">
        <v>2.5</v>
      </c>
      <c r="D73" s="105">
        <v>17.38</v>
      </c>
      <c r="E73" s="105">
        <v>2.5</v>
      </c>
    </row>
    <row r="74" spans="1:5" x14ac:dyDescent="0.25">
      <c r="A74" s="104">
        <v>64</v>
      </c>
      <c r="B74" s="105">
        <v>18.079999999999998</v>
      </c>
      <c r="C74" s="105">
        <v>2.5299999999999998</v>
      </c>
      <c r="D74" s="105">
        <v>18.079999999999998</v>
      </c>
      <c r="E74" s="105">
        <v>2.5299999999999998</v>
      </c>
    </row>
    <row r="75" spans="1:5" x14ac:dyDescent="0.25">
      <c r="A75" s="104">
        <v>65</v>
      </c>
      <c r="B75" s="105">
        <v>18.11</v>
      </c>
      <c r="C75" s="105">
        <v>2.5499999999999998</v>
      </c>
      <c r="D75" s="105">
        <v>18.11</v>
      </c>
      <c r="E75" s="105">
        <v>2.5499999999999998</v>
      </c>
    </row>
    <row r="76" spans="1:5" x14ac:dyDescent="0.25">
      <c r="A76" s="104">
        <v>66</v>
      </c>
      <c r="B76" s="105">
        <v>17.45</v>
      </c>
      <c r="C76" s="105">
        <v>2.5499999999999998</v>
      </c>
      <c r="D76" s="105">
        <v>17.45</v>
      </c>
      <c r="E76" s="105">
        <v>2.5499999999999998</v>
      </c>
    </row>
    <row r="77" spans="1:5" x14ac:dyDescent="0.25">
      <c r="A77" s="104">
        <v>67</v>
      </c>
      <c r="B77" s="105">
        <v>16.79</v>
      </c>
      <c r="C77" s="105">
        <v>2.5499999999999998</v>
      </c>
      <c r="D77" s="105">
        <v>16.79</v>
      </c>
      <c r="E77" s="105">
        <v>2.5499999999999998</v>
      </c>
    </row>
    <row r="78" spans="1:5" x14ac:dyDescent="0.25">
      <c r="A78" s="104">
        <v>68</v>
      </c>
      <c r="B78" s="105">
        <v>16.13</v>
      </c>
      <c r="C78" s="105">
        <v>2.5499999999999998</v>
      </c>
      <c r="D78" s="105">
        <v>16.13</v>
      </c>
      <c r="E78" s="105">
        <v>2.5499999999999998</v>
      </c>
    </row>
    <row r="79" spans="1:5" x14ac:dyDescent="0.25">
      <c r="A79" s="104">
        <v>69</v>
      </c>
      <c r="B79" s="105">
        <v>15.48</v>
      </c>
      <c r="C79" s="105">
        <v>2.54</v>
      </c>
      <c r="D79" s="105">
        <v>15.48</v>
      </c>
      <c r="E79" s="105">
        <v>2.54</v>
      </c>
    </row>
    <row r="80" spans="1:5" x14ac:dyDescent="0.25">
      <c r="A80" s="104">
        <v>70</v>
      </c>
      <c r="B80" s="105">
        <v>14.84</v>
      </c>
      <c r="C80" s="105">
        <v>2.5299999999999998</v>
      </c>
      <c r="D80" s="105">
        <v>14.84</v>
      </c>
      <c r="E80" s="105">
        <v>2.5299999999999998</v>
      </c>
    </row>
    <row r="81" spans="1:5" x14ac:dyDescent="0.25">
      <c r="A81" s="104">
        <v>71</v>
      </c>
      <c r="B81" s="105">
        <v>14.2</v>
      </c>
      <c r="C81" s="105">
        <v>2.5099999999999998</v>
      </c>
      <c r="D81" s="105">
        <v>14.2</v>
      </c>
      <c r="E81" s="105">
        <v>2.5099999999999998</v>
      </c>
    </row>
    <row r="82" spans="1:5" x14ac:dyDescent="0.25">
      <c r="A82" s="104">
        <v>72</v>
      </c>
      <c r="B82" s="105">
        <v>13.57</v>
      </c>
      <c r="C82" s="105">
        <v>2.5</v>
      </c>
      <c r="D82" s="105">
        <v>13.57</v>
      </c>
      <c r="E82" s="105">
        <v>2.5</v>
      </c>
    </row>
    <row r="83" spans="1:5" x14ac:dyDescent="0.25">
      <c r="A83" s="104">
        <v>73</v>
      </c>
      <c r="B83" s="105">
        <v>12.94</v>
      </c>
      <c r="C83" s="105">
        <v>2.4700000000000002</v>
      </c>
      <c r="D83" s="105">
        <v>12.94</v>
      </c>
      <c r="E83" s="105">
        <v>2.4700000000000002</v>
      </c>
    </row>
    <row r="84" spans="1:5" x14ac:dyDescent="0.25">
      <c r="A84" s="104">
        <v>74</v>
      </c>
      <c r="B84" s="105">
        <v>12.31</v>
      </c>
      <c r="C84" s="105">
        <v>2.4500000000000002</v>
      </c>
      <c r="D84" s="105">
        <v>12.31</v>
      </c>
      <c r="E84" s="105">
        <v>2.4500000000000002</v>
      </c>
    </row>
    <row r="85" spans="1:5" x14ac:dyDescent="0.25">
      <c r="A85" s="104">
        <v>75</v>
      </c>
      <c r="B85" s="105">
        <v>11.69</v>
      </c>
      <c r="C85" s="105">
        <v>2.42</v>
      </c>
      <c r="D85" s="105">
        <v>11.69</v>
      </c>
      <c r="E85" s="105">
        <v>2.42</v>
      </c>
    </row>
  </sheetData>
  <sheetProtection algorithmName="SHA-512" hashValue="RzIhekJEoNounxk78uJCzYNsHIMDto9pCpDgVqDa5Z2aus17NJdrS4DIPaJv7Y/OvEVZqmcTkCinMspJiRz/Bg==" saltValue="IUWK6BNnxQI3gRKuASCjOg==" spinCount="100000" sheet="1" objects="1" scenarios="1"/>
  <conditionalFormatting sqref="A6:A21">
    <cfRule type="expression" dxfId="1483" priority="1" stopIfTrue="1">
      <formula>MOD(ROW(),2)=0</formula>
    </cfRule>
    <cfRule type="expression" dxfId="1482" priority="2" stopIfTrue="1">
      <formula>MOD(ROW(),2)&lt;&gt;0</formula>
    </cfRule>
  </conditionalFormatting>
  <conditionalFormatting sqref="A26:A85">
    <cfRule type="expression" dxfId="1481" priority="7" stopIfTrue="1">
      <formula>MOD(ROW(),2)=0</formula>
    </cfRule>
    <cfRule type="expression" dxfId="1480" priority="8" stopIfTrue="1">
      <formula>MOD(ROW(),2)&lt;&gt;0</formula>
    </cfRule>
  </conditionalFormatting>
  <conditionalFormatting sqref="B12">
    <cfRule type="expression" dxfId="1479" priority="11" stopIfTrue="1">
      <formula>MOD(ROW(),2)=0</formula>
    </cfRule>
    <cfRule type="expression" dxfId="1478" priority="12" stopIfTrue="1">
      <formula>MOD(ROW(),2)&lt;&gt;0</formula>
    </cfRule>
  </conditionalFormatting>
  <conditionalFormatting sqref="B17:B20">
    <cfRule type="expression" dxfId="1477" priority="5" stopIfTrue="1">
      <formula>MOD(ROW(),2)=0</formula>
    </cfRule>
    <cfRule type="expression" dxfId="1476" priority="6" stopIfTrue="1">
      <formula>MOD(ROW(),2)&lt;&gt;0</formula>
    </cfRule>
  </conditionalFormatting>
  <conditionalFormatting sqref="B6:E6 C7:E7 B8:E11 C12:E12 B13:E16 C17:E20">
    <cfRule type="expression" dxfId="1475" priority="43" stopIfTrue="1">
      <formula>MOD(ROW(),2)=0</formula>
    </cfRule>
    <cfRule type="expression" dxfId="1474" priority="44" stopIfTrue="1">
      <formula>MOD(ROW(),2)&lt;&gt;0</formula>
    </cfRule>
  </conditionalFormatting>
  <conditionalFormatting sqref="B6:E21">
    <cfRule type="expression" dxfId="1473" priority="27" stopIfTrue="1">
      <formula>MOD(ROW(),2)=0</formula>
    </cfRule>
    <cfRule type="expression" dxfId="1472" priority="28" stopIfTrue="1">
      <formula>MOD(ROW(),2)&lt;&gt;0</formula>
    </cfRule>
  </conditionalFormatting>
  <conditionalFormatting sqref="B21:E21">
    <cfRule type="expression" dxfId="1471" priority="3" stopIfTrue="1">
      <formula>MOD(ROW(),2)=0</formula>
    </cfRule>
    <cfRule type="expression" dxfId="1470" priority="4" stopIfTrue="1">
      <formula>MOD(ROW(),2)&lt;&gt;0</formula>
    </cfRule>
  </conditionalFormatting>
  <conditionalFormatting sqref="B26:E85">
    <cfRule type="expression" dxfId="1469" priority="9" stopIfTrue="1">
      <formula>MOD(ROW(),2)=0</formula>
    </cfRule>
    <cfRule type="expression" dxfId="1468" priority="10" stopIfTrue="1">
      <formula>MOD(ROW(),2)&lt;&gt;0</formula>
    </cfRule>
  </conditionalFormatting>
  <hyperlinks>
    <hyperlink ref="B24" location="Sheet1!A1" display="Assumptions" xr:uid="{598A4F5B-B041-42DA-917A-721D30CBF5F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06"/>
  <dimension ref="A1:I77"/>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Added pension - x-728</v>
      </c>
      <c r="B3" s="42"/>
      <c r="C3" s="42"/>
      <c r="D3" s="42"/>
      <c r="E3" s="42"/>
      <c r="F3" s="42"/>
      <c r="G3" s="42"/>
      <c r="H3" s="42"/>
      <c r="I3" s="42"/>
    </row>
    <row r="4" spans="1:9" x14ac:dyDescent="0.25">
      <c r="A4" s="44"/>
    </row>
    <row r="6" spans="1:9" x14ac:dyDescent="0.25">
      <c r="A6" s="76" t="s">
        <v>290</v>
      </c>
      <c r="B6" s="129" t="s">
        <v>291</v>
      </c>
    </row>
    <row r="7" spans="1:9" x14ac:dyDescent="0.25">
      <c r="A7" s="77" t="s">
        <v>804</v>
      </c>
      <c r="B7" s="129" t="s">
        <v>324</v>
      </c>
    </row>
    <row r="8" spans="1:9" x14ac:dyDescent="0.25">
      <c r="A8" s="77" t="s">
        <v>805</v>
      </c>
      <c r="B8" s="129" t="s">
        <v>85</v>
      </c>
    </row>
    <row r="9" spans="1:9" x14ac:dyDescent="0.25">
      <c r="A9" s="77" t="s">
        <v>296</v>
      </c>
      <c r="B9" s="129" t="s">
        <v>605</v>
      </c>
    </row>
    <row r="10" spans="1:9" ht="26.7" customHeight="1" x14ac:dyDescent="0.25">
      <c r="A10" s="77" t="s">
        <v>6</v>
      </c>
      <c r="B10" s="129" t="s">
        <v>640</v>
      </c>
    </row>
    <row r="11" spans="1:9" x14ac:dyDescent="0.25">
      <c r="A11" s="77" t="s">
        <v>299</v>
      </c>
      <c r="B11" s="129" t="s">
        <v>364</v>
      </c>
    </row>
    <row r="12" spans="1:9" x14ac:dyDescent="0.25">
      <c r="A12" s="77" t="s">
        <v>301</v>
      </c>
      <c r="B12" s="129" t="s">
        <v>386</v>
      </c>
    </row>
    <row r="13" spans="1:9" x14ac:dyDescent="0.25">
      <c r="A13" s="77" t="s">
        <v>806</v>
      </c>
      <c r="B13" s="129">
        <v>0</v>
      </c>
    </row>
    <row r="14" spans="1:9" x14ac:dyDescent="0.25">
      <c r="A14" s="77" t="s">
        <v>305</v>
      </c>
      <c r="B14" s="129">
        <v>728</v>
      </c>
    </row>
    <row r="15" spans="1:9" x14ac:dyDescent="0.25">
      <c r="A15" s="77" t="s">
        <v>307</v>
      </c>
      <c r="B15" s="129" t="s">
        <v>641</v>
      </c>
    </row>
    <row r="16" spans="1:9" x14ac:dyDescent="0.25">
      <c r="A16" s="77" t="s">
        <v>825</v>
      </c>
      <c r="B16" s="129" t="s">
        <v>642</v>
      </c>
    </row>
    <row r="17" spans="1:2" ht="72" customHeight="1" x14ac:dyDescent="0.25">
      <c r="A17" s="77" t="s">
        <v>803</v>
      </c>
      <c r="B17" s="129"/>
    </row>
    <row r="18" spans="1:2" x14ac:dyDescent="0.25">
      <c r="A18" s="77" t="s">
        <v>313</v>
      </c>
      <c r="B18" s="187">
        <v>45184</v>
      </c>
    </row>
    <row r="19" spans="1:2" x14ac:dyDescent="0.25">
      <c r="A19" s="77" t="s">
        <v>315</v>
      </c>
      <c r="B19" s="187"/>
    </row>
    <row r="20" spans="1:2" x14ac:dyDescent="0.25">
      <c r="A20" s="77" t="s">
        <v>317</v>
      </c>
      <c r="B20" s="129" t="s">
        <v>331</v>
      </c>
    </row>
    <row r="21" spans="1:2" x14ac:dyDescent="0.25">
      <c r="A21" s="77" t="s">
        <v>323</v>
      </c>
      <c r="B21" s="129" t="s">
        <v>332</v>
      </c>
    </row>
    <row r="23" spans="1:2" x14ac:dyDescent="0.25">
      <c r="B23" s="102" t="str">
        <f>HYPERLINK("#'Factor List'!A1","Back to Factor List")</f>
        <v>Back to Factor List</v>
      </c>
    </row>
    <row r="24" spans="1:2" x14ac:dyDescent="0.25">
      <c r="B24" s="102" t="s">
        <v>13</v>
      </c>
    </row>
    <row r="25" spans="1:2" x14ac:dyDescent="0.25">
      <c r="B25" s="102"/>
    </row>
    <row r="26" spans="1:2" x14ac:dyDescent="0.25">
      <c r="A26" s="73" t="s">
        <v>386</v>
      </c>
      <c r="B26" s="73" t="s">
        <v>824</v>
      </c>
    </row>
    <row r="27" spans="1:2" x14ac:dyDescent="0.25">
      <c r="A27" s="74">
        <v>0</v>
      </c>
      <c r="B27" s="85">
        <v>1</v>
      </c>
    </row>
    <row r="28" spans="1:2" x14ac:dyDescent="0.25">
      <c r="A28" s="74">
        <v>1</v>
      </c>
      <c r="B28" s="85">
        <v>1.02</v>
      </c>
    </row>
    <row r="29" spans="1:2" x14ac:dyDescent="0.25">
      <c r="A29" s="74">
        <v>2</v>
      </c>
      <c r="B29" s="85">
        <v>1.04</v>
      </c>
    </row>
    <row r="30" spans="1:2" x14ac:dyDescent="0.25">
      <c r="A30" s="74">
        <v>3</v>
      </c>
      <c r="B30" s="85">
        <v>1.06</v>
      </c>
    </row>
    <row r="31" spans="1:2" x14ac:dyDescent="0.25">
      <c r="A31" s="74">
        <v>4</v>
      </c>
      <c r="B31" s="85">
        <v>1.08</v>
      </c>
    </row>
    <row r="32" spans="1:2" x14ac:dyDescent="0.25">
      <c r="A32" s="74">
        <v>5</v>
      </c>
      <c r="B32" s="85">
        <v>1.1000000000000001</v>
      </c>
    </row>
    <row r="33" spans="1:2" x14ac:dyDescent="0.25">
      <c r="A33" s="74">
        <v>6</v>
      </c>
      <c r="B33" s="85">
        <v>1.1299999999999999</v>
      </c>
    </row>
    <row r="34" spans="1:2" x14ac:dyDescent="0.25">
      <c r="A34" s="74">
        <v>7</v>
      </c>
      <c r="B34" s="85">
        <v>1.1499999999999999</v>
      </c>
    </row>
    <row r="35" spans="1:2" x14ac:dyDescent="0.25">
      <c r="A35" s="74">
        <v>8</v>
      </c>
      <c r="B35" s="85">
        <v>1.17</v>
      </c>
    </row>
    <row r="36" spans="1:2" x14ac:dyDescent="0.25">
      <c r="A36" s="74">
        <v>9</v>
      </c>
      <c r="B36" s="85">
        <v>1.2</v>
      </c>
    </row>
    <row r="37" spans="1:2" x14ac:dyDescent="0.25">
      <c r="A37" s="74">
        <v>10</v>
      </c>
      <c r="B37" s="85">
        <v>1.22</v>
      </c>
    </row>
    <row r="38" spans="1:2" x14ac:dyDescent="0.25">
      <c r="A38" s="74">
        <v>11</v>
      </c>
      <c r="B38" s="85">
        <v>1.24</v>
      </c>
    </row>
    <row r="39" spans="1:2" x14ac:dyDescent="0.25">
      <c r="A39" s="74">
        <v>12</v>
      </c>
      <c r="B39" s="85">
        <v>1.27</v>
      </c>
    </row>
    <row r="40" spans="1:2" x14ac:dyDescent="0.25">
      <c r="A40" s="74">
        <v>13</v>
      </c>
      <c r="B40" s="85">
        <v>1.29</v>
      </c>
    </row>
    <row r="41" spans="1:2" x14ac:dyDescent="0.25">
      <c r="A41" s="74">
        <v>14</v>
      </c>
      <c r="B41" s="85">
        <v>1.32</v>
      </c>
    </row>
    <row r="42" spans="1:2" x14ac:dyDescent="0.25">
      <c r="A42" s="74">
        <v>15</v>
      </c>
      <c r="B42" s="85">
        <v>1.35</v>
      </c>
    </row>
    <row r="43" spans="1:2" x14ac:dyDescent="0.25">
      <c r="A43" s="74">
        <v>16</v>
      </c>
      <c r="B43" s="85">
        <v>1.37</v>
      </c>
    </row>
    <row r="44" spans="1:2" x14ac:dyDescent="0.25">
      <c r="A44" s="74">
        <v>17</v>
      </c>
      <c r="B44" s="85">
        <v>1.4</v>
      </c>
    </row>
    <row r="45" spans="1:2" x14ac:dyDescent="0.25">
      <c r="A45" s="74">
        <v>18</v>
      </c>
      <c r="B45" s="85">
        <v>1.43</v>
      </c>
    </row>
    <row r="46" spans="1:2" x14ac:dyDescent="0.25">
      <c r="A46" s="74">
        <v>19</v>
      </c>
      <c r="B46" s="85">
        <v>1.46</v>
      </c>
    </row>
    <row r="47" spans="1:2" x14ac:dyDescent="0.25">
      <c r="A47" s="74">
        <v>20</v>
      </c>
      <c r="B47" s="85">
        <v>1.49</v>
      </c>
    </row>
    <row r="48" spans="1:2" x14ac:dyDescent="0.25">
      <c r="A48" s="74">
        <v>21</v>
      </c>
      <c r="B48" s="85">
        <v>1.52</v>
      </c>
    </row>
    <row r="49" spans="1:2" x14ac:dyDescent="0.25">
      <c r="A49" s="74">
        <v>22</v>
      </c>
      <c r="B49" s="85">
        <v>1.55</v>
      </c>
    </row>
    <row r="50" spans="1:2" x14ac:dyDescent="0.25">
      <c r="A50" s="74">
        <v>23</v>
      </c>
      <c r="B50" s="85">
        <v>1.58</v>
      </c>
    </row>
    <row r="51" spans="1:2" x14ac:dyDescent="0.25">
      <c r="A51" s="74">
        <v>24</v>
      </c>
      <c r="B51" s="85">
        <v>1.61</v>
      </c>
    </row>
    <row r="52" spans="1:2" x14ac:dyDescent="0.25">
      <c r="A52" s="74">
        <v>25</v>
      </c>
      <c r="B52" s="85">
        <v>1.64</v>
      </c>
    </row>
    <row r="53" spans="1:2" x14ac:dyDescent="0.25">
      <c r="A53" s="74">
        <v>26</v>
      </c>
      <c r="B53" s="85">
        <v>1.67</v>
      </c>
    </row>
    <row r="54" spans="1:2" x14ac:dyDescent="0.25">
      <c r="A54" s="74">
        <v>27</v>
      </c>
      <c r="B54" s="85">
        <v>1.71</v>
      </c>
    </row>
    <row r="55" spans="1:2" x14ac:dyDescent="0.25">
      <c r="A55" s="74">
        <v>28</v>
      </c>
      <c r="B55" s="85">
        <v>1.74</v>
      </c>
    </row>
    <row r="56" spans="1:2" x14ac:dyDescent="0.25">
      <c r="A56" s="74">
        <v>29</v>
      </c>
      <c r="B56" s="85">
        <v>1.78</v>
      </c>
    </row>
    <row r="57" spans="1:2" x14ac:dyDescent="0.25">
      <c r="A57" s="74">
        <v>30</v>
      </c>
      <c r="B57" s="85">
        <v>1.81</v>
      </c>
    </row>
    <row r="58" spans="1:2" x14ac:dyDescent="0.25">
      <c r="A58" s="74">
        <v>31</v>
      </c>
      <c r="B58" s="85">
        <v>1.85</v>
      </c>
    </row>
    <row r="59" spans="1:2" x14ac:dyDescent="0.25">
      <c r="A59" s="74">
        <v>32</v>
      </c>
      <c r="B59" s="85">
        <v>1.88</v>
      </c>
    </row>
    <row r="60" spans="1:2" x14ac:dyDescent="0.25">
      <c r="A60" s="74">
        <v>33</v>
      </c>
      <c r="B60" s="85">
        <v>1.92</v>
      </c>
    </row>
    <row r="61" spans="1:2" x14ac:dyDescent="0.25">
      <c r="A61" s="74">
        <v>34</v>
      </c>
      <c r="B61" s="85">
        <v>1.96</v>
      </c>
    </row>
    <row r="62" spans="1:2" x14ac:dyDescent="0.25">
      <c r="A62" s="74">
        <v>35</v>
      </c>
      <c r="B62" s="85">
        <v>2</v>
      </c>
    </row>
    <row r="63" spans="1:2" x14ac:dyDescent="0.25">
      <c r="A63" s="74">
        <v>36</v>
      </c>
      <c r="B63" s="85">
        <v>2.04</v>
      </c>
    </row>
    <row r="64" spans="1:2" x14ac:dyDescent="0.25">
      <c r="A64" s="74">
        <v>37</v>
      </c>
      <c r="B64" s="85">
        <v>2.08</v>
      </c>
    </row>
    <row r="65" spans="1:2" x14ac:dyDescent="0.25">
      <c r="A65" s="74">
        <v>38</v>
      </c>
      <c r="B65" s="85">
        <v>2.12</v>
      </c>
    </row>
    <row r="66" spans="1:2" x14ac:dyDescent="0.25">
      <c r="A66" s="74">
        <v>39</v>
      </c>
      <c r="B66" s="85">
        <v>2.16</v>
      </c>
    </row>
    <row r="67" spans="1:2" x14ac:dyDescent="0.25">
      <c r="A67" s="74">
        <v>40</v>
      </c>
      <c r="B67" s="85">
        <v>2.21</v>
      </c>
    </row>
    <row r="68" spans="1:2" x14ac:dyDescent="0.25">
      <c r="A68" s="74">
        <v>41</v>
      </c>
      <c r="B68" s="85">
        <v>2.25</v>
      </c>
    </row>
    <row r="69" spans="1:2" x14ac:dyDescent="0.25">
      <c r="A69" s="74">
        <v>42</v>
      </c>
      <c r="B69" s="85">
        <v>2.2999999999999998</v>
      </c>
    </row>
    <row r="70" spans="1:2" x14ac:dyDescent="0.25">
      <c r="A70" s="74">
        <v>43</v>
      </c>
      <c r="B70" s="85">
        <v>2.34</v>
      </c>
    </row>
    <row r="71" spans="1:2" x14ac:dyDescent="0.25">
      <c r="A71" s="74">
        <v>44</v>
      </c>
      <c r="B71" s="85">
        <v>2.39</v>
      </c>
    </row>
    <row r="72" spans="1:2" x14ac:dyDescent="0.25">
      <c r="A72" s="74">
        <v>45</v>
      </c>
      <c r="B72" s="85">
        <v>2.44</v>
      </c>
    </row>
    <row r="73" spans="1:2" x14ac:dyDescent="0.25">
      <c r="A73" s="74">
        <v>46</v>
      </c>
      <c r="B73" s="85">
        <v>2.4900000000000002</v>
      </c>
    </row>
    <row r="74" spans="1:2" x14ac:dyDescent="0.25">
      <c r="A74" s="74">
        <v>47</v>
      </c>
      <c r="B74" s="85">
        <v>2.54</v>
      </c>
    </row>
    <row r="75" spans="1:2" x14ac:dyDescent="0.25">
      <c r="A75" s="74">
        <v>48</v>
      </c>
      <c r="B75" s="85">
        <v>2.59</v>
      </c>
    </row>
    <row r="76" spans="1:2" x14ac:dyDescent="0.25">
      <c r="A76" s="74">
        <v>49</v>
      </c>
      <c r="B76" s="85">
        <v>2.64</v>
      </c>
    </row>
    <row r="77" spans="1:2" x14ac:dyDescent="0.25">
      <c r="A77" s="74">
        <v>50</v>
      </c>
      <c r="B77" s="85">
        <v>2.69</v>
      </c>
    </row>
  </sheetData>
  <sheetProtection algorithmName="SHA-512" hashValue="Mg98EoQokJev7ORqGBkC8mbGgjK58kFFkjG1rgBEjz2gNFs6Ce2/3Il6qlqu7I3ukIic2AFyY3GFWF66zpTc8Q==" saltValue="ZVDo7YKyqWcPORrrSzCYNA==" spinCount="100000" sheet="1" objects="1" scenarios="1"/>
  <conditionalFormatting sqref="A6:A21">
    <cfRule type="expression" dxfId="377" priority="1" stopIfTrue="1">
      <formula>MOD(ROW(),2)=0</formula>
    </cfRule>
    <cfRule type="expression" dxfId="376" priority="2" stopIfTrue="1">
      <formula>MOD(ROW(),2)&lt;&gt;0</formula>
    </cfRule>
  </conditionalFormatting>
  <conditionalFormatting sqref="A26:A77">
    <cfRule type="expression" dxfId="375" priority="17" stopIfTrue="1">
      <formula>MOD(ROW(),2)=0</formula>
    </cfRule>
    <cfRule type="expression" dxfId="374" priority="18" stopIfTrue="1">
      <formula>MOD(ROW(),2)&lt;&gt;0</formula>
    </cfRule>
  </conditionalFormatting>
  <conditionalFormatting sqref="B6:B21">
    <cfRule type="expression" dxfId="373" priority="39" stopIfTrue="1">
      <formula>MOD(ROW(),2)=0</formula>
    </cfRule>
    <cfRule type="expression" dxfId="372" priority="40" stopIfTrue="1">
      <formula>MOD(ROW(),2)&lt;&gt;0</formula>
    </cfRule>
  </conditionalFormatting>
  <conditionalFormatting sqref="B17:B21">
    <cfRule type="expression" dxfId="371" priority="3" stopIfTrue="1">
      <formula>MOD(ROW(),2)=0</formula>
    </cfRule>
    <cfRule type="expression" dxfId="370" priority="4" stopIfTrue="1">
      <formula>MOD(ROW(),2)&lt;&gt;0</formula>
    </cfRule>
  </conditionalFormatting>
  <conditionalFormatting sqref="B26:B77">
    <cfRule type="expression" dxfId="369" priority="9" stopIfTrue="1">
      <formula>MOD(ROW(),2)=0</formula>
    </cfRule>
    <cfRule type="expression" dxfId="368" priority="10" stopIfTrue="1">
      <formula>MOD(ROW(),2)&lt;&gt;0</formula>
    </cfRule>
  </conditionalFormatting>
  <hyperlinks>
    <hyperlink ref="B24" location="Sheet1!A1" display="Assumptions" xr:uid="{9A1AD7D1-1F42-4093-93ED-C1EC0E6B84E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07"/>
  <dimension ref="A1:I77"/>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Added pension - x-729</v>
      </c>
      <c r="B3" s="42"/>
      <c r="C3" s="42"/>
      <c r="D3" s="42"/>
      <c r="E3" s="42"/>
      <c r="F3" s="42"/>
      <c r="G3" s="42"/>
      <c r="H3" s="42"/>
      <c r="I3" s="42"/>
    </row>
    <row r="4" spans="1:9" x14ac:dyDescent="0.25">
      <c r="A4" s="44"/>
    </row>
    <row r="6" spans="1:9" x14ac:dyDescent="0.25">
      <c r="A6" s="76" t="s">
        <v>290</v>
      </c>
      <c r="B6" s="129" t="s">
        <v>291</v>
      </c>
    </row>
    <row r="7" spans="1:9" ht="35.1" customHeight="1" x14ac:dyDescent="0.25">
      <c r="A7" s="77" t="s">
        <v>804</v>
      </c>
      <c r="B7" s="129" t="s">
        <v>345</v>
      </c>
    </row>
    <row r="8" spans="1:9" x14ac:dyDescent="0.25">
      <c r="A8" s="77" t="s">
        <v>805</v>
      </c>
      <c r="B8" s="129" t="s">
        <v>643</v>
      </c>
    </row>
    <row r="9" spans="1:9" x14ac:dyDescent="0.25">
      <c r="A9" s="77" t="s">
        <v>296</v>
      </c>
      <c r="B9" s="129" t="s">
        <v>605</v>
      </c>
    </row>
    <row r="10" spans="1:9" ht="25.5" customHeight="1" x14ac:dyDescent="0.25">
      <c r="A10" s="77" t="s">
        <v>6</v>
      </c>
      <c r="B10" s="129" t="s">
        <v>644</v>
      </c>
    </row>
    <row r="11" spans="1:9" x14ac:dyDescent="0.25">
      <c r="A11" s="77" t="s">
        <v>299</v>
      </c>
      <c r="B11" s="129" t="s">
        <v>364</v>
      </c>
    </row>
    <row r="12" spans="1:9" x14ac:dyDescent="0.25">
      <c r="A12" s="77" t="s">
        <v>301</v>
      </c>
      <c r="B12" s="129" t="s">
        <v>386</v>
      </c>
    </row>
    <row r="13" spans="1:9" x14ac:dyDescent="0.25">
      <c r="A13" s="77" t="s">
        <v>806</v>
      </c>
      <c r="B13" s="129">
        <v>1</v>
      </c>
    </row>
    <row r="14" spans="1:9" x14ac:dyDescent="0.25">
      <c r="A14" s="77" t="s">
        <v>305</v>
      </c>
      <c r="B14" s="129">
        <v>729</v>
      </c>
    </row>
    <row r="15" spans="1:9" x14ac:dyDescent="0.25">
      <c r="A15" s="77" t="s">
        <v>307</v>
      </c>
      <c r="B15" s="129" t="s">
        <v>645</v>
      </c>
    </row>
    <row r="16" spans="1:9" x14ac:dyDescent="0.25">
      <c r="A16" s="77" t="s">
        <v>825</v>
      </c>
      <c r="B16" s="129" t="s">
        <v>646</v>
      </c>
    </row>
    <row r="17" spans="1:2" ht="80.7" customHeight="1" x14ac:dyDescent="0.25">
      <c r="A17" s="77" t="s">
        <v>803</v>
      </c>
      <c r="B17" s="129"/>
    </row>
    <row r="18" spans="1:2" x14ac:dyDescent="0.25">
      <c r="A18" s="77" t="s">
        <v>313</v>
      </c>
      <c r="B18" s="187">
        <v>45184</v>
      </c>
    </row>
    <row r="19" spans="1:2" x14ac:dyDescent="0.25">
      <c r="A19" s="77" t="s">
        <v>315</v>
      </c>
      <c r="B19" s="187"/>
    </row>
    <row r="20" spans="1:2" x14ac:dyDescent="0.25">
      <c r="A20" s="77" t="s">
        <v>317</v>
      </c>
      <c r="B20" s="129" t="s">
        <v>331</v>
      </c>
    </row>
    <row r="21" spans="1:2" x14ac:dyDescent="0.25">
      <c r="A21" s="77" t="s">
        <v>323</v>
      </c>
      <c r="B21" s="129" t="s">
        <v>332</v>
      </c>
    </row>
    <row r="23" spans="1:2" x14ac:dyDescent="0.25">
      <c r="B23" s="102" t="str">
        <f>HYPERLINK("#'Factor List'!A1","Back to Factor List")</f>
        <v>Back to Factor List</v>
      </c>
    </row>
    <row r="24" spans="1:2" x14ac:dyDescent="0.25">
      <c r="B24" s="102" t="s">
        <v>13</v>
      </c>
    </row>
    <row r="25" spans="1:2" x14ac:dyDescent="0.25">
      <c r="B25" s="102"/>
    </row>
    <row r="26" spans="1:2" x14ac:dyDescent="0.25">
      <c r="A26" s="73" t="s">
        <v>386</v>
      </c>
      <c r="B26" s="73" t="s">
        <v>824</v>
      </c>
    </row>
    <row r="27" spans="1:2" x14ac:dyDescent="0.25">
      <c r="A27" s="74">
        <v>0</v>
      </c>
      <c r="B27" s="85">
        <v>1</v>
      </c>
    </row>
    <row r="28" spans="1:2" x14ac:dyDescent="0.25">
      <c r="A28" s="74">
        <v>1</v>
      </c>
      <c r="B28" s="85">
        <v>1.02</v>
      </c>
    </row>
    <row r="29" spans="1:2" x14ac:dyDescent="0.25">
      <c r="A29" s="74">
        <v>2</v>
      </c>
      <c r="B29" s="85">
        <v>1.04</v>
      </c>
    </row>
    <row r="30" spans="1:2" x14ac:dyDescent="0.25">
      <c r="A30" s="74">
        <v>3</v>
      </c>
      <c r="B30" s="85">
        <v>1.06</v>
      </c>
    </row>
    <row r="31" spans="1:2" x14ac:dyDescent="0.25">
      <c r="A31" s="74">
        <v>4</v>
      </c>
      <c r="B31" s="85">
        <v>1.08</v>
      </c>
    </row>
    <row r="32" spans="1:2" x14ac:dyDescent="0.25">
      <c r="A32" s="74">
        <v>5</v>
      </c>
      <c r="B32" s="85">
        <v>1.1000000000000001</v>
      </c>
    </row>
    <row r="33" spans="1:2" x14ac:dyDescent="0.25">
      <c r="A33" s="74">
        <v>6</v>
      </c>
      <c r="B33" s="85">
        <v>1.1299999999999999</v>
      </c>
    </row>
    <row r="34" spans="1:2" x14ac:dyDescent="0.25">
      <c r="A34" s="74">
        <v>7</v>
      </c>
      <c r="B34" s="85">
        <v>1.1499999999999999</v>
      </c>
    </row>
    <row r="35" spans="1:2" x14ac:dyDescent="0.25">
      <c r="A35" s="74">
        <v>8</v>
      </c>
      <c r="B35" s="85">
        <v>1.17</v>
      </c>
    </row>
    <row r="36" spans="1:2" x14ac:dyDescent="0.25">
      <c r="A36" s="74">
        <v>9</v>
      </c>
      <c r="B36" s="85">
        <v>1.2</v>
      </c>
    </row>
    <row r="37" spans="1:2" x14ac:dyDescent="0.25">
      <c r="A37" s="74">
        <v>10</v>
      </c>
      <c r="B37" s="85">
        <v>1.22</v>
      </c>
    </row>
    <row r="38" spans="1:2" x14ac:dyDescent="0.25">
      <c r="A38" s="74">
        <v>11</v>
      </c>
      <c r="B38" s="85">
        <v>1.24</v>
      </c>
    </row>
    <row r="39" spans="1:2" x14ac:dyDescent="0.25">
      <c r="A39" s="74">
        <v>12</v>
      </c>
      <c r="B39" s="85">
        <v>1.27</v>
      </c>
    </row>
    <row r="40" spans="1:2" x14ac:dyDescent="0.25">
      <c r="A40" s="74">
        <v>13</v>
      </c>
      <c r="B40" s="85">
        <v>1.29</v>
      </c>
    </row>
    <row r="41" spans="1:2" x14ac:dyDescent="0.25">
      <c r="A41" s="74">
        <v>14</v>
      </c>
      <c r="B41" s="85">
        <v>1.32</v>
      </c>
    </row>
    <row r="42" spans="1:2" x14ac:dyDescent="0.25">
      <c r="A42" s="74">
        <v>15</v>
      </c>
      <c r="B42" s="85">
        <v>1.35</v>
      </c>
    </row>
    <row r="43" spans="1:2" x14ac:dyDescent="0.25">
      <c r="A43" s="74">
        <v>16</v>
      </c>
      <c r="B43" s="85">
        <v>1.37</v>
      </c>
    </row>
    <row r="44" spans="1:2" x14ac:dyDescent="0.25">
      <c r="A44" s="74">
        <v>17</v>
      </c>
      <c r="B44" s="85">
        <v>1.4</v>
      </c>
    </row>
    <row r="45" spans="1:2" x14ac:dyDescent="0.25">
      <c r="A45" s="74">
        <v>18</v>
      </c>
      <c r="B45" s="85">
        <v>1.43</v>
      </c>
    </row>
    <row r="46" spans="1:2" x14ac:dyDescent="0.25">
      <c r="A46" s="74">
        <v>19</v>
      </c>
      <c r="B46" s="85">
        <v>1.46</v>
      </c>
    </row>
    <row r="47" spans="1:2" x14ac:dyDescent="0.25">
      <c r="A47" s="74">
        <v>20</v>
      </c>
      <c r="B47" s="85">
        <v>1.49</v>
      </c>
    </row>
    <row r="48" spans="1:2" x14ac:dyDescent="0.25">
      <c r="A48" s="74">
        <v>21</v>
      </c>
      <c r="B48" s="85">
        <v>1.52</v>
      </c>
    </row>
    <row r="49" spans="1:2" x14ac:dyDescent="0.25">
      <c r="A49" s="74">
        <v>22</v>
      </c>
      <c r="B49" s="85">
        <v>1.55</v>
      </c>
    </row>
    <row r="50" spans="1:2" x14ac:dyDescent="0.25">
      <c r="A50" s="74">
        <v>23</v>
      </c>
      <c r="B50" s="85">
        <v>1.58</v>
      </c>
    </row>
    <row r="51" spans="1:2" x14ac:dyDescent="0.25">
      <c r="A51" s="74">
        <v>24</v>
      </c>
      <c r="B51" s="85">
        <v>1.61</v>
      </c>
    </row>
    <row r="52" spans="1:2" x14ac:dyDescent="0.25">
      <c r="A52" s="74">
        <v>25</v>
      </c>
      <c r="B52" s="85">
        <v>1.64</v>
      </c>
    </row>
    <row r="53" spans="1:2" x14ac:dyDescent="0.25">
      <c r="A53" s="74">
        <v>26</v>
      </c>
      <c r="B53" s="85">
        <v>1.67</v>
      </c>
    </row>
    <row r="54" spans="1:2" x14ac:dyDescent="0.25">
      <c r="A54" s="74">
        <v>27</v>
      </c>
      <c r="B54" s="85">
        <v>1.71</v>
      </c>
    </row>
    <row r="55" spans="1:2" x14ac:dyDescent="0.25">
      <c r="A55" s="74">
        <v>28</v>
      </c>
      <c r="B55" s="85">
        <v>1.74</v>
      </c>
    </row>
    <row r="56" spans="1:2" x14ac:dyDescent="0.25">
      <c r="A56" s="74">
        <v>29</v>
      </c>
      <c r="B56" s="85">
        <v>1.78</v>
      </c>
    </row>
    <row r="57" spans="1:2" x14ac:dyDescent="0.25">
      <c r="A57" s="74">
        <v>30</v>
      </c>
      <c r="B57" s="85">
        <v>1.81</v>
      </c>
    </row>
    <row r="58" spans="1:2" x14ac:dyDescent="0.25">
      <c r="A58" s="74">
        <v>31</v>
      </c>
      <c r="B58" s="85">
        <v>1.85</v>
      </c>
    </row>
    <row r="59" spans="1:2" x14ac:dyDescent="0.25">
      <c r="A59" s="74">
        <v>32</v>
      </c>
      <c r="B59" s="85">
        <v>1.88</v>
      </c>
    </row>
    <row r="60" spans="1:2" x14ac:dyDescent="0.25">
      <c r="A60" s="74">
        <v>33</v>
      </c>
      <c r="B60" s="85">
        <v>1.92</v>
      </c>
    </row>
    <row r="61" spans="1:2" x14ac:dyDescent="0.25">
      <c r="A61" s="74">
        <v>34</v>
      </c>
      <c r="B61" s="85">
        <v>1.96</v>
      </c>
    </row>
    <row r="62" spans="1:2" x14ac:dyDescent="0.25">
      <c r="A62" s="74">
        <v>35</v>
      </c>
      <c r="B62" s="85">
        <v>2</v>
      </c>
    </row>
    <row r="63" spans="1:2" x14ac:dyDescent="0.25">
      <c r="A63" s="74">
        <v>36</v>
      </c>
      <c r="B63" s="85">
        <v>2.04</v>
      </c>
    </row>
    <row r="64" spans="1:2" x14ac:dyDescent="0.25">
      <c r="A64" s="74">
        <v>37</v>
      </c>
      <c r="B64" s="85">
        <v>2.08</v>
      </c>
    </row>
    <row r="65" spans="1:2" x14ac:dyDescent="0.25">
      <c r="A65" s="74">
        <v>38</v>
      </c>
      <c r="B65" s="85">
        <v>2.12</v>
      </c>
    </row>
    <row r="66" spans="1:2" x14ac:dyDescent="0.25">
      <c r="A66" s="74">
        <v>39</v>
      </c>
      <c r="B66" s="85">
        <v>2.16</v>
      </c>
    </row>
    <row r="67" spans="1:2" x14ac:dyDescent="0.25">
      <c r="A67" s="74">
        <v>40</v>
      </c>
      <c r="B67" s="85">
        <v>2.21</v>
      </c>
    </row>
    <row r="68" spans="1:2" x14ac:dyDescent="0.25">
      <c r="A68" s="74">
        <v>41</v>
      </c>
      <c r="B68" s="85">
        <v>2.25</v>
      </c>
    </row>
    <row r="69" spans="1:2" x14ac:dyDescent="0.25">
      <c r="A69" s="74">
        <v>42</v>
      </c>
      <c r="B69" s="85">
        <v>2.2999999999999998</v>
      </c>
    </row>
    <row r="70" spans="1:2" x14ac:dyDescent="0.25">
      <c r="A70" s="74">
        <v>43</v>
      </c>
      <c r="B70" s="85">
        <v>2.34</v>
      </c>
    </row>
    <row r="71" spans="1:2" x14ac:dyDescent="0.25">
      <c r="A71" s="74">
        <v>44</v>
      </c>
      <c r="B71" s="85">
        <v>2.39</v>
      </c>
    </row>
    <row r="72" spans="1:2" x14ac:dyDescent="0.25">
      <c r="A72" s="74">
        <v>45</v>
      </c>
      <c r="B72" s="85">
        <v>2.44</v>
      </c>
    </row>
    <row r="73" spans="1:2" x14ac:dyDescent="0.25">
      <c r="A73" s="74">
        <v>46</v>
      </c>
      <c r="B73" s="85">
        <v>2.4900000000000002</v>
      </c>
    </row>
    <row r="74" spans="1:2" x14ac:dyDescent="0.25">
      <c r="A74" s="74">
        <v>47</v>
      </c>
      <c r="B74" s="85">
        <v>2.54</v>
      </c>
    </row>
    <row r="75" spans="1:2" x14ac:dyDescent="0.25">
      <c r="A75" s="74">
        <v>48</v>
      </c>
      <c r="B75" s="85">
        <v>2.59</v>
      </c>
    </row>
    <row r="76" spans="1:2" x14ac:dyDescent="0.25">
      <c r="A76" s="74">
        <v>49</v>
      </c>
      <c r="B76" s="85">
        <v>2.64</v>
      </c>
    </row>
    <row r="77" spans="1:2" x14ac:dyDescent="0.25">
      <c r="A77" s="74">
        <v>50</v>
      </c>
      <c r="B77" s="85">
        <v>2.69</v>
      </c>
    </row>
  </sheetData>
  <sheetProtection algorithmName="SHA-512" hashValue="E4VRD6Y1b4pg1onKgy/xHzpFYy5RGBc9FcMAgJTNyIrOW2m3zG9TOSfGvEhFAmjDcSa+WDJNn7Mc9cdUFn1vYQ==" saltValue="pGTXp9RwAhyXUEShnRsT7w==" spinCount="100000" sheet="1" objects="1" scenarios="1"/>
  <conditionalFormatting sqref="A6:A21">
    <cfRule type="expression" dxfId="367" priority="3" stopIfTrue="1">
      <formula>MOD(ROW(),2)=0</formula>
    </cfRule>
    <cfRule type="expression" dxfId="366" priority="4" stopIfTrue="1">
      <formula>MOD(ROW(),2)&lt;&gt;0</formula>
    </cfRule>
  </conditionalFormatting>
  <conditionalFormatting sqref="A26:A77">
    <cfRule type="expression" dxfId="365" priority="21" stopIfTrue="1">
      <formula>MOD(ROW(),2)=0</formula>
    </cfRule>
    <cfRule type="expression" dxfId="364" priority="22" stopIfTrue="1">
      <formula>MOD(ROW(),2)&lt;&gt;0</formula>
    </cfRule>
  </conditionalFormatting>
  <conditionalFormatting sqref="B6:B21">
    <cfRule type="expression" dxfId="363" priority="35" stopIfTrue="1">
      <formula>MOD(ROW(),2)=0</formula>
    </cfRule>
    <cfRule type="expression" dxfId="362" priority="36" stopIfTrue="1">
      <formula>MOD(ROW(),2)&lt;&gt;0</formula>
    </cfRule>
  </conditionalFormatting>
  <conditionalFormatting sqref="B8">
    <cfRule type="expression" dxfId="361" priority="19" stopIfTrue="1">
      <formula>MOD(ROW(),2)=0</formula>
    </cfRule>
    <cfRule type="expression" dxfId="360" priority="20" stopIfTrue="1">
      <formula>MOD(ROW(),2)&lt;&gt;0</formula>
    </cfRule>
  </conditionalFormatting>
  <conditionalFormatting sqref="B16:B21">
    <cfRule type="expression" dxfId="359" priority="1" stopIfTrue="1">
      <formula>MOD(ROW(),2)=0</formula>
    </cfRule>
    <cfRule type="expression" dxfId="358" priority="2" stopIfTrue="1">
      <formula>MOD(ROW(),2)&lt;&gt;0</formula>
    </cfRule>
  </conditionalFormatting>
  <conditionalFormatting sqref="B26:B77">
    <cfRule type="expression" dxfId="357" priority="11" stopIfTrue="1">
      <formula>MOD(ROW(),2)=0</formula>
    </cfRule>
    <cfRule type="expression" dxfId="356" priority="12" stopIfTrue="1">
      <formula>MOD(ROW(),2)&lt;&gt;0</formula>
    </cfRule>
  </conditionalFormatting>
  <hyperlinks>
    <hyperlink ref="B24" location="Sheet1!A1" display="Assumptions" xr:uid="{38CA8342-19BF-45FF-A17F-9DE7E011A81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08"/>
  <dimension ref="A1:AU77"/>
  <sheetViews>
    <sheetView showGridLines="0" zoomScale="85" zoomScaleNormal="85" workbookViewId="0">
      <selection activeCell="A17" sqref="A17"/>
    </sheetView>
  </sheetViews>
  <sheetFormatPr defaultColWidth="10" defaultRowHeight="13.2" x14ac:dyDescent="0.25"/>
  <cols>
    <col min="1" max="1" width="31.5546875" style="27" customWidth="1"/>
    <col min="2" max="13" width="22.5546875" style="27" customWidth="1"/>
    <col min="14" max="15" width="10" style="27"/>
    <col min="16" max="16" width="31.5546875" style="27" customWidth="1"/>
    <col min="17" max="28" width="22.5546875" style="27" customWidth="1"/>
    <col min="29" max="30" width="10" style="27"/>
    <col min="31" max="31" width="31.5546875" style="27" customWidth="1"/>
    <col min="32" max="43" width="22.5546875" style="27" customWidth="1"/>
    <col min="44" max="45" width="10" style="27"/>
    <col min="46" max="46" width="31.5546875" style="27" customWidth="1"/>
    <col min="47" max="47" width="62.77734375" style="27" customWidth="1"/>
    <col min="48" max="16384" width="10" style="27"/>
  </cols>
  <sheetData>
    <row r="1" spans="1:47" ht="21" x14ac:dyDescent="0.4">
      <c r="A1" s="39" t="s">
        <v>0</v>
      </c>
      <c r="B1" s="40"/>
      <c r="C1" s="40"/>
      <c r="D1" s="40"/>
      <c r="E1" s="40"/>
      <c r="F1" s="40"/>
      <c r="G1" s="40"/>
      <c r="H1" s="40"/>
      <c r="I1" s="40"/>
    </row>
    <row r="2" spans="1:47"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47" ht="15.6" x14ac:dyDescent="0.3">
      <c r="A3" s="43" t="str">
        <f>TABLE_FACTOR_TYPE_1&amp;" - x-"&amp;TABLE_SERIES_NUMBER_1</f>
        <v>EPA - x-730</v>
      </c>
      <c r="B3" s="42"/>
      <c r="C3" s="42"/>
      <c r="D3" s="42"/>
      <c r="E3" s="42"/>
      <c r="F3" s="42"/>
      <c r="G3" s="42"/>
      <c r="H3" s="42"/>
      <c r="I3" s="42"/>
    </row>
    <row r="4" spans="1:47" x14ac:dyDescent="0.25">
      <c r="A4" s="44"/>
    </row>
    <row r="6" spans="1:47" x14ac:dyDescent="0.25">
      <c r="A6" s="76" t="s">
        <v>290</v>
      </c>
      <c r="B6" s="129" t="s">
        <v>291</v>
      </c>
      <c r="C6" s="129"/>
      <c r="D6" s="129"/>
      <c r="E6" s="129"/>
      <c r="F6" s="129"/>
      <c r="G6" s="129"/>
      <c r="H6" s="129"/>
      <c r="I6" s="129"/>
      <c r="J6" s="129"/>
      <c r="K6" s="129"/>
      <c r="L6" s="129"/>
      <c r="M6" s="129"/>
      <c r="P6" s="76" t="s">
        <v>290</v>
      </c>
      <c r="Q6" s="129" t="s">
        <v>291</v>
      </c>
      <c r="R6" s="129"/>
      <c r="S6" s="129"/>
      <c r="T6" s="129"/>
      <c r="U6" s="129"/>
      <c r="V6" s="129"/>
      <c r="W6" s="129"/>
      <c r="X6" s="129"/>
      <c r="Y6" s="129"/>
      <c r="Z6" s="129"/>
      <c r="AA6" s="129"/>
      <c r="AB6" s="129"/>
      <c r="AE6" s="76" t="s">
        <v>290</v>
      </c>
      <c r="AF6" s="129" t="s">
        <v>291</v>
      </c>
      <c r="AG6" s="129"/>
      <c r="AH6" s="129"/>
      <c r="AI6" s="129"/>
      <c r="AJ6" s="129"/>
      <c r="AK6" s="129"/>
      <c r="AL6" s="129"/>
      <c r="AM6" s="129"/>
      <c r="AN6" s="129"/>
      <c r="AO6" s="129"/>
      <c r="AP6" s="129"/>
      <c r="AQ6" s="129"/>
      <c r="AT6" s="76" t="s">
        <v>290</v>
      </c>
      <c r="AU6" s="129" t="s">
        <v>291</v>
      </c>
    </row>
    <row r="7" spans="1:47" ht="15" customHeight="1" x14ac:dyDescent="0.25">
      <c r="A7" s="77" t="s">
        <v>804</v>
      </c>
      <c r="B7" s="129" t="s">
        <v>324</v>
      </c>
      <c r="C7" s="129"/>
      <c r="D7" s="129"/>
      <c r="E7" s="129"/>
      <c r="F7" s="129"/>
      <c r="G7" s="129"/>
      <c r="H7" s="129"/>
      <c r="I7" s="129"/>
      <c r="J7" s="129"/>
      <c r="K7" s="129"/>
      <c r="L7" s="129"/>
      <c r="M7" s="129"/>
      <c r="P7" s="77" t="s">
        <v>804</v>
      </c>
      <c r="Q7" s="129" t="s">
        <v>324</v>
      </c>
      <c r="R7" s="129"/>
      <c r="S7" s="129"/>
      <c r="T7" s="129"/>
      <c r="U7" s="129"/>
      <c r="V7" s="129"/>
      <c r="W7" s="129"/>
      <c r="X7" s="129"/>
      <c r="Y7" s="129"/>
      <c r="Z7" s="129"/>
      <c r="AA7" s="129"/>
      <c r="AB7" s="129"/>
      <c r="AE7" s="77" t="s">
        <v>804</v>
      </c>
      <c r="AF7" s="129" t="s">
        <v>324</v>
      </c>
      <c r="AG7" s="129"/>
      <c r="AH7" s="129"/>
      <c r="AI7" s="129"/>
      <c r="AJ7" s="129"/>
      <c r="AK7" s="129"/>
      <c r="AL7" s="129"/>
      <c r="AM7" s="129"/>
      <c r="AN7" s="129"/>
      <c r="AO7" s="129"/>
      <c r="AP7" s="129"/>
      <c r="AQ7" s="129"/>
      <c r="AT7" s="77" t="s">
        <v>804</v>
      </c>
      <c r="AU7" s="129" t="s">
        <v>324</v>
      </c>
    </row>
    <row r="8" spans="1:47" x14ac:dyDescent="0.25">
      <c r="A8" s="77" t="s">
        <v>805</v>
      </c>
      <c r="B8" s="129" t="s">
        <v>85</v>
      </c>
      <c r="C8" s="129"/>
      <c r="D8" s="129"/>
      <c r="E8" s="129"/>
      <c r="F8" s="129"/>
      <c r="G8" s="129"/>
      <c r="H8" s="129"/>
      <c r="I8" s="129"/>
      <c r="J8" s="129"/>
      <c r="K8" s="129"/>
      <c r="L8" s="129"/>
      <c r="M8" s="129"/>
      <c r="P8" s="77" t="s">
        <v>805</v>
      </c>
      <c r="Q8" s="129" t="s">
        <v>85</v>
      </c>
      <c r="R8" s="129"/>
      <c r="S8" s="129"/>
      <c r="T8" s="129"/>
      <c r="U8" s="129"/>
      <c r="V8" s="129"/>
      <c r="W8" s="129"/>
      <c r="X8" s="129"/>
      <c r="Y8" s="129"/>
      <c r="Z8" s="129"/>
      <c r="AA8" s="129"/>
      <c r="AB8" s="129"/>
      <c r="AE8" s="77" t="s">
        <v>805</v>
      </c>
      <c r="AF8" s="129" t="s">
        <v>85</v>
      </c>
      <c r="AG8" s="129"/>
      <c r="AH8" s="129"/>
      <c r="AI8" s="129"/>
      <c r="AJ8" s="129"/>
      <c r="AK8" s="129"/>
      <c r="AL8" s="129"/>
      <c r="AM8" s="129"/>
      <c r="AN8" s="129"/>
      <c r="AO8" s="129"/>
      <c r="AP8" s="129"/>
      <c r="AQ8" s="129"/>
      <c r="AT8" s="77" t="s">
        <v>805</v>
      </c>
      <c r="AU8" s="129" t="s">
        <v>85</v>
      </c>
    </row>
    <row r="9" spans="1:47" x14ac:dyDescent="0.25">
      <c r="A9" s="77" t="s">
        <v>296</v>
      </c>
      <c r="B9" s="129" t="s">
        <v>647</v>
      </c>
      <c r="C9" s="129"/>
      <c r="D9" s="129"/>
      <c r="E9" s="129"/>
      <c r="F9" s="129"/>
      <c r="G9" s="129"/>
      <c r="H9" s="129"/>
      <c r="I9" s="129"/>
      <c r="J9" s="129"/>
      <c r="K9" s="129"/>
      <c r="L9" s="129"/>
      <c r="M9" s="129"/>
      <c r="P9" s="77" t="s">
        <v>296</v>
      </c>
      <c r="Q9" s="129" t="s">
        <v>647</v>
      </c>
      <c r="R9" s="129"/>
      <c r="S9" s="129"/>
      <c r="T9" s="129"/>
      <c r="U9" s="129"/>
      <c r="V9" s="129"/>
      <c r="W9" s="129"/>
      <c r="X9" s="129"/>
      <c r="Y9" s="129"/>
      <c r="Z9" s="129"/>
      <c r="AA9" s="129"/>
      <c r="AB9" s="129"/>
      <c r="AE9" s="77" t="s">
        <v>296</v>
      </c>
      <c r="AF9" s="129" t="s">
        <v>647</v>
      </c>
      <c r="AG9" s="129"/>
      <c r="AH9" s="129"/>
      <c r="AI9" s="129"/>
      <c r="AJ9" s="129"/>
      <c r="AK9" s="129"/>
      <c r="AL9" s="129"/>
      <c r="AM9" s="129"/>
      <c r="AN9" s="129"/>
      <c r="AO9" s="129"/>
      <c r="AP9" s="129"/>
      <c r="AQ9" s="129"/>
      <c r="AT9" s="77" t="s">
        <v>296</v>
      </c>
      <c r="AU9" s="129" t="s">
        <v>647</v>
      </c>
    </row>
    <row r="10" spans="1:47" ht="19.5" customHeight="1" x14ac:dyDescent="0.25">
      <c r="A10" s="77" t="s">
        <v>6</v>
      </c>
      <c r="B10" s="129" t="s">
        <v>648</v>
      </c>
      <c r="C10" s="129"/>
      <c r="D10" s="129"/>
      <c r="E10" s="129"/>
      <c r="F10" s="129"/>
      <c r="G10" s="129"/>
      <c r="H10" s="129"/>
      <c r="I10" s="129"/>
      <c r="J10" s="129"/>
      <c r="K10" s="129"/>
      <c r="L10" s="129"/>
      <c r="M10" s="129"/>
      <c r="P10" s="77" t="s">
        <v>6</v>
      </c>
      <c r="Q10" s="129" t="s">
        <v>653</v>
      </c>
      <c r="R10" s="129"/>
      <c r="S10" s="129"/>
      <c r="T10" s="129"/>
      <c r="U10" s="129"/>
      <c r="V10" s="129"/>
      <c r="W10" s="129"/>
      <c r="X10" s="129"/>
      <c r="Y10" s="129"/>
      <c r="Z10" s="129"/>
      <c r="AA10" s="129"/>
      <c r="AB10" s="129"/>
      <c r="AE10" s="77" t="s">
        <v>6</v>
      </c>
      <c r="AF10" s="129" t="s">
        <v>655</v>
      </c>
      <c r="AG10" s="129"/>
      <c r="AH10" s="129"/>
      <c r="AI10" s="129"/>
      <c r="AJ10" s="129"/>
      <c r="AK10" s="129"/>
      <c r="AL10" s="129"/>
      <c r="AM10" s="129"/>
      <c r="AN10" s="129"/>
      <c r="AO10" s="129"/>
      <c r="AP10" s="129"/>
      <c r="AQ10" s="129"/>
      <c r="AT10" s="77" t="s">
        <v>6</v>
      </c>
      <c r="AU10" s="129" t="s">
        <v>657</v>
      </c>
    </row>
    <row r="11" spans="1:47" x14ac:dyDescent="0.25">
      <c r="A11" s="77" t="s">
        <v>299</v>
      </c>
      <c r="B11" s="129" t="s">
        <v>364</v>
      </c>
      <c r="C11" s="129"/>
      <c r="D11" s="129"/>
      <c r="E11" s="129"/>
      <c r="F11" s="129"/>
      <c r="G11" s="129"/>
      <c r="H11" s="129"/>
      <c r="I11" s="129"/>
      <c r="J11" s="129"/>
      <c r="K11" s="129"/>
      <c r="L11" s="129"/>
      <c r="M11" s="129"/>
      <c r="P11" s="77" t="s">
        <v>299</v>
      </c>
      <c r="Q11" s="129" t="s">
        <v>364</v>
      </c>
      <c r="R11" s="129"/>
      <c r="S11" s="129"/>
      <c r="T11" s="129"/>
      <c r="U11" s="129"/>
      <c r="V11" s="129"/>
      <c r="W11" s="129"/>
      <c r="X11" s="129"/>
      <c r="Y11" s="129"/>
      <c r="Z11" s="129"/>
      <c r="AA11" s="129"/>
      <c r="AB11" s="129"/>
      <c r="AE11" s="77" t="s">
        <v>299</v>
      </c>
      <c r="AF11" s="129" t="s">
        <v>364</v>
      </c>
      <c r="AG11" s="129"/>
      <c r="AH11" s="129"/>
      <c r="AI11" s="129"/>
      <c r="AJ11" s="129"/>
      <c r="AK11" s="129"/>
      <c r="AL11" s="129"/>
      <c r="AM11" s="129"/>
      <c r="AN11" s="129"/>
      <c r="AO11" s="129"/>
      <c r="AP11" s="129"/>
      <c r="AQ11" s="129"/>
      <c r="AT11" s="77" t="s">
        <v>299</v>
      </c>
      <c r="AU11" s="129" t="s">
        <v>364</v>
      </c>
    </row>
    <row r="12" spans="1:47" x14ac:dyDescent="0.25">
      <c r="A12" s="77" t="s">
        <v>301</v>
      </c>
      <c r="B12" s="129" t="s">
        <v>649</v>
      </c>
      <c r="C12" s="129"/>
      <c r="D12" s="129"/>
      <c r="E12" s="129"/>
      <c r="F12" s="129"/>
      <c r="G12" s="129"/>
      <c r="H12" s="129"/>
      <c r="I12" s="129"/>
      <c r="J12" s="129"/>
      <c r="K12" s="129"/>
      <c r="L12" s="129"/>
      <c r="M12" s="129"/>
      <c r="P12" s="77" t="s">
        <v>301</v>
      </c>
      <c r="Q12" s="129" t="s">
        <v>649</v>
      </c>
      <c r="R12" s="129"/>
      <c r="S12" s="129"/>
      <c r="T12" s="129"/>
      <c r="U12" s="129"/>
      <c r="V12" s="129"/>
      <c r="W12" s="129"/>
      <c r="X12" s="129"/>
      <c r="Y12" s="129"/>
      <c r="Z12" s="129"/>
      <c r="AA12" s="129"/>
      <c r="AB12" s="129"/>
      <c r="AE12" s="77" t="s">
        <v>301</v>
      </c>
      <c r="AF12" s="129" t="s">
        <v>649</v>
      </c>
      <c r="AG12" s="129"/>
      <c r="AH12" s="129"/>
      <c r="AI12" s="129"/>
      <c r="AJ12" s="129"/>
      <c r="AK12" s="129"/>
      <c r="AL12" s="129"/>
      <c r="AM12" s="129"/>
      <c r="AN12" s="129"/>
      <c r="AO12" s="129"/>
      <c r="AP12" s="129"/>
      <c r="AQ12" s="129"/>
      <c r="AT12" s="77" t="s">
        <v>301</v>
      </c>
      <c r="AU12" s="129" t="s">
        <v>658</v>
      </c>
    </row>
    <row r="13" spans="1:47" x14ac:dyDescent="0.25">
      <c r="A13" s="77" t="s">
        <v>806</v>
      </c>
      <c r="B13" s="129">
        <v>0</v>
      </c>
      <c r="C13" s="129"/>
      <c r="D13" s="129"/>
      <c r="E13" s="129"/>
      <c r="F13" s="129"/>
      <c r="G13" s="129"/>
      <c r="H13" s="129"/>
      <c r="I13" s="129"/>
      <c r="J13" s="129"/>
      <c r="K13" s="129"/>
      <c r="L13" s="129"/>
      <c r="M13" s="129"/>
      <c r="P13" s="77" t="s">
        <v>806</v>
      </c>
      <c r="Q13" s="129">
        <v>0</v>
      </c>
      <c r="R13" s="129"/>
      <c r="S13" s="129"/>
      <c r="T13" s="129"/>
      <c r="U13" s="129"/>
      <c r="V13" s="129"/>
      <c r="W13" s="129"/>
      <c r="X13" s="129"/>
      <c r="Y13" s="129"/>
      <c r="Z13" s="129"/>
      <c r="AA13" s="129"/>
      <c r="AB13" s="129"/>
      <c r="AE13" s="77" t="s">
        <v>806</v>
      </c>
      <c r="AF13" s="129">
        <v>0</v>
      </c>
      <c r="AG13" s="129"/>
      <c r="AH13" s="129"/>
      <c r="AI13" s="129"/>
      <c r="AJ13" s="129"/>
      <c r="AK13" s="129"/>
      <c r="AL13" s="129"/>
      <c r="AM13" s="129"/>
      <c r="AN13" s="129"/>
      <c r="AO13" s="129"/>
      <c r="AP13" s="129"/>
      <c r="AQ13" s="129"/>
      <c r="AT13" s="77" t="s">
        <v>806</v>
      </c>
      <c r="AU13" s="129">
        <v>0</v>
      </c>
    </row>
    <row r="14" spans="1:47" x14ac:dyDescent="0.25">
      <c r="A14" s="77" t="s">
        <v>305</v>
      </c>
      <c r="B14" s="129">
        <v>730</v>
      </c>
      <c r="C14" s="129"/>
      <c r="D14" s="129"/>
      <c r="E14" s="129"/>
      <c r="F14" s="129"/>
      <c r="G14" s="129"/>
      <c r="H14" s="129"/>
      <c r="I14" s="129"/>
      <c r="J14" s="129"/>
      <c r="K14" s="129"/>
      <c r="L14" s="129"/>
      <c r="M14" s="129"/>
      <c r="P14" s="77" t="s">
        <v>305</v>
      </c>
      <c r="Q14" s="129">
        <v>730</v>
      </c>
      <c r="R14" s="129"/>
      <c r="S14" s="129"/>
      <c r="T14" s="129"/>
      <c r="U14" s="129"/>
      <c r="V14" s="129"/>
      <c r="W14" s="129"/>
      <c r="X14" s="129"/>
      <c r="Y14" s="129"/>
      <c r="Z14" s="129"/>
      <c r="AA14" s="129"/>
      <c r="AB14" s="129"/>
      <c r="AE14" s="77" t="s">
        <v>305</v>
      </c>
      <c r="AF14" s="129">
        <v>730</v>
      </c>
      <c r="AG14" s="129"/>
      <c r="AH14" s="129"/>
      <c r="AI14" s="129"/>
      <c r="AJ14" s="129"/>
      <c r="AK14" s="129"/>
      <c r="AL14" s="129"/>
      <c r="AM14" s="129"/>
      <c r="AN14" s="129"/>
      <c r="AO14" s="129"/>
      <c r="AP14" s="129"/>
      <c r="AQ14" s="129"/>
      <c r="AT14" s="77" t="s">
        <v>305</v>
      </c>
      <c r="AU14" s="129">
        <v>730</v>
      </c>
    </row>
    <row r="15" spans="1:47" x14ac:dyDescent="0.25">
      <c r="A15" s="77" t="s">
        <v>307</v>
      </c>
      <c r="B15" s="129" t="s">
        <v>650</v>
      </c>
      <c r="C15" s="129"/>
      <c r="D15" s="129"/>
      <c r="E15" s="129"/>
      <c r="F15" s="129"/>
      <c r="G15" s="129"/>
      <c r="H15" s="129"/>
      <c r="I15" s="129"/>
      <c r="J15" s="129"/>
      <c r="K15" s="129"/>
      <c r="L15" s="129"/>
      <c r="M15" s="129"/>
      <c r="P15" s="77" t="s">
        <v>307</v>
      </c>
      <c r="Q15" s="129" t="s">
        <v>654</v>
      </c>
      <c r="R15" s="129"/>
      <c r="S15" s="129"/>
      <c r="T15" s="129"/>
      <c r="U15" s="129"/>
      <c r="V15" s="129"/>
      <c r="W15" s="129"/>
      <c r="X15" s="129"/>
      <c r="Y15" s="129"/>
      <c r="Z15" s="129"/>
      <c r="AA15" s="129"/>
      <c r="AB15" s="129"/>
      <c r="AE15" s="77" t="s">
        <v>307</v>
      </c>
      <c r="AF15" s="129" t="s">
        <v>656</v>
      </c>
      <c r="AG15" s="129"/>
      <c r="AH15" s="129"/>
      <c r="AI15" s="129"/>
      <c r="AJ15" s="129"/>
      <c r="AK15" s="129"/>
      <c r="AL15" s="129"/>
      <c r="AM15" s="129"/>
      <c r="AN15" s="129"/>
      <c r="AO15" s="129"/>
      <c r="AP15" s="129"/>
      <c r="AQ15" s="129"/>
      <c r="AT15" s="77" t="s">
        <v>307</v>
      </c>
      <c r="AU15" s="129" t="s">
        <v>659</v>
      </c>
    </row>
    <row r="16" spans="1:47" x14ac:dyDescent="0.25">
      <c r="A16" s="77" t="s">
        <v>309</v>
      </c>
      <c r="B16" s="129" t="s">
        <v>651</v>
      </c>
      <c r="C16" s="129"/>
      <c r="D16" s="129"/>
      <c r="E16" s="129"/>
      <c r="F16" s="129"/>
      <c r="G16" s="129"/>
      <c r="H16" s="129"/>
      <c r="I16" s="129"/>
      <c r="J16" s="129"/>
      <c r="K16" s="129"/>
      <c r="L16" s="129"/>
      <c r="M16" s="129"/>
      <c r="P16" s="77" t="s">
        <v>309</v>
      </c>
      <c r="Q16" s="129" t="s">
        <v>651</v>
      </c>
      <c r="R16" s="129"/>
      <c r="S16" s="129"/>
      <c r="T16" s="129"/>
      <c r="U16" s="129"/>
      <c r="V16" s="129"/>
      <c r="W16" s="129"/>
      <c r="X16" s="129"/>
      <c r="Y16" s="129"/>
      <c r="Z16" s="129"/>
      <c r="AA16" s="129"/>
      <c r="AB16" s="129"/>
      <c r="AE16" s="77" t="s">
        <v>309</v>
      </c>
      <c r="AF16" s="129" t="s">
        <v>651</v>
      </c>
      <c r="AG16" s="129"/>
      <c r="AH16" s="129"/>
      <c r="AI16" s="129"/>
      <c r="AJ16" s="129"/>
      <c r="AK16" s="129"/>
      <c r="AL16" s="129"/>
      <c r="AM16" s="129"/>
      <c r="AN16" s="129"/>
      <c r="AO16" s="129"/>
      <c r="AP16" s="129"/>
      <c r="AQ16" s="129"/>
      <c r="AT16" s="77" t="s">
        <v>309</v>
      </c>
      <c r="AU16" s="129" t="s">
        <v>651</v>
      </c>
    </row>
    <row r="17" spans="1:47" ht="35.700000000000003" customHeight="1" x14ac:dyDescent="0.25">
      <c r="A17" s="77" t="s">
        <v>803</v>
      </c>
      <c r="B17" s="129"/>
      <c r="C17" s="129"/>
      <c r="D17" s="129"/>
      <c r="E17" s="129"/>
      <c r="F17" s="129"/>
      <c r="G17" s="129"/>
      <c r="H17" s="129"/>
      <c r="I17" s="129"/>
      <c r="J17" s="129"/>
      <c r="K17" s="129"/>
      <c r="L17" s="129"/>
      <c r="M17" s="129"/>
      <c r="P17" s="77" t="s">
        <v>803</v>
      </c>
      <c r="Q17" s="129"/>
      <c r="R17" s="129"/>
      <c r="S17" s="129"/>
      <c r="T17" s="129"/>
      <c r="U17" s="129"/>
      <c r="V17" s="129"/>
      <c r="W17" s="129"/>
      <c r="X17" s="129"/>
      <c r="Y17" s="129"/>
      <c r="Z17" s="129"/>
      <c r="AA17" s="129"/>
      <c r="AB17" s="129"/>
      <c r="AE17" s="77" t="s">
        <v>803</v>
      </c>
      <c r="AF17" s="129"/>
      <c r="AG17" s="129"/>
      <c r="AH17" s="129"/>
      <c r="AI17" s="129"/>
      <c r="AJ17" s="129"/>
      <c r="AK17" s="129"/>
      <c r="AL17" s="129"/>
      <c r="AM17" s="129"/>
      <c r="AN17" s="129"/>
      <c r="AO17" s="129"/>
      <c r="AP17" s="129"/>
      <c r="AQ17" s="129"/>
      <c r="AT17" s="77" t="s">
        <v>803</v>
      </c>
      <c r="AU17" s="129"/>
    </row>
    <row r="18" spans="1:47" x14ac:dyDescent="0.25">
      <c r="A18" s="77" t="s">
        <v>313</v>
      </c>
      <c r="B18" s="187">
        <v>45184</v>
      </c>
      <c r="C18" s="129"/>
      <c r="D18" s="129"/>
      <c r="E18" s="129"/>
      <c r="F18" s="129"/>
      <c r="G18" s="129"/>
      <c r="H18" s="129"/>
      <c r="I18" s="129"/>
      <c r="J18" s="129"/>
      <c r="K18" s="129"/>
      <c r="L18" s="129"/>
      <c r="M18" s="129"/>
      <c r="P18" s="77" t="s">
        <v>313</v>
      </c>
      <c r="Q18" s="187">
        <v>45184</v>
      </c>
      <c r="R18" s="129"/>
      <c r="S18" s="129"/>
      <c r="T18" s="129"/>
      <c r="U18" s="129"/>
      <c r="V18" s="129"/>
      <c r="W18" s="129"/>
      <c r="X18" s="129"/>
      <c r="Y18" s="129"/>
      <c r="Z18" s="129"/>
      <c r="AA18" s="129"/>
      <c r="AB18" s="129"/>
      <c r="AE18" s="77" t="s">
        <v>313</v>
      </c>
      <c r="AF18" s="187">
        <v>45184</v>
      </c>
      <c r="AG18" s="129"/>
      <c r="AH18" s="129"/>
      <c r="AI18" s="129"/>
      <c r="AJ18" s="129"/>
      <c r="AK18" s="129"/>
      <c r="AL18" s="129"/>
      <c r="AM18" s="129"/>
      <c r="AN18" s="129"/>
      <c r="AO18" s="129"/>
      <c r="AP18" s="129"/>
      <c r="AQ18" s="129"/>
      <c r="AT18" s="77" t="s">
        <v>313</v>
      </c>
      <c r="AU18" s="187">
        <v>45184</v>
      </c>
    </row>
    <row r="19" spans="1:47" x14ac:dyDescent="0.25">
      <c r="A19" s="77" t="s">
        <v>315</v>
      </c>
      <c r="B19" s="187"/>
      <c r="C19" s="129"/>
      <c r="D19" s="129"/>
      <c r="E19" s="129"/>
      <c r="F19" s="129"/>
      <c r="G19" s="129"/>
      <c r="H19" s="129"/>
      <c r="I19" s="129"/>
      <c r="J19" s="129"/>
      <c r="K19" s="129"/>
      <c r="L19" s="129"/>
      <c r="M19" s="129"/>
      <c r="P19" s="77" t="s">
        <v>315</v>
      </c>
      <c r="Q19" s="187"/>
      <c r="R19" s="129"/>
      <c r="S19" s="129"/>
      <c r="T19" s="129"/>
      <c r="U19" s="129"/>
      <c r="V19" s="129"/>
      <c r="W19" s="129"/>
      <c r="X19" s="129"/>
      <c r="Y19" s="129"/>
      <c r="Z19" s="129"/>
      <c r="AA19" s="129"/>
      <c r="AB19" s="129"/>
      <c r="AE19" s="77" t="s">
        <v>315</v>
      </c>
      <c r="AF19" s="187"/>
      <c r="AG19" s="129"/>
      <c r="AH19" s="129"/>
      <c r="AI19" s="129"/>
      <c r="AJ19" s="129"/>
      <c r="AK19" s="129"/>
      <c r="AL19" s="129"/>
      <c r="AM19" s="129"/>
      <c r="AN19" s="129"/>
      <c r="AO19" s="129"/>
      <c r="AP19" s="129"/>
      <c r="AQ19" s="129"/>
      <c r="AT19" s="77" t="s">
        <v>315</v>
      </c>
      <c r="AU19" s="187"/>
    </row>
    <row r="20" spans="1:47" x14ac:dyDescent="0.25">
      <c r="A20" s="77" t="s">
        <v>317</v>
      </c>
      <c r="B20" s="129" t="s">
        <v>331</v>
      </c>
      <c r="C20" s="129"/>
      <c r="D20" s="129"/>
      <c r="E20" s="129"/>
      <c r="F20" s="129"/>
      <c r="G20" s="129"/>
      <c r="H20" s="129"/>
      <c r="I20" s="129"/>
      <c r="J20" s="129"/>
      <c r="K20" s="129"/>
      <c r="L20" s="129"/>
      <c r="M20" s="129"/>
      <c r="P20" s="77" t="s">
        <v>317</v>
      </c>
      <c r="Q20" s="129" t="s">
        <v>331</v>
      </c>
      <c r="R20" s="129"/>
      <c r="S20" s="129"/>
      <c r="T20" s="129"/>
      <c r="U20" s="129"/>
      <c r="V20" s="129"/>
      <c r="W20" s="129"/>
      <c r="X20" s="129"/>
      <c r="Y20" s="129"/>
      <c r="Z20" s="129"/>
      <c r="AA20" s="129"/>
      <c r="AB20" s="129"/>
      <c r="AE20" s="77" t="s">
        <v>317</v>
      </c>
      <c r="AF20" s="129" t="s">
        <v>331</v>
      </c>
      <c r="AG20" s="129"/>
      <c r="AH20" s="129"/>
      <c r="AI20" s="129"/>
      <c r="AJ20" s="129"/>
      <c r="AK20" s="129"/>
      <c r="AL20" s="129"/>
      <c r="AM20" s="129"/>
      <c r="AN20" s="129"/>
      <c r="AO20" s="129"/>
      <c r="AP20" s="129"/>
      <c r="AQ20" s="129"/>
      <c r="AT20" s="77" t="s">
        <v>317</v>
      </c>
      <c r="AU20" s="129" t="s">
        <v>331</v>
      </c>
    </row>
    <row r="21" spans="1:47" x14ac:dyDescent="0.25">
      <c r="A21" s="77" t="s">
        <v>323</v>
      </c>
      <c r="B21" s="129" t="s">
        <v>332</v>
      </c>
      <c r="C21" s="129"/>
      <c r="D21" s="129"/>
      <c r="E21" s="129"/>
      <c r="F21" s="129"/>
      <c r="G21" s="129"/>
      <c r="H21" s="129"/>
      <c r="I21" s="129"/>
      <c r="J21" s="129"/>
      <c r="K21" s="129"/>
      <c r="L21" s="129"/>
      <c r="M21" s="129"/>
      <c r="P21" s="77" t="s">
        <v>323</v>
      </c>
      <c r="Q21" s="129" t="s">
        <v>332</v>
      </c>
      <c r="R21" s="129"/>
      <c r="S21" s="129"/>
      <c r="T21" s="129"/>
      <c r="U21" s="129"/>
      <c r="V21" s="129"/>
      <c r="W21" s="129"/>
      <c r="X21" s="129"/>
      <c r="Y21" s="129"/>
      <c r="Z21" s="129"/>
      <c r="AA21" s="129"/>
      <c r="AB21" s="129"/>
      <c r="AE21" s="77" t="s">
        <v>323</v>
      </c>
      <c r="AF21" s="129" t="s">
        <v>332</v>
      </c>
      <c r="AG21" s="129"/>
      <c r="AH21" s="129"/>
      <c r="AI21" s="129"/>
      <c r="AJ21" s="129"/>
      <c r="AK21" s="129"/>
      <c r="AL21" s="129"/>
      <c r="AM21" s="129"/>
      <c r="AN21" s="129"/>
      <c r="AO21" s="129"/>
      <c r="AP21" s="129"/>
      <c r="AQ21" s="129"/>
      <c r="AT21" s="77" t="s">
        <v>323</v>
      </c>
      <c r="AU21" s="129" t="s">
        <v>332</v>
      </c>
    </row>
    <row r="23" spans="1:47" x14ac:dyDescent="0.25">
      <c r="B23" s="102" t="str">
        <f>HYPERLINK("#'Factor List'!A1","Back to Factor List")</f>
        <v>Back to Factor List</v>
      </c>
    </row>
    <row r="24" spans="1:47" x14ac:dyDescent="0.25">
      <c r="B24" s="102" t="s">
        <v>13</v>
      </c>
    </row>
    <row r="25" spans="1:47" x14ac:dyDescent="0.25">
      <c r="B25" s="102"/>
    </row>
    <row r="26" spans="1:47" ht="23.7" customHeight="1" x14ac:dyDescent="0.25">
      <c r="A26" s="73" t="s">
        <v>960</v>
      </c>
      <c r="B26" s="73">
        <v>0</v>
      </c>
      <c r="C26" s="73">
        <v>1</v>
      </c>
      <c r="D26" s="73">
        <v>2</v>
      </c>
      <c r="E26" s="73">
        <v>3</v>
      </c>
      <c r="F26" s="73">
        <v>4</v>
      </c>
      <c r="G26" s="73">
        <v>5</v>
      </c>
      <c r="H26" s="73">
        <v>6</v>
      </c>
      <c r="I26" s="73">
        <v>7</v>
      </c>
      <c r="J26" s="73">
        <v>8</v>
      </c>
      <c r="K26" s="73">
        <v>9</v>
      </c>
      <c r="L26" s="73">
        <v>10</v>
      </c>
      <c r="M26" s="73">
        <v>11</v>
      </c>
      <c r="P26" s="73" t="s">
        <v>960</v>
      </c>
      <c r="Q26" s="73">
        <v>0</v>
      </c>
      <c r="R26" s="73">
        <v>1</v>
      </c>
      <c r="S26" s="73">
        <v>2</v>
      </c>
      <c r="T26" s="73">
        <v>3</v>
      </c>
      <c r="U26" s="73">
        <v>4</v>
      </c>
      <c r="V26" s="73">
        <v>5</v>
      </c>
      <c r="W26" s="73">
        <v>6</v>
      </c>
      <c r="X26" s="73">
        <v>7</v>
      </c>
      <c r="Y26" s="73">
        <v>8</v>
      </c>
      <c r="Z26" s="73">
        <v>9</v>
      </c>
      <c r="AA26" s="73">
        <v>10</v>
      </c>
      <c r="AB26" s="73">
        <v>11</v>
      </c>
      <c r="AE26" s="73" t="s">
        <v>960</v>
      </c>
      <c r="AF26" s="73">
        <v>0</v>
      </c>
      <c r="AG26" s="73">
        <v>1</v>
      </c>
      <c r="AH26" s="73">
        <v>2</v>
      </c>
      <c r="AI26" s="73">
        <v>3</v>
      </c>
      <c r="AJ26" s="73">
        <v>4</v>
      </c>
      <c r="AK26" s="73">
        <v>5</v>
      </c>
      <c r="AL26" s="73">
        <v>6</v>
      </c>
      <c r="AM26" s="73">
        <v>7</v>
      </c>
      <c r="AN26" s="73">
        <v>8</v>
      </c>
      <c r="AO26" s="73">
        <v>9</v>
      </c>
      <c r="AP26" s="73">
        <v>10</v>
      </c>
      <c r="AQ26" s="73">
        <v>11</v>
      </c>
      <c r="AT26" s="73" t="s">
        <v>373</v>
      </c>
      <c r="AU26" s="73" t="s">
        <v>961</v>
      </c>
    </row>
    <row r="27" spans="1:47" x14ac:dyDescent="0.25">
      <c r="A27" s="74">
        <v>20</v>
      </c>
      <c r="B27" s="90">
        <v>1.0999999999999999E-2</v>
      </c>
      <c r="C27" s="90">
        <v>1.0999999999999999E-2</v>
      </c>
      <c r="D27" s="90">
        <v>1.0999999999999999E-2</v>
      </c>
      <c r="E27" s="90">
        <v>1.0999999999999999E-2</v>
      </c>
      <c r="F27" s="90">
        <v>1.0999999999999999E-2</v>
      </c>
      <c r="G27" s="90">
        <v>1.0999999999999999E-2</v>
      </c>
      <c r="H27" s="90">
        <v>1.0999999999999999E-2</v>
      </c>
      <c r="I27" s="90">
        <v>1.0999999999999999E-2</v>
      </c>
      <c r="J27" s="90">
        <v>1.0999999999999999E-2</v>
      </c>
      <c r="K27" s="90">
        <v>1.0999999999999999E-2</v>
      </c>
      <c r="L27" s="90">
        <v>1.0999999999999999E-2</v>
      </c>
      <c r="M27" s="90">
        <v>1.0999999999999999E-2</v>
      </c>
      <c r="P27" s="74">
        <v>20</v>
      </c>
      <c r="Q27" s="90">
        <v>1.0999999999999999E-2</v>
      </c>
      <c r="R27" s="90">
        <v>0.01</v>
      </c>
      <c r="S27" s="90">
        <v>0.01</v>
      </c>
      <c r="T27" s="90">
        <v>0.01</v>
      </c>
      <c r="U27" s="90">
        <v>0.01</v>
      </c>
      <c r="V27" s="90">
        <v>0.01</v>
      </c>
      <c r="W27" s="90">
        <v>0.01</v>
      </c>
      <c r="X27" s="90">
        <v>0.01</v>
      </c>
      <c r="Y27" s="90">
        <v>0.01</v>
      </c>
      <c r="Z27" s="90">
        <v>0.01</v>
      </c>
      <c r="AA27" s="90">
        <v>0.01</v>
      </c>
      <c r="AB27" s="90">
        <v>0.01</v>
      </c>
      <c r="AE27" s="74">
        <v>20</v>
      </c>
      <c r="AF27" s="90">
        <v>0.01</v>
      </c>
      <c r="AG27" s="90">
        <v>0.01</v>
      </c>
      <c r="AH27" s="90">
        <v>0.01</v>
      </c>
      <c r="AI27" s="90">
        <v>0.01</v>
      </c>
      <c r="AJ27" s="90">
        <v>0.01</v>
      </c>
      <c r="AK27" s="90">
        <v>0.01</v>
      </c>
      <c r="AL27" s="90">
        <v>0.01</v>
      </c>
      <c r="AM27" s="90">
        <v>0.01</v>
      </c>
      <c r="AN27" s="90">
        <v>0.01</v>
      </c>
      <c r="AO27" s="90">
        <v>0.01</v>
      </c>
      <c r="AP27" s="90">
        <v>0.01</v>
      </c>
      <c r="AQ27" s="90">
        <v>0.01</v>
      </c>
      <c r="AT27" s="74">
        <v>16</v>
      </c>
      <c r="AU27" s="90">
        <v>8.9999999999999993E-3</v>
      </c>
    </row>
    <row r="28" spans="1:47" x14ac:dyDescent="0.25">
      <c r="A28" s="74">
        <v>21</v>
      </c>
      <c r="B28" s="90">
        <v>1.0999999999999999E-2</v>
      </c>
      <c r="C28" s="90">
        <v>1.0999999999999999E-2</v>
      </c>
      <c r="D28" s="90">
        <v>1.0999999999999999E-2</v>
      </c>
      <c r="E28" s="90">
        <v>1.0999999999999999E-2</v>
      </c>
      <c r="F28" s="90">
        <v>1.0999999999999999E-2</v>
      </c>
      <c r="G28" s="90">
        <v>1.0999999999999999E-2</v>
      </c>
      <c r="H28" s="90">
        <v>1.0999999999999999E-2</v>
      </c>
      <c r="I28" s="90">
        <v>1.0999999999999999E-2</v>
      </c>
      <c r="J28" s="90">
        <v>1.0999999999999999E-2</v>
      </c>
      <c r="K28" s="90">
        <v>1.0999999999999999E-2</v>
      </c>
      <c r="L28" s="90">
        <v>1.0999999999999999E-2</v>
      </c>
      <c r="M28" s="90">
        <v>1.0999999999999999E-2</v>
      </c>
      <c r="P28" s="74">
        <v>21</v>
      </c>
      <c r="Q28" s="90">
        <v>1.0999999999999999E-2</v>
      </c>
      <c r="R28" s="90">
        <v>1.0999999999999999E-2</v>
      </c>
      <c r="S28" s="90">
        <v>1.0999999999999999E-2</v>
      </c>
      <c r="T28" s="90">
        <v>1.0999999999999999E-2</v>
      </c>
      <c r="U28" s="90">
        <v>1.0999999999999999E-2</v>
      </c>
      <c r="V28" s="90">
        <v>1.0999999999999999E-2</v>
      </c>
      <c r="W28" s="90">
        <v>1.0999999999999999E-2</v>
      </c>
      <c r="X28" s="90">
        <v>1.0999999999999999E-2</v>
      </c>
      <c r="Y28" s="90">
        <v>1.0999999999999999E-2</v>
      </c>
      <c r="Z28" s="90">
        <v>1.0999999999999999E-2</v>
      </c>
      <c r="AA28" s="90">
        <v>0.01</v>
      </c>
      <c r="AB28" s="90">
        <v>0.01</v>
      </c>
      <c r="AE28" s="74">
        <v>21</v>
      </c>
      <c r="AF28" s="90">
        <v>0.01</v>
      </c>
      <c r="AG28" s="90">
        <v>0.01</v>
      </c>
      <c r="AH28" s="90">
        <v>0.01</v>
      </c>
      <c r="AI28" s="90">
        <v>0.01</v>
      </c>
      <c r="AJ28" s="90">
        <v>0.01</v>
      </c>
      <c r="AK28" s="90">
        <v>0.01</v>
      </c>
      <c r="AL28" s="90">
        <v>0.01</v>
      </c>
      <c r="AM28" s="90">
        <v>0.01</v>
      </c>
      <c r="AN28" s="90">
        <v>0.01</v>
      </c>
      <c r="AO28" s="90">
        <v>0.01</v>
      </c>
      <c r="AP28" s="90">
        <v>0.01</v>
      </c>
      <c r="AQ28" s="90">
        <v>0.01</v>
      </c>
      <c r="AT28" s="74">
        <v>17</v>
      </c>
      <c r="AU28" s="90">
        <v>0.01</v>
      </c>
    </row>
    <row r="29" spans="1:47" x14ac:dyDescent="0.25">
      <c r="A29" s="74">
        <v>22</v>
      </c>
      <c r="B29" s="90">
        <v>1.0999999999999999E-2</v>
      </c>
      <c r="C29" s="90">
        <v>1.0999999999999999E-2</v>
      </c>
      <c r="D29" s="90">
        <v>1.0999999999999999E-2</v>
      </c>
      <c r="E29" s="90">
        <v>1.0999999999999999E-2</v>
      </c>
      <c r="F29" s="90">
        <v>1.0999999999999999E-2</v>
      </c>
      <c r="G29" s="90">
        <v>1.0999999999999999E-2</v>
      </c>
      <c r="H29" s="90">
        <v>1.0999999999999999E-2</v>
      </c>
      <c r="I29" s="90">
        <v>1.0999999999999999E-2</v>
      </c>
      <c r="J29" s="90">
        <v>1.0999999999999999E-2</v>
      </c>
      <c r="K29" s="90">
        <v>1.0999999999999999E-2</v>
      </c>
      <c r="L29" s="90">
        <v>1.0999999999999999E-2</v>
      </c>
      <c r="M29" s="90">
        <v>1.0999999999999999E-2</v>
      </c>
      <c r="P29" s="74">
        <v>22</v>
      </c>
      <c r="Q29" s="90">
        <v>1.0999999999999999E-2</v>
      </c>
      <c r="R29" s="90">
        <v>1.0999999999999999E-2</v>
      </c>
      <c r="S29" s="90">
        <v>1.0999999999999999E-2</v>
      </c>
      <c r="T29" s="90">
        <v>1.0999999999999999E-2</v>
      </c>
      <c r="U29" s="90">
        <v>1.0999999999999999E-2</v>
      </c>
      <c r="V29" s="90">
        <v>1.0999999999999999E-2</v>
      </c>
      <c r="W29" s="90">
        <v>1.0999999999999999E-2</v>
      </c>
      <c r="X29" s="90">
        <v>1.0999999999999999E-2</v>
      </c>
      <c r="Y29" s="90">
        <v>1.0999999999999999E-2</v>
      </c>
      <c r="Z29" s="90">
        <v>1.0999999999999999E-2</v>
      </c>
      <c r="AA29" s="90">
        <v>1.0999999999999999E-2</v>
      </c>
      <c r="AB29" s="90">
        <v>1.0999999999999999E-2</v>
      </c>
      <c r="AE29" s="74">
        <v>22</v>
      </c>
      <c r="AF29" s="90">
        <v>1.0999999999999999E-2</v>
      </c>
      <c r="AG29" s="90">
        <v>1.0999999999999999E-2</v>
      </c>
      <c r="AH29" s="90">
        <v>1.0999999999999999E-2</v>
      </c>
      <c r="AI29" s="90">
        <v>1.0999999999999999E-2</v>
      </c>
      <c r="AJ29" s="90">
        <v>1.0999999999999999E-2</v>
      </c>
      <c r="AK29" s="90">
        <v>1.0999999999999999E-2</v>
      </c>
      <c r="AL29" s="90">
        <v>1.0999999999999999E-2</v>
      </c>
      <c r="AM29" s="90">
        <v>0.01</v>
      </c>
      <c r="AN29" s="90">
        <v>0.01</v>
      </c>
      <c r="AO29" s="90">
        <v>0.01</v>
      </c>
      <c r="AP29" s="90">
        <v>0.01</v>
      </c>
      <c r="AQ29" s="90">
        <v>0.01</v>
      </c>
      <c r="AT29" s="74">
        <v>18</v>
      </c>
      <c r="AU29" s="90">
        <v>0.01</v>
      </c>
    </row>
    <row r="30" spans="1:47" x14ac:dyDescent="0.25">
      <c r="A30" s="74">
        <v>23</v>
      </c>
      <c r="B30" s="90">
        <v>1.0999999999999999E-2</v>
      </c>
      <c r="C30" s="90">
        <v>1.0999999999999999E-2</v>
      </c>
      <c r="D30" s="90">
        <v>1.0999999999999999E-2</v>
      </c>
      <c r="E30" s="90">
        <v>1.0999999999999999E-2</v>
      </c>
      <c r="F30" s="90">
        <v>1.0999999999999999E-2</v>
      </c>
      <c r="G30" s="90">
        <v>1.0999999999999999E-2</v>
      </c>
      <c r="H30" s="90">
        <v>1.0999999999999999E-2</v>
      </c>
      <c r="I30" s="90">
        <v>1.0999999999999999E-2</v>
      </c>
      <c r="J30" s="90">
        <v>1.0999999999999999E-2</v>
      </c>
      <c r="K30" s="90">
        <v>1.0999999999999999E-2</v>
      </c>
      <c r="L30" s="90">
        <v>1.0999999999999999E-2</v>
      </c>
      <c r="M30" s="90">
        <v>1.0999999999999999E-2</v>
      </c>
      <c r="P30" s="74">
        <v>23</v>
      </c>
      <c r="Q30" s="90">
        <v>1.0999999999999999E-2</v>
      </c>
      <c r="R30" s="90">
        <v>1.0999999999999999E-2</v>
      </c>
      <c r="S30" s="90">
        <v>1.0999999999999999E-2</v>
      </c>
      <c r="T30" s="90">
        <v>1.0999999999999999E-2</v>
      </c>
      <c r="U30" s="90">
        <v>1.0999999999999999E-2</v>
      </c>
      <c r="V30" s="90">
        <v>1.0999999999999999E-2</v>
      </c>
      <c r="W30" s="90">
        <v>1.0999999999999999E-2</v>
      </c>
      <c r="X30" s="90">
        <v>1.0999999999999999E-2</v>
      </c>
      <c r="Y30" s="90">
        <v>1.0999999999999999E-2</v>
      </c>
      <c r="Z30" s="90">
        <v>1.0999999999999999E-2</v>
      </c>
      <c r="AA30" s="90">
        <v>1.0999999999999999E-2</v>
      </c>
      <c r="AB30" s="90">
        <v>1.0999999999999999E-2</v>
      </c>
      <c r="AE30" s="74">
        <v>23</v>
      </c>
      <c r="AF30" s="90">
        <v>1.0999999999999999E-2</v>
      </c>
      <c r="AG30" s="90">
        <v>1.0999999999999999E-2</v>
      </c>
      <c r="AH30" s="90">
        <v>1.0999999999999999E-2</v>
      </c>
      <c r="AI30" s="90">
        <v>1.0999999999999999E-2</v>
      </c>
      <c r="AJ30" s="90">
        <v>1.0999999999999999E-2</v>
      </c>
      <c r="AK30" s="90">
        <v>1.0999999999999999E-2</v>
      </c>
      <c r="AL30" s="90">
        <v>1.0999999999999999E-2</v>
      </c>
      <c r="AM30" s="90">
        <v>1.0999999999999999E-2</v>
      </c>
      <c r="AN30" s="90">
        <v>1.0999999999999999E-2</v>
      </c>
      <c r="AO30" s="90">
        <v>1.0999999999999999E-2</v>
      </c>
      <c r="AP30" s="90">
        <v>1.0999999999999999E-2</v>
      </c>
      <c r="AQ30" s="90">
        <v>1.0999999999999999E-2</v>
      </c>
      <c r="AT30" s="74">
        <v>19</v>
      </c>
      <c r="AU30" s="90">
        <v>0.01</v>
      </c>
    </row>
    <row r="31" spans="1:47" x14ac:dyDescent="0.25">
      <c r="A31" s="74">
        <v>24</v>
      </c>
      <c r="B31" s="90">
        <v>1.0999999999999999E-2</v>
      </c>
      <c r="C31" s="90">
        <v>1.0999999999999999E-2</v>
      </c>
      <c r="D31" s="90">
        <v>1.0999999999999999E-2</v>
      </c>
      <c r="E31" s="90">
        <v>1.0999999999999999E-2</v>
      </c>
      <c r="F31" s="90">
        <v>1.0999999999999999E-2</v>
      </c>
      <c r="G31" s="90">
        <v>1.0999999999999999E-2</v>
      </c>
      <c r="H31" s="90">
        <v>1.0999999999999999E-2</v>
      </c>
      <c r="I31" s="90">
        <v>1.0999999999999999E-2</v>
      </c>
      <c r="J31" s="90">
        <v>1.0999999999999999E-2</v>
      </c>
      <c r="K31" s="90">
        <v>1.0999999999999999E-2</v>
      </c>
      <c r="L31" s="90">
        <v>1.0999999999999999E-2</v>
      </c>
      <c r="M31" s="90">
        <v>1.0999999999999999E-2</v>
      </c>
      <c r="P31" s="74">
        <v>24</v>
      </c>
      <c r="Q31" s="90">
        <v>1.0999999999999999E-2</v>
      </c>
      <c r="R31" s="90">
        <v>1.0999999999999999E-2</v>
      </c>
      <c r="S31" s="90">
        <v>1.0999999999999999E-2</v>
      </c>
      <c r="T31" s="90">
        <v>1.0999999999999999E-2</v>
      </c>
      <c r="U31" s="90">
        <v>1.0999999999999999E-2</v>
      </c>
      <c r="V31" s="90">
        <v>1.0999999999999999E-2</v>
      </c>
      <c r="W31" s="90">
        <v>1.0999999999999999E-2</v>
      </c>
      <c r="X31" s="90">
        <v>1.0999999999999999E-2</v>
      </c>
      <c r="Y31" s="90">
        <v>1.0999999999999999E-2</v>
      </c>
      <c r="Z31" s="90">
        <v>1.0999999999999999E-2</v>
      </c>
      <c r="AA31" s="90">
        <v>1.0999999999999999E-2</v>
      </c>
      <c r="AB31" s="90">
        <v>1.0999999999999999E-2</v>
      </c>
      <c r="AE31" s="74">
        <v>24</v>
      </c>
      <c r="AF31" s="90">
        <v>1.0999999999999999E-2</v>
      </c>
      <c r="AG31" s="90">
        <v>1.0999999999999999E-2</v>
      </c>
      <c r="AH31" s="90">
        <v>1.0999999999999999E-2</v>
      </c>
      <c r="AI31" s="90">
        <v>1.0999999999999999E-2</v>
      </c>
      <c r="AJ31" s="90">
        <v>1.0999999999999999E-2</v>
      </c>
      <c r="AK31" s="90">
        <v>1.0999999999999999E-2</v>
      </c>
      <c r="AL31" s="90">
        <v>1.0999999999999999E-2</v>
      </c>
      <c r="AM31" s="90">
        <v>1.0999999999999999E-2</v>
      </c>
      <c r="AN31" s="90">
        <v>1.0999999999999999E-2</v>
      </c>
      <c r="AO31" s="90">
        <v>1.0999999999999999E-2</v>
      </c>
      <c r="AP31" s="90">
        <v>1.0999999999999999E-2</v>
      </c>
      <c r="AQ31" s="90">
        <v>1.0999999999999999E-2</v>
      </c>
      <c r="AT31" s="74">
        <v>20</v>
      </c>
      <c r="AU31" s="90">
        <v>0.01</v>
      </c>
    </row>
    <row r="32" spans="1:47" x14ac:dyDescent="0.25">
      <c r="A32" s="74">
        <v>25</v>
      </c>
      <c r="B32" s="90">
        <v>1.2E-2</v>
      </c>
      <c r="C32" s="90">
        <v>1.2E-2</v>
      </c>
      <c r="D32" s="90">
        <v>1.2E-2</v>
      </c>
      <c r="E32" s="90">
        <v>1.2E-2</v>
      </c>
      <c r="F32" s="90">
        <v>1.2E-2</v>
      </c>
      <c r="G32" s="90">
        <v>1.2E-2</v>
      </c>
      <c r="H32" s="90">
        <v>1.2E-2</v>
      </c>
      <c r="I32" s="90">
        <v>1.2E-2</v>
      </c>
      <c r="J32" s="90">
        <v>1.0999999999999999E-2</v>
      </c>
      <c r="K32" s="90">
        <v>1.0999999999999999E-2</v>
      </c>
      <c r="L32" s="90">
        <v>1.0999999999999999E-2</v>
      </c>
      <c r="M32" s="90">
        <v>1.0999999999999999E-2</v>
      </c>
      <c r="P32" s="74">
        <v>25</v>
      </c>
      <c r="Q32" s="90">
        <v>1.0999999999999999E-2</v>
      </c>
      <c r="R32" s="90">
        <v>1.0999999999999999E-2</v>
      </c>
      <c r="S32" s="90">
        <v>1.0999999999999999E-2</v>
      </c>
      <c r="T32" s="90">
        <v>1.0999999999999999E-2</v>
      </c>
      <c r="U32" s="90">
        <v>1.0999999999999999E-2</v>
      </c>
      <c r="V32" s="90">
        <v>1.0999999999999999E-2</v>
      </c>
      <c r="W32" s="90">
        <v>1.0999999999999999E-2</v>
      </c>
      <c r="X32" s="90">
        <v>1.0999999999999999E-2</v>
      </c>
      <c r="Y32" s="90">
        <v>1.0999999999999999E-2</v>
      </c>
      <c r="Z32" s="90">
        <v>1.0999999999999999E-2</v>
      </c>
      <c r="AA32" s="90">
        <v>1.0999999999999999E-2</v>
      </c>
      <c r="AB32" s="90">
        <v>1.0999999999999999E-2</v>
      </c>
      <c r="AE32" s="74">
        <v>25</v>
      </c>
      <c r="AF32" s="90">
        <v>1.0999999999999999E-2</v>
      </c>
      <c r="AG32" s="90">
        <v>1.0999999999999999E-2</v>
      </c>
      <c r="AH32" s="90">
        <v>1.0999999999999999E-2</v>
      </c>
      <c r="AI32" s="90">
        <v>1.0999999999999999E-2</v>
      </c>
      <c r="AJ32" s="90">
        <v>1.0999999999999999E-2</v>
      </c>
      <c r="AK32" s="90">
        <v>1.0999999999999999E-2</v>
      </c>
      <c r="AL32" s="90">
        <v>1.0999999999999999E-2</v>
      </c>
      <c r="AM32" s="90">
        <v>1.0999999999999999E-2</v>
      </c>
      <c r="AN32" s="90">
        <v>1.0999999999999999E-2</v>
      </c>
      <c r="AO32" s="90">
        <v>1.0999999999999999E-2</v>
      </c>
      <c r="AP32" s="90">
        <v>1.0999999999999999E-2</v>
      </c>
      <c r="AQ32" s="90">
        <v>1.0999999999999999E-2</v>
      </c>
      <c r="AT32" s="74">
        <v>21</v>
      </c>
      <c r="AU32" s="90">
        <v>0.01</v>
      </c>
    </row>
    <row r="33" spans="1:47" x14ac:dyDescent="0.25">
      <c r="A33" s="74">
        <v>26</v>
      </c>
      <c r="B33" s="90">
        <v>1.2E-2</v>
      </c>
      <c r="C33" s="90">
        <v>1.2E-2</v>
      </c>
      <c r="D33" s="90">
        <v>1.2E-2</v>
      </c>
      <c r="E33" s="90">
        <v>1.2E-2</v>
      </c>
      <c r="F33" s="90">
        <v>1.2E-2</v>
      </c>
      <c r="G33" s="90">
        <v>1.2E-2</v>
      </c>
      <c r="H33" s="90">
        <v>1.2E-2</v>
      </c>
      <c r="I33" s="90">
        <v>1.2E-2</v>
      </c>
      <c r="J33" s="90">
        <v>1.2E-2</v>
      </c>
      <c r="K33" s="90">
        <v>1.2E-2</v>
      </c>
      <c r="L33" s="90">
        <v>1.2E-2</v>
      </c>
      <c r="M33" s="90">
        <v>1.2E-2</v>
      </c>
      <c r="P33" s="74">
        <v>26</v>
      </c>
      <c r="Q33" s="90">
        <v>1.2E-2</v>
      </c>
      <c r="R33" s="90">
        <v>1.2E-2</v>
      </c>
      <c r="S33" s="90">
        <v>1.2E-2</v>
      </c>
      <c r="T33" s="90">
        <v>1.2E-2</v>
      </c>
      <c r="U33" s="90">
        <v>1.2E-2</v>
      </c>
      <c r="V33" s="90">
        <v>1.2E-2</v>
      </c>
      <c r="W33" s="90">
        <v>1.0999999999999999E-2</v>
      </c>
      <c r="X33" s="90">
        <v>1.0999999999999999E-2</v>
      </c>
      <c r="Y33" s="90">
        <v>1.0999999999999999E-2</v>
      </c>
      <c r="Z33" s="90">
        <v>1.0999999999999999E-2</v>
      </c>
      <c r="AA33" s="90">
        <v>1.0999999999999999E-2</v>
      </c>
      <c r="AB33" s="90">
        <v>1.0999999999999999E-2</v>
      </c>
      <c r="AE33" s="74">
        <v>26</v>
      </c>
      <c r="AF33" s="90">
        <v>1.0999999999999999E-2</v>
      </c>
      <c r="AG33" s="90">
        <v>1.0999999999999999E-2</v>
      </c>
      <c r="AH33" s="90">
        <v>1.0999999999999999E-2</v>
      </c>
      <c r="AI33" s="90">
        <v>1.0999999999999999E-2</v>
      </c>
      <c r="AJ33" s="90">
        <v>1.0999999999999999E-2</v>
      </c>
      <c r="AK33" s="90">
        <v>1.0999999999999999E-2</v>
      </c>
      <c r="AL33" s="90">
        <v>1.0999999999999999E-2</v>
      </c>
      <c r="AM33" s="90">
        <v>1.0999999999999999E-2</v>
      </c>
      <c r="AN33" s="90">
        <v>1.0999999999999999E-2</v>
      </c>
      <c r="AO33" s="90">
        <v>1.0999999999999999E-2</v>
      </c>
      <c r="AP33" s="90">
        <v>1.0999999999999999E-2</v>
      </c>
      <c r="AQ33" s="90">
        <v>1.0999999999999999E-2</v>
      </c>
      <c r="AT33" s="74">
        <v>22</v>
      </c>
      <c r="AU33" s="90">
        <v>0.01</v>
      </c>
    </row>
    <row r="34" spans="1:47" x14ac:dyDescent="0.25">
      <c r="A34" s="74">
        <v>27</v>
      </c>
      <c r="B34" s="90">
        <v>1.2E-2</v>
      </c>
      <c r="C34" s="90">
        <v>1.2E-2</v>
      </c>
      <c r="D34" s="90">
        <v>1.2E-2</v>
      </c>
      <c r="E34" s="90">
        <v>1.2E-2</v>
      </c>
      <c r="F34" s="90">
        <v>1.2E-2</v>
      </c>
      <c r="G34" s="90">
        <v>1.2E-2</v>
      </c>
      <c r="H34" s="90">
        <v>1.2E-2</v>
      </c>
      <c r="I34" s="90">
        <v>1.2E-2</v>
      </c>
      <c r="J34" s="90">
        <v>1.2E-2</v>
      </c>
      <c r="K34" s="90">
        <v>1.2E-2</v>
      </c>
      <c r="L34" s="90">
        <v>1.2E-2</v>
      </c>
      <c r="M34" s="90">
        <v>1.2E-2</v>
      </c>
      <c r="P34" s="74">
        <v>27</v>
      </c>
      <c r="Q34" s="90">
        <v>1.2E-2</v>
      </c>
      <c r="R34" s="90">
        <v>1.2E-2</v>
      </c>
      <c r="S34" s="90">
        <v>1.2E-2</v>
      </c>
      <c r="T34" s="90">
        <v>1.2E-2</v>
      </c>
      <c r="U34" s="90">
        <v>1.2E-2</v>
      </c>
      <c r="V34" s="90">
        <v>1.2E-2</v>
      </c>
      <c r="W34" s="90">
        <v>1.2E-2</v>
      </c>
      <c r="X34" s="90">
        <v>1.2E-2</v>
      </c>
      <c r="Y34" s="90">
        <v>1.2E-2</v>
      </c>
      <c r="Z34" s="90">
        <v>1.2E-2</v>
      </c>
      <c r="AA34" s="90">
        <v>1.2E-2</v>
      </c>
      <c r="AB34" s="90">
        <v>1.2E-2</v>
      </c>
      <c r="AE34" s="74">
        <v>27</v>
      </c>
      <c r="AF34" s="90">
        <v>1.2E-2</v>
      </c>
      <c r="AG34" s="90">
        <v>1.2E-2</v>
      </c>
      <c r="AH34" s="90">
        <v>1.2E-2</v>
      </c>
      <c r="AI34" s="90">
        <v>1.0999999999999999E-2</v>
      </c>
      <c r="AJ34" s="90">
        <v>1.0999999999999999E-2</v>
      </c>
      <c r="AK34" s="90">
        <v>1.0999999999999999E-2</v>
      </c>
      <c r="AL34" s="90">
        <v>1.0999999999999999E-2</v>
      </c>
      <c r="AM34" s="90">
        <v>1.0999999999999999E-2</v>
      </c>
      <c r="AN34" s="90">
        <v>1.0999999999999999E-2</v>
      </c>
      <c r="AO34" s="90">
        <v>1.0999999999999999E-2</v>
      </c>
      <c r="AP34" s="90">
        <v>1.0999999999999999E-2</v>
      </c>
      <c r="AQ34" s="90">
        <v>1.0999999999999999E-2</v>
      </c>
      <c r="AT34" s="74">
        <v>23</v>
      </c>
      <c r="AU34" s="90">
        <v>1.0999999999999999E-2</v>
      </c>
    </row>
    <row r="35" spans="1:47" x14ac:dyDescent="0.25">
      <c r="A35" s="74">
        <v>28</v>
      </c>
      <c r="B35" s="90">
        <v>1.2E-2</v>
      </c>
      <c r="C35" s="90">
        <v>1.2E-2</v>
      </c>
      <c r="D35" s="90">
        <v>1.2E-2</v>
      </c>
      <c r="E35" s="90">
        <v>1.2E-2</v>
      </c>
      <c r="F35" s="90">
        <v>1.2E-2</v>
      </c>
      <c r="G35" s="90">
        <v>1.2E-2</v>
      </c>
      <c r="H35" s="90">
        <v>1.2E-2</v>
      </c>
      <c r="I35" s="90">
        <v>1.2E-2</v>
      </c>
      <c r="J35" s="90">
        <v>1.2E-2</v>
      </c>
      <c r="K35" s="90">
        <v>1.2E-2</v>
      </c>
      <c r="L35" s="90">
        <v>1.2E-2</v>
      </c>
      <c r="M35" s="90">
        <v>1.2E-2</v>
      </c>
      <c r="P35" s="74">
        <v>28</v>
      </c>
      <c r="Q35" s="90">
        <v>1.2E-2</v>
      </c>
      <c r="R35" s="90">
        <v>1.2E-2</v>
      </c>
      <c r="S35" s="90">
        <v>1.2E-2</v>
      </c>
      <c r="T35" s="90">
        <v>1.2E-2</v>
      </c>
      <c r="U35" s="90">
        <v>1.2E-2</v>
      </c>
      <c r="V35" s="90">
        <v>1.2E-2</v>
      </c>
      <c r="W35" s="90">
        <v>1.2E-2</v>
      </c>
      <c r="X35" s="90">
        <v>1.2E-2</v>
      </c>
      <c r="Y35" s="90">
        <v>1.2E-2</v>
      </c>
      <c r="Z35" s="90">
        <v>1.2E-2</v>
      </c>
      <c r="AA35" s="90">
        <v>1.2E-2</v>
      </c>
      <c r="AB35" s="90">
        <v>1.2E-2</v>
      </c>
      <c r="AE35" s="74">
        <v>28</v>
      </c>
      <c r="AF35" s="90">
        <v>1.2E-2</v>
      </c>
      <c r="AG35" s="90">
        <v>1.2E-2</v>
      </c>
      <c r="AH35" s="90">
        <v>1.2E-2</v>
      </c>
      <c r="AI35" s="90">
        <v>1.2E-2</v>
      </c>
      <c r="AJ35" s="90">
        <v>1.2E-2</v>
      </c>
      <c r="AK35" s="90">
        <v>1.2E-2</v>
      </c>
      <c r="AL35" s="90">
        <v>1.2E-2</v>
      </c>
      <c r="AM35" s="90">
        <v>1.2E-2</v>
      </c>
      <c r="AN35" s="90">
        <v>1.2E-2</v>
      </c>
      <c r="AO35" s="90">
        <v>1.2E-2</v>
      </c>
      <c r="AP35" s="90">
        <v>1.2E-2</v>
      </c>
      <c r="AQ35" s="90">
        <v>1.2E-2</v>
      </c>
      <c r="AT35" s="74">
        <v>24</v>
      </c>
      <c r="AU35" s="90">
        <v>1.0999999999999999E-2</v>
      </c>
    </row>
    <row r="36" spans="1:47" x14ac:dyDescent="0.25">
      <c r="A36" s="74">
        <v>29</v>
      </c>
      <c r="B36" s="90">
        <v>1.2E-2</v>
      </c>
      <c r="C36" s="90">
        <v>1.2E-2</v>
      </c>
      <c r="D36" s="90">
        <v>1.2E-2</v>
      </c>
      <c r="E36" s="90">
        <v>1.2E-2</v>
      </c>
      <c r="F36" s="90">
        <v>1.2E-2</v>
      </c>
      <c r="G36" s="90">
        <v>1.2E-2</v>
      </c>
      <c r="H36" s="90">
        <v>1.2E-2</v>
      </c>
      <c r="I36" s="90">
        <v>1.2E-2</v>
      </c>
      <c r="J36" s="90">
        <v>1.2E-2</v>
      </c>
      <c r="K36" s="90">
        <v>1.2E-2</v>
      </c>
      <c r="L36" s="90">
        <v>1.2E-2</v>
      </c>
      <c r="M36" s="90">
        <v>1.2E-2</v>
      </c>
      <c r="P36" s="74">
        <v>29</v>
      </c>
      <c r="Q36" s="90">
        <v>1.2E-2</v>
      </c>
      <c r="R36" s="90">
        <v>1.2E-2</v>
      </c>
      <c r="S36" s="90">
        <v>1.2E-2</v>
      </c>
      <c r="T36" s="90">
        <v>1.2E-2</v>
      </c>
      <c r="U36" s="90">
        <v>1.2E-2</v>
      </c>
      <c r="V36" s="90">
        <v>1.2E-2</v>
      </c>
      <c r="W36" s="90">
        <v>1.2E-2</v>
      </c>
      <c r="X36" s="90">
        <v>1.2E-2</v>
      </c>
      <c r="Y36" s="90">
        <v>1.2E-2</v>
      </c>
      <c r="Z36" s="90">
        <v>1.2E-2</v>
      </c>
      <c r="AA36" s="90">
        <v>1.2E-2</v>
      </c>
      <c r="AB36" s="90">
        <v>1.2E-2</v>
      </c>
      <c r="AE36" s="74">
        <v>29</v>
      </c>
      <c r="AF36" s="90">
        <v>1.2E-2</v>
      </c>
      <c r="AG36" s="90">
        <v>1.2E-2</v>
      </c>
      <c r="AH36" s="90">
        <v>1.2E-2</v>
      </c>
      <c r="AI36" s="90">
        <v>1.2E-2</v>
      </c>
      <c r="AJ36" s="90">
        <v>1.2E-2</v>
      </c>
      <c r="AK36" s="90">
        <v>1.2E-2</v>
      </c>
      <c r="AL36" s="90">
        <v>1.2E-2</v>
      </c>
      <c r="AM36" s="90">
        <v>1.2E-2</v>
      </c>
      <c r="AN36" s="90">
        <v>1.2E-2</v>
      </c>
      <c r="AO36" s="90">
        <v>1.2E-2</v>
      </c>
      <c r="AP36" s="90">
        <v>1.2E-2</v>
      </c>
      <c r="AQ36" s="90">
        <v>1.2E-2</v>
      </c>
      <c r="AT36" s="74">
        <v>25</v>
      </c>
      <c r="AU36" s="90">
        <v>1.0999999999999999E-2</v>
      </c>
    </row>
    <row r="37" spans="1:47" x14ac:dyDescent="0.25">
      <c r="A37" s="74">
        <v>30</v>
      </c>
      <c r="B37" s="90">
        <v>1.2999999999999999E-2</v>
      </c>
      <c r="C37" s="90">
        <v>1.2999999999999999E-2</v>
      </c>
      <c r="D37" s="90">
        <v>1.2999999999999999E-2</v>
      </c>
      <c r="E37" s="90">
        <v>1.2999999999999999E-2</v>
      </c>
      <c r="F37" s="90">
        <v>1.2999999999999999E-2</v>
      </c>
      <c r="G37" s="90">
        <v>1.2999999999999999E-2</v>
      </c>
      <c r="H37" s="90">
        <v>1.2999999999999999E-2</v>
      </c>
      <c r="I37" s="90">
        <v>1.2999999999999999E-2</v>
      </c>
      <c r="J37" s="90">
        <v>1.2E-2</v>
      </c>
      <c r="K37" s="90">
        <v>1.2E-2</v>
      </c>
      <c r="L37" s="90">
        <v>1.2E-2</v>
      </c>
      <c r="M37" s="90">
        <v>1.2E-2</v>
      </c>
      <c r="P37" s="74">
        <v>30</v>
      </c>
      <c r="Q37" s="90">
        <v>1.2E-2</v>
      </c>
      <c r="R37" s="90">
        <v>1.2E-2</v>
      </c>
      <c r="S37" s="90">
        <v>1.2E-2</v>
      </c>
      <c r="T37" s="90">
        <v>1.2E-2</v>
      </c>
      <c r="U37" s="90">
        <v>1.2E-2</v>
      </c>
      <c r="V37" s="90">
        <v>1.2E-2</v>
      </c>
      <c r="W37" s="90">
        <v>1.2E-2</v>
      </c>
      <c r="X37" s="90">
        <v>1.2E-2</v>
      </c>
      <c r="Y37" s="90">
        <v>1.2E-2</v>
      </c>
      <c r="Z37" s="90">
        <v>1.2E-2</v>
      </c>
      <c r="AA37" s="90">
        <v>1.2E-2</v>
      </c>
      <c r="AB37" s="90">
        <v>1.2E-2</v>
      </c>
      <c r="AE37" s="74">
        <v>30</v>
      </c>
      <c r="AF37" s="90">
        <v>1.2E-2</v>
      </c>
      <c r="AG37" s="90">
        <v>1.2E-2</v>
      </c>
      <c r="AH37" s="90">
        <v>1.2E-2</v>
      </c>
      <c r="AI37" s="90">
        <v>1.2E-2</v>
      </c>
      <c r="AJ37" s="90">
        <v>1.2E-2</v>
      </c>
      <c r="AK37" s="90">
        <v>1.2E-2</v>
      </c>
      <c r="AL37" s="90">
        <v>1.2E-2</v>
      </c>
      <c r="AM37" s="90">
        <v>1.2E-2</v>
      </c>
      <c r="AN37" s="90">
        <v>1.2E-2</v>
      </c>
      <c r="AO37" s="90">
        <v>1.2E-2</v>
      </c>
      <c r="AP37" s="90">
        <v>1.2E-2</v>
      </c>
      <c r="AQ37" s="90">
        <v>1.2E-2</v>
      </c>
      <c r="AT37" s="74">
        <v>26</v>
      </c>
      <c r="AU37" s="90">
        <v>1.0999999999999999E-2</v>
      </c>
    </row>
    <row r="38" spans="1:47" x14ac:dyDescent="0.25">
      <c r="A38" s="74">
        <v>31</v>
      </c>
      <c r="B38" s="90">
        <v>1.2999999999999999E-2</v>
      </c>
      <c r="C38" s="90">
        <v>1.2999999999999999E-2</v>
      </c>
      <c r="D38" s="90">
        <v>1.2999999999999999E-2</v>
      </c>
      <c r="E38" s="90">
        <v>1.2999999999999999E-2</v>
      </c>
      <c r="F38" s="90">
        <v>1.2999999999999999E-2</v>
      </c>
      <c r="G38" s="90">
        <v>1.2999999999999999E-2</v>
      </c>
      <c r="H38" s="90">
        <v>1.2999999999999999E-2</v>
      </c>
      <c r="I38" s="90">
        <v>1.2999999999999999E-2</v>
      </c>
      <c r="J38" s="90">
        <v>1.2999999999999999E-2</v>
      </c>
      <c r="K38" s="90">
        <v>1.2999999999999999E-2</v>
      </c>
      <c r="L38" s="90">
        <v>1.2999999999999999E-2</v>
      </c>
      <c r="M38" s="90">
        <v>1.2999999999999999E-2</v>
      </c>
      <c r="P38" s="74">
        <v>31</v>
      </c>
      <c r="Q38" s="90">
        <v>1.2999999999999999E-2</v>
      </c>
      <c r="R38" s="90">
        <v>1.2999999999999999E-2</v>
      </c>
      <c r="S38" s="90">
        <v>1.2999999999999999E-2</v>
      </c>
      <c r="T38" s="90">
        <v>1.2999999999999999E-2</v>
      </c>
      <c r="U38" s="90">
        <v>1.2999999999999999E-2</v>
      </c>
      <c r="V38" s="90">
        <v>1.2E-2</v>
      </c>
      <c r="W38" s="90">
        <v>1.2E-2</v>
      </c>
      <c r="X38" s="90">
        <v>1.2E-2</v>
      </c>
      <c r="Y38" s="90">
        <v>1.2E-2</v>
      </c>
      <c r="Z38" s="90">
        <v>1.2E-2</v>
      </c>
      <c r="AA38" s="90">
        <v>1.2E-2</v>
      </c>
      <c r="AB38" s="90">
        <v>1.2E-2</v>
      </c>
      <c r="AE38" s="74">
        <v>31</v>
      </c>
      <c r="AF38" s="90">
        <v>1.2E-2</v>
      </c>
      <c r="AG38" s="90">
        <v>1.2E-2</v>
      </c>
      <c r="AH38" s="90">
        <v>1.2E-2</v>
      </c>
      <c r="AI38" s="90">
        <v>1.2E-2</v>
      </c>
      <c r="AJ38" s="90">
        <v>1.2E-2</v>
      </c>
      <c r="AK38" s="90">
        <v>1.2E-2</v>
      </c>
      <c r="AL38" s="90">
        <v>1.2E-2</v>
      </c>
      <c r="AM38" s="90">
        <v>1.2E-2</v>
      </c>
      <c r="AN38" s="90">
        <v>1.2E-2</v>
      </c>
      <c r="AO38" s="90">
        <v>1.2E-2</v>
      </c>
      <c r="AP38" s="90">
        <v>1.2E-2</v>
      </c>
      <c r="AQ38" s="90">
        <v>1.2E-2</v>
      </c>
      <c r="AT38" s="74">
        <v>27</v>
      </c>
      <c r="AU38" s="90">
        <v>1.0999999999999999E-2</v>
      </c>
    </row>
    <row r="39" spans="1:47" x14ac:dyDescent="0.25">
      <c r="A39" s="74">
        <v>32</v>
      </c>
      <c r="B39" s="90">
        <v>1.2999999999999999E-2</v>
      </c>
      <c r="C39" s="90">
        <v>1.2999999999999999E-2</v>
      </c>
      <c r="D39" s="90">
        <v>1.2999999999999999E-2</v>
      </c>
      <c r="E39" s="90">
        <v>1.2999999999999999E-2</v>
      </c>
      <c r="F39" s="90">
        <v>1.2999999999999999E-2</v>
      </c>
      <c r="G39" s="90">
        <v>1.2999999999999999E-2</v>
      </c>
      <c r="H39" s="90">
        <v>1.2999999999999999E-2</v>
      </c>
      <c r="I39" s="90">
        <v>1.2999999999999999E-2</v>
      </c>
      <c r="J39" s="90">
        <v>1.2999999999999999E-2</v>
      </c>
      <c r="K39" s="90">
        <v>1.2999999999999999E-2</v>
      </c>
      <c r="L39" s="90">
        <v>1.2999999999999999E-2</v>
      </c>
      <c r="M39" s="90">
        <v>1.2999999999999999E-2</v>
      </c>
      <c r="P39" s="74">
        <v>32</v>
      </c>
      <c r="Q39" s="90">
        <v>1.2999999999999999E-2</v>
      </c>
      <c r="R39" s="90">
        <v>1.2999999999999999E-2</v>
      </c>
      <c r="S39" s="90">
        <v>1.2999999999999999E-2</v>
      </c>
      <c r="T39" s="90">
        <v>1.2999999999999999E-2</v>
      </c>
      <c r="U39" s="90">
        <v>1.2999999999999999E-2</v>
      </c>
      <c r="V39" s="90">
        <v>1.2999999999999999E-2</v>
      </c>
      <c r="W39" s="90">
        <v>1.2999999999999999E-2</v>
      </c>
      <c r="X39" s="90">
        <v>1.2999999999999999E-2</v>
      </c>
      <c r="Y39" s="90">
        <v>1.2999999999999999E-2</v>
      </c>
      <c r="Z39" s="90">
        <v>1.2999999999999999E-2</v>
      </c>
      <c r="AA39" s="90">
        <v>1.2999999999999999E-2</v>
      </c>
      <c r="AB39" s="90">
        <v>1.2999999999999999E-2</v>
      </c>
      <c r="AE39" s="74">
        <v>32</v>
      </c>
      <c r="AF39" s="90">
        <v>1.2999999999999999E-2</v>
      </c>
      <c r="AG39" s="90">
        <v>1.2999999999999999E-2</v>
      </c>
      <c r="AH39" s="90">
        <v>1.2E-2</v>
      </c>
      <c r="AI39" s="90">
        <v>1.2E-2</v>
      </c>
      <c r="AJ39" s="90">
        <v>1.2E-2</v>
      </c>
      <c r="AK39" s="90">
        <v>1.2E-2</v>
      </c>
      <c r="AL39" s="90">
        <v>1.2E-2</v>
      </c>
      <c r="AM39" s="90">
        <v>1.2E-2</v>
      </c>
      <c r="AN39" s="90">
        <v>1.2E-2</v>
      </c>
      <c r="AO39" s="90">
        <v>1.2E-2</v>
      </c>
      <c r="AP39" s="90">
        <v>1.2E-2</v>
      </c>
      <c r="AQ39" s="90">
        <v>1.2E-2</v>
      </c>
      <c r="AT39" s="74">
        <v>28</v>
      </c>
      <c r="AU39" s="90">
        <v>1.0999999999999999E-2</v>
      </c>
    </row>
    <row r="40" spans="1:47" x14ac:dyDescent="0.25">
      <c r="A40" s="74">
        <v>33</v>
      </c>
      <c r="B40" s="90">
        <v>1.2999999999999999E-2</v>
      </c>
      <c r="C40" s="90">
        <v>1.2999999999999999E-2</v>
      </c>
      <c r="D40" s="90">
        <v>1.2999999999999999E-2</v>
      </c>
      <c r="E40" s="90">
        <v>1.2999999999999999E-2</v>
      </c>
      <c r="F40" s="90">
        <v>1.2999999999999999E-2</v>
      </c>
      <c r="G40" s="90">
        <v>1.2999999999999999E-2</v>
      </c>
      <c r="H40" s="90">
        <v>1.2999999999999999E-2</v>
      </c>
      <c r="I40" s="90">
        <v>1.2999999999999999E-2</v>
      </c>
      <c r="J40" s="90">
        <v>1.2999999999999999E-2</v>
      </c>
      <c r="K40" s="90">
        <v>1.2999999999999999E-2</v>
      </c>
      <c r="L40" s="90">
        <v>1.2999999999999999E-2</v>
      </c>
      <c r="M40" s="90">
        <v>1.2999999999999999E-2</v>
      </c>
      <c r="P40" s="74">
        <v>33</v>
      </c>
      <c r="Q40" s="90">
        <v>1.2999999999999999E-2</v>
      </c>
      <c r="R40" s="90">
        <v>1.2999999999999999E-2</v>
      </c>
      <c r="S40" s="90">
        <v>1.2999999999999999E-2</v>
      </c>
      <c r="T40" s="90">
        <v>1.2999999999999999E-2</v>
      </c>
      <c r="U40" s="90">
        <v>1.2999999999999999E-2</v>
      </c>
      <c r="V40" s="90">
        <v>1.2999999999999999E-2</v>
      </c>
      <c r="W40" s="90">
        <v>1.2999999999999999E-2</v>
      </c>
      <c r="X40" s="90">
        <v>1.2999999999999999E-2</v>
      </c>
      <c r="Y40" s="90">
        <v>1.2999999999999999E-2</v>
      </c>
      <c r="Z40" s="90">
        <v>1.2999999999999999E-2</v>
      </c>
      <c r="AA40" s="90">
        <v>1.2999999999999999E-2</v>
      </c>
      <c r="AB40" s="90">
        <v>1.2999999999999999E-2</v>
      </c>
      <c r="AE40" s="74">
        <v>33</v>
      </c>
      <c r="AF40" s="90">
        <v>1.2999999999999999E-2</v>
      </c>
      <c r="AG40" s="90">
        <v>1.2999999999999999E-2</v>
      </c>
      <c r="AH40" s="90">
        <v>1.2999999999999999E-2</v>
      </c>
      <c r="AI40" s="90">
        <v>1.2999999999999999E-2</v>
      </c>
      <c r="AJ40" s="90">
        <v>1.2999999999999999E-2</v>
      </c>
      <c r="AK40" s="90">
        <v>1.2999999999999999E-2</v>
      </c>
      <c r="AL40" s="90">
        <v>1.2999999999999999E-2</v>
      </c>
      <c r="AM40" s="90">
        <v>1.2999999999999999E-2</v>
      </c>
      <c r="AN40" s="90">
        <v>1.2999999999999999E-2</v>
      </c>
      <c r="AO40" s="90">
        <v>1.2999999999999999E-2</v>
      </c>
      <c r="AP40" s="90">
        <v>1.2999999999999999E-2</v>
      </c>
      <c r="AQ40" s="90">
        <v>1.2E-2</v>
      </c>
      <c r="AT40" s="74">
        <v>29</v>
      </c>
      <c r="AU40" s="90">
        <v>1.2E-2</v>
      </c>
    </row>
    <row r="41" spans="1:47" x14ac:dyDescent="0.25">
      <c r="A41" s="74">
        <v>34</v>
      </c>
      <c r="B41" s="90">
        <v>1.4E-2</v>
      </c>
      <c r="C41" s="90">
        <v>1.4E-2</v>
      </c>
      <c r="D41" s="90">
        <v>1.2999999999999999E-2</v>
      </c>
      <c r="E41" s="90">
        <v>1.2999999999999999E-2</v>
      </c>
      <c r="F41" s="90">
        <v>1.2999999999999999E-2</v>
      </c>
      <c r="G41" s="90">
        <v>1.2999999999999999E-2</v>
      </c>
      <c r="H41" s="90">
        <v>1.2999999999999999E-2</v>
      </c>
      <c r="I41" s="90">
        <v>1.2999999999999999E-2</v>
      </c>
      <c r="J41" s="90">
        <v>1.2999999999999999E-2</v>
      </c>
      <c r="K41" s="90">
        <v>1.2999999999999999E-2</v>
      </c>
      <c r="L41" s="90">
        <v>1.2999999999999999E-2</v>
      </c>
      <c r="M41" s="90">
        <v>1.2999999999999999E-2</v>
      </c>
      <c r="P41" s="74">
        <v>34</v>
      </c>
      <c r="Q41" s="90">
        <v>1.2999999999999999E-2</v>
      </c>
      <c r="R41" s="90">
        <v>1.2999999999999999E-2</v>
      </c>
      <c r="S41" s="90">
        <v>1.2999999999999999E-2</v>
      </c>
      <c r="T41" s="90">
        <v>1.2999999999999999E-2</v>
      </c>
      <c r="U41" s="90">
        <v>1.2999999999999999E-2</v>
      </c>
      <c r="V41" s="90">
        <v>1.2999999999999999E-2</v>
      </c>
      <c r="W41" s="90">
        <v>1.2999999999999999E-2</v>
      </c>
      <c r="X41" s="90">
        <v>1.2999999999999999E-2</v>
      </c>
      <c r="Y41" s="90">
        <v>1.2999999999999999E-2</v>
      </c>
      <c r="Z41" s="90">
        <v>1.2999999999999999E-2</v>
      </c>
      <c r="AA41" s="90">
        <v>1.2999999999999999E-2</v>
      </c>
      <c r="AB41" s="90">
        <v>1.2999999999999999E-2</v>
      </c>
      <c r="AE41" s="74">
        <v>34</v>
      </c>
      <c r="AF41" s="90">
        <v>1.2999999999999999E-2</v>
      </c>
      <c r="AG41" s="90">
        <v>1.2999999999999999E-2</v>
      </c>
      <c r="AH41" s="90">
        <v>1.2999999999999999E-2</v>
      </c>
      <c r="AI41" s="90">
        <v>1.2999999999999999E-2</v>
      </c>
      <c r="AJ41" s="90">
        <v>1.2999999999999999E-2</v>
      </c>
      <c r="AK41" s="90">
        <v>1.2999999999999999E-2</v>
      </c>
      <c r="AL41" s="90">
        <v>1.2999999999999999E-2</v>
      </c>
      <c r="AM41" s="90">
        <v>1.2999999999999999E-2</v>
      </c>
      <c r="AN41" s="90">
        <v>1.2999999999999999E-2</v>
      </c>
      <c r="AO41" s="90">
        <v>1.2999999999999999E-2</v>
      </c>
      <c r="AP41" s="90">
        <v>1.2999999999999999E-2</v>
      </c>
      <c r="AQ41" s="90">
        <v>1.2999999999999999E-2</v>
      </c>
      <c r="AT41" s="74">
        <v>30</v>
      </c>
      <c r="AU41" s="90">
        <v>1.2E-2</v>
      </c>
    </row>
    <row r="42" spans="1:47" x14ac:dyDescent="0.25">
      <c r="A42" s="74">
        <v>35</v>
      </c>
      <c r="B42" s="90">
        <v>1.4E-2</v>
      </c>
      <c r="C42" s="90">
        <v>1.4E-2</v>
      </c>
      <c r="D42" s="90">
        <v>1.4E-2</v>
      </c>
      <c r="E42" s="90">
        <v>1.4E-2</v>
      </c>
      <c r="F42" s="90">
        <v>1.4E-2</v>
      </c>
      <c r="G42" s="90">
        <v>1.4E-2</v>
      </c>
      <c r="H42" s="90">
        <v>1.4E-2</v>
      </c>
      <c r="I42" s="90">
        <v>1.4E-2</v>
      </c>
      <c r="J42" s="90">
        <v>1.4E-2</v>
      </c>
      <c r="K42" s="90">
        <v>1.4E-2</v>
      </c>
      <c r="L42" s="90">
        <v>1.4E-2</v>
      </c>
      <c r="M42" s="90">
        <v>1.4E-2</v>
      </c>
      <c r="P42" s="74">
        <v>35</v>
      </c>
      <c r="Q42" s="90">
        <v>1.2999999999999999E-2</v>
      </c>
      <c r="R42" s="90">
        <v>1.2999999999999999E-2</v>
      </c>
      <c r="S42" s="90">
        <v>1.2999999999999999E-2</v>
      </c>
      <c r="T42" s="90">
        <v>1.2999999999999999E-2</v>
      </c>
      <c r="U42" s="90">
        <v>1.2999999999999999E-2</v>
      </c>
      <c r="V42" s="90">
        <v>1.2999999999999999E-2</v>
      </c>
      <c r="W42" s="90">
        <v>1.2999999999999999E-2</v>
      </c>
      <c r="X42" s="90">
        <v>1.2999999999999999E-2</v>
      </c>
      <c r="Y42" s="90">
        <v>1.2999999999999999E-2</v>
      </c>
      <c r="Z42" s="90">
        <v>1.2999999999999999E-2</v>
      </c>
      <c r="AA42" s="90">
        <v>1.2999999999999999E-2</v>
      </c>
      <c r="AB42" s="90">
        <v>1.2999999999999999E-2</v>
      </c>
      <c r="AE42" s="74">
        <v>35</v>
      </c>
      <c r="AF42" s="90">
        <v>1.2999999999999999E-2</v>
      </c>
      <c r="AG42" s="90">
        <v>1.2999999999999999E-2</v>
      </c>
      <c r="AH42" s="90">
        <v>1.2999999999999999E-2</v>
      </c>
      <c r="AI42" s="90">
        <v>1.2999999999999999E-2</v>
      </c>
      <c r="AJ42" s="90">
        <v>1.2999999999999999E-2</v>
      </c>
      <c r="AK42" s="90">
        <v>1.2999999999999999E-2</v>
      </c>
      <c r="AL42" s="90">
        <v>1.2999999999999999E-2</v>
      </c>
      <c r="AM42" s="90">
        <v>1.2999999999999999E-2</v>
      </c>
      <c r="AN42" s="90">
        <v>1.2999999999999999E-2</v>
      </c>
      <c r="AO42" s="90">
        <v>1.2999999999999999E-2</v>
      </c>
      <c r="AP42" s="90">
        <v>1.2999999999999999E-2</v>
      </c>
      <c r="AQ42" s="90">
        <v>1.2999999999999999E-2</v>
      </c>
      <c r="AT42" s="74">
        <v>31</v>
      </c>
      <c r="AU42" s="90">
        <v>1.2E-2</v>
      </c>
    </row>
    <row r="43" spans="1:47" x14ac:dyDescent="0.25">
      <c r="A43" s="74">
        <v>36</v>
      </c>
      <c r="B43" s="90">
        <v>1.4E-2</v>
      </c>
      <c r="C43" s="90">
        <v>1.4E-2</v>
      </c>
      <c r="D43" s="90">
        <v>1.4E-2</v>
      </c>
      <c r="E43" s="90">
        <v>1.4E-2</v>
      </c>
      <c r="F43" s="90">
        <v>1.4E-2</v>
      </c>
      <c r="G43" s="90">
        <v>1.4E-2</v>
      </c>
      <c r="H43" s="90">
        <v>1.4E-2</v>
      </c>
      <c r="I43" s="90">
        <v>1.4E-2</v>
      </c>
      <c r="J43" s="90">
        <v>1.4E-2</v>
      </c>
      <c r="K43" s="90">
        <v>1.4E-2</v>
      </c>
      <c r="L43" s="90">
        <v>1.4E-2</v>
      </c>
      <c r="M43" s="90">
        <v>1.4E-2</v>
      </c>
      <c r="P43" s="74">
        <v>36</v>
      </c>
      <c r="Q43" s="90">
        <v>1.4E-2</v>
      </c>
      <c r="R43" s="90">
        <v>1.4E-2</v>
      </c>
      <c r="S43" s="90">
        <v>1.4E-2</v>
      </c>
      <c r="T43" s="90">
        <v>1.4E-2</v>
      </c>
      <c r="U43" s="90">
        <v>1.4E-2</v>
      </c>
      <c r="V43" s="90">
        <v>1.4E-2</v>
      </c>
      <c r="W43" s="90">
        <v>1.4E-2</v>
      </c>
      <c r="X43" s="90">
        <v>1.4E-2</v>
      </c>
      <c r="Y43" s="90">
        <v>1.4E-2</v>
      </c>
      <c r="Z43" s="90">
        <v>1.2999999999999999E-2</v>
      </c>
      <c r="AA43" s="90">
        <v>1.2999999999999999E-2</v>
      </c>
      <c r="AB43" s="90">
        <v>1.2999999999999999E-2</v>
      </c>
      <c r="AE43" s="74">
        <v>36</v>
      </c>
      <c r="AF43" s="90">
        <v>1.2999999999999999E-2</v>
      </c>
      <c r="AG43" s="90">
        <v>1.2999999999999999E-2</v>
      </c>
      <c r="AH43" s="90">
        <v>1.2999999999999999E-2</v>
      </c>
      <c r="AI43" s="90">
        <v>1.2999999999999999E-2</v>
      </c>
      <c r="AJ43" s="90">
        <v>1.2999999999999999E-2</v>
      </c>
      <c r="AK43" s="90">
        <v>1.2999999999999999E-2</v>
      </c>
      <c r="AL43" s="90">
        <v>1.2999999999999999E-2</v>
      </c>
      <c r="AM43" s="90">
        <v>1.2999999999999999E-2</v>
      </c>
      <c r="AN43" s="90">
        <v>1.2999999999999999E-2</v>
      </c>
      <c r="AO43" s="90">
        <v>1.2999999999999999E-2</v>
      </c>
      <c r="AP43" s="90">
        <v>1.2999999999999999E-2</v>
      </c>
      <c r="AQ43" s="90">
        <v>1.2999999999999999E-2</v>
      </c>
      <c r="AT43" s="74">
        <v>32</v>
      </c>
      <c r="AU43" s="90">
        <v>1.2E-2</v>
      </c>
    </row>
    <row r="44" spans="1:47" x14ac:dyDescent="0.25">
      <c r="A44" s="74">
        <v>37</v>
      </c>
      <c r="B44" s="90">
        <v>1.4E-2</v>
      </c>
      <c r="C44" s="90">
        <v>1.4E-2</v>
      </c>
      <c r="D44" s="90">
        <v>1.4E-2</v>
      </c>
      <c r="E44" s="90">
        <v>1.4E-2</v>
      </c>
      <c r="F44" s="90">
        <v>1.4E-2</v>
      </c>
      <c r="G44" s="90">
        <v>1.4E-2</v>
      </c>
      <c r="H44" s="90">
        <v>1.4E-2</v>
      </c>
      <c r="I44" s="90">
        <v>1.4E-2</v>
      </c>
      <c r="J44" s="90">
        <v>1.4E-2</v>
      </c>
      <c r="K44" s="90">
        <v>1.4E-2</v>
      </c>
      <c r="L44" s="90">
        <v>1.4E-2</v>
      </c>
      <c r="M44" s="90">
        <v>1.4E-2</v>
      </c>
      <c r="P44" s="74">
        <v>37</v>
      </c>
      <c r="Q44" s="90">
        <v>1.4E-2</v>
      </c>
      <c r="R44" s="90">
        <v>1.4E-2</v>
      </c>
      <c r="S44" s="90">
        <v>1.4E-2</v>
      </c>
      <c r="T44" s="90">
        <v>1.4E-2</v>
      </c>
      <c r="U44" s="90">
        <v>1.4E-2</v>
      </c>
      <c r="V44" s="90">
        <v>1.4E-2</v>
      </c>
      <c r="W44" s="90">
        <v>1.4E-2</v>
      </c>
      <c r="X44" s="90">
        <v>1.4E-2</v>
      </c>
      <c r="Y44" s="90">
        <v>1.4E-2</v>
      </c>
      <c r="Z44" s="90">
        <v>1.4E-2</v>
      </c>
      <c r="AA44" s="90">
        <v>1.4E-2</v>
      </c>
      <c r="AB44" s="90">
        <v>1.4E-2</v>
      </c>
      <c r="AE44" s="74">
        <v>37</v>
      </c>
      <c r="AF44" s="90">
        <v>1.4E-2</v>
      </c>
      <c r="AG44" s="90">
        <v>1.4E-2</v>
      </c>
      <c r="AH44" s="90">
        <v>1.4E-2</v>
      </c>
      <c r="AI44" s="90">
        <v>1.4E-2</v>
      </c>
      <c r="AJ44" s="90">
        <v>1.4E-2</v>
      </c>
      <c r="AK44" s="90">
        <v>1.4E-2</v>
      </c>
      <c r="AL44" s="90">
        <v>1.2999999999999999E-2</v>
      </c>
      <c r="AM44" s="90">
        <v>1.2999999999999999E-2</v>
      </c>
      <c r="AN44" s="90">
        <v>1.2999999999999999E-2</v>
      </c>
      <c r="AO44" s="90">
        <v>1.2999999999999999E-2</v>
      </c>
      <c r="AP44" s="90">
        <v>1.2999999999999999E-2</v>
      </c>
      <c r="AQ44" s="90">
        <v>1.2999999999999999E-2</v>
      </c>
      <c r="AT44" s="74">
        <v>33</v>
      </c>
      <c r="AU44" s="90">
        <v>1.2E-2</v>
      </c>
    </row>
    <row r="45" spans="1:47" x14ac:dyDescent="0.25">
      <c r="A45" s="74">
        <v>38</v>
      </c>
      <c r="B45" s="90">
        <v>1.4E-2</v>
      </c>
      <c r="C45" s="90">
        <v>1.4E-2</v>
      </c>
      <c r="D45" s="90">
        <v>1.4E-2</v>
      </c>
      <c r="E45" s="90">
        <v>1.4E-2</v>
      </c>
      <c r="F45" s="90">
        <v>1.4E-2</v>
      </c>
      <c r="G45" s="90">
        <v>1.4E-2</v>
      </c>
      <c r="H45" s="90">
        <v>1.4E-2</v>
      </c>
      <c r="I45" s="90">
        <v>1.4E-2</v>
      </c>
      <c r="J45" s="90">
        <v>1.4E-2</v>
      </c>
      <c r="K45" s="90">
        <v>1.4E-2</v>
      </c>
      <c r="L45" s="90">
        <v>1.4E-2</v>
      </c>
      <c r="M45" s="90">
        <v>1.4E-2</v>
      </c>
      <c r="P45" s="74">
        <v>38</v>
      </c>
      <c r="Q45" s="90">
        <v>1.4E-2</v>
      </c>
      <c r="R45" s="90">
        <v>1.4E-2</v>
      </c>
      <c r="S45" s="90">
        <v>1.4E-2</v>
      </c>
      <c r="T45" s="90">
        <v>1.4E-2</v>
      </c>
      <c r="U45" s="90">
        <v>1.4E-2</v>
      </c>
      <c r="V45" s="90">
        <v>1.4E-2</v>
      </c>
      <c r="W45" s="90">
        <v>1.4E-2</v>
      </c>
      <c r="X45" s="90">
        <v>1.4E-2</v>
      </c>
      <c r="Y45" s="90">
        <v>1.4E-2</v>
      </c>
      <c r="Z45" s="90">
        <v>1.4E-2</v>
      </c>
      <c r="AA45" s="90">
        <v>1.4E-2</v>
      </c>
      <c r="AB45" s="90">
        <v>1.4E-2</v>
      </c>
      <c r="AE45" s="74">
        <v>38</v>
      </c>
      <c r="AF45" s="90">
        <v>1.4E-2</v>
      </c>
      <c r="AG45" s="90">
        <v>1.4E-2</v>
      </c>
      <c r="AH45" s="90">
        <v>1.4E-2</v>
      </c>
      <c r="AI45" s="90">
        <v>1.4E-2</v>
      </c>
      <c r="AJ45" s="90">
        <v>1.4E-2</v>
      </c>
      <c r="AK45" s="90">
        <v>1.4E-2</v>
      </c>
      <c r="AL45" s="90">
        <v>1.4E-2</v>
      </c>
      <c r="AM45" s="90">
        <v>1.4E-2</v>
      </c>
      <c r="AN45" s="90">
        <v>1.4E-2</v>
      </c>
      <c r="AO45" s="90">
        <v>1.4E-2</v>
      </c>
      <c r="AP45" s="90">
        <v>1.4E-2</v>
      </c>
      <c r="AQ45" s="90">
        <v>1.4E-2</v>
      </c>
      <c r="AT45" s="74">
        <v>34</v>
      </c>
      <c r="AU45" s="90">
        <v>1.2999999999999999E-2</v>
      </c>
    </row>
    <row r="46" spans="1:47" x14ac:dyDescent="0.25">
      <c r="A46" s="74">
        <v>39</v>
      </c>
      <c r="B46" s="90">
        <v>1.4999999999999999E-2</v>
      </c>
      <c r="C46" s="90">
        <v>1.4999999999999999E-2</v>
      </c>
      <c r="D46" s="90">
        <v>1.4999999999999999E-2</v>
      </c>
      <c r="E46" s="90">
        <v>1.4999999999999999E-2</v>
      </c>
      <c r="F46" s="90">
        <v>1.4999999999999999E-2</v>
      </c>
      <c r="G46" s="90">
        <v>1.4999999999999999E-2</v>
      </c>
      <c r="H46" s="90">
        <v>1.4999999999999999E-2</v>
      </c>
      <c r="I46" s="90">
        <v>1.4999999999999999E-2</v>
      </c>
      <c r="J46" s="90">
        <v>1.4999999999999999E-2</v>
      </c>
      <c r="K46" s="90">
        <v>1.4999999999999999E-2</v>
      </c>
      <c r="L46" s="90">
        <v>1.4E-2</v>
      </c>
      <c r="M46" s="90">
        <v>1.4E-2</v>
      </c>
      <c r="P46" s="74">
        <v>39</v>
      </c>
      <c r="Q46" s="90">
        <v>1.4E-2</v>
      </c>
      <c r="R46" s="90">
        <v>1.4E-2</v>
      </c>
      <c r="S46" s="90">
        <v>1.4E-2</v>
      </c>
      <c r="T46" s="90">
        <v>1.4E-2</v>
      </c>
      <c r="U46" s="90">
        <v>1.4E-2</v>
      </c>
      <c r="V46" s="90">
        <v>1.4E-2</v>
      </c>
      <c r="W46" s="90">
        <v>1.4E-2</v>
      </c>
      <c r="X46" s="90">
        <v>1.4E-2</v>
      </c>
      <c r="Y46" s="90">
        <v>1.4E-2</v>
      </c>
      <c r="Z46" s="90">
        <v>1.4E-2</v>
      </c>
      <c r="AA46" s="90">
        <v>1.4E-2</v>
      </c>
      <c r="AB46" s="90">
        <v>1.4E-2</v>
      </c>
      <c r="AE46" s="74">
        <v>39</v>
      </c>
      <c r="AF46" s="90">
        <v>1.4E-2</v>
      </c>
      <c r="AG46" s="90">
        <v>1.4E-2</v>
      </c>
      <c r="AH46" s="90">
        <v>1.4E-2</v>
      </c>
      <c r="AI46" s="90">
        <v>1.4E-2</v>
      </c>
      <c r="AJ46" s="90">
        <v>1.4E-2</v>
      </c>
      <c r="AK46" s="90">
        <v>1.4E-2</v>
      </c>
      <c r="AL46" s="90">
        <v>1.4E-2</v>
      </c>
      <c r="AM46" s="90">
        <v>1.4E-2</v>
      </c>
      <c r="AN46" s="90">
        <v>1.4E-2</v>
      </c>
      <c r="AO46" s="90">
        <v>1.4E-2</v>
      </c>
      <c r="AP46" s="90">
        <v>1.4E-2</v>
      </c>
      <c r="AQ46" s="90">
        <v>1.4E-2</v>
      </c>
      <c r="AT46" s="74">
        <v>35</v>
      </c>
      <c r="AU46" s="90">
        <v>1.2999999999999999E-2</v>
      </c>
    </row>
    <row r="47" spans="1:47" x14ac:dyDescent="0.25">
      <c r="A47" s="74">
        <v>40</v>
      </c>
      <c r="B47" s="90">
        <v>1.4999999999999999E-2</v>
      </c>
      <c r="C47" s="90">
        <v>1.4999999999999999E-2</v>
      </c>
      <c r="D47" s="90">
        <v>1.4999999999999999E-2</v>
      </c>
      <c r="E47" s="90">
        <v>1.4999999999999999E-2</v>
      </c>
      <c r="F47" s="90">
        <v>1.4999999999999999E-2</v>
      </c>
      <c r="G47" s="90">
        <v>1.4999999999999999E-2</v>
      </c>
      <c r="H47" s="90">
        <v>1.4999999999999999E-2</v>
      </c>
      <c r="I47" s="90">
        <v>1.4999999999999999E-2</v>
      </c>
      <c r="J47" s="90">
        <v>1.4999999999999999E-2</v>
      </c>
      <c r="K47" s="90">
        <v>1.4999999999999999E-2</v>
      </c>
      <c r="L47" s="90">
        <v>1.4999999999999999E-2</v>
      </c>
      <c r="M47" s="90">
        <v>1.4999999999999999E-2</v>
      </c>
      <c r="P47" s="74">
        <v>40</v>
      </c>
      <c r="Q47" s="90">
        <v>1.4999999999999999E-2</v>
      </c>
      <c r="R47" s="90">
        <v>1.4999999999999999E-2</v>
      </c>
      <c r="S47" s="90">
        <v>1.4999999999999999E-2</v>
      </c>
      <c r="T47" s="90">
        <v>1.4999999999999999E-2</v>
      </c>
      <c r="U47" s="90">
        <v>1.4999999999999999E-2</v>
      </c>
      <c r="V47" s="90">
        <v>1.4999999999999999E-2</v>
      </c>
      <c r="W47" s="90">
        <v>1.4999999999999999E-2</v>
      </c>
      <c r="X47" s="90">
        <v>1.4E-2</v>
      </c>
      <c r="Y47" s="90">
        <v>1.4E-2</v>
      </c>
      <c r="Z47" s="90">
        <v>1.4E-2</v>
      </c>
      <c r="AA47" s="90">
        <v>1.4E-2</v>
      </c>
      <c r="AB47" s="90">
        <v>1.4E-2</v>
      </c>
      <c r="AE47" s="74">
        <v>40</v>
      </c>
      <c r="AF47" s="90">
        <v>1.4E-2</v>
      </c>
      <c r="AG47" s="90">
        <v>1.4E-2</v>
      </c>
      <c r="AH47" s="90">
        <v>1.4E-2</v>
      </c>
      <c r="AI47" s="90">
        <v>1.4E-2</v>
      </c>
      <c r="AJ47" s="90">
        <v>1.4E-2</v>
      </c>
      <c r="AK47" s="90">
        <v>1.4E-2</v>
      </c>
      <c r="AL47" s="90">
        <v>1.4E-2</v>
      </c>
      <c r="AM47" s="90">
        <v>1.4E-2</v>
      </c>
      <c r="AN47" s="90">
        <v>1.4E-2</v>
      </c>
      <c r="AO47" s="90">
        <v>1.4E-2</v>
      </c>
      <c r="AP47" s="90">
        <v>1.4E-2</v>
      </c>
      <c r="AQ47" s="90">
        <v>1.4E-2</v>
      </c>
      <c r="AT47" s="74">
        <v>36</v>
      </c>
      <c r="AU47" s="90">
        <v>1.2999999999999999E-2</v>
      </c>
    </row>
    <row r="48" spans="1:47" x14ac:dyDescent="0.25">
      <c r="A48" s="74">
        <v>41</v>
      </c>
      <c r="B48" s="90">
        <v>1.4999999999999999E-2</v>
      </c>
      <c r="C48" s="90">
        <v>1.4999999999999999E-2</v>
      </c>
      <c r="D48" s="90">
        <v>1.4999999999999999E-2</v>
      </c>
      <c r="E48" s="90">
        <v>1.4999999999999999E-2</v>
      </c>
      <c r="F48" s="90">
        <v>1.4999999999999999E-2</v>
      </c>
      <c r="G48" s="90">
        <v>1.4999999999999999E-2</v>
      </c>
      <c r="H48" s="90">
        <v>1.4999999999999999E-2</v>
      </c>
      <c r="I48" s="90">
        <v>1.4999999999999999E-2</v>
      </c>
      <c r="J48" s="90">
        <v>1.4999999999999999E-2</v>
      </c>
      <c r="K48" s="90">
        <v>1.4999999999999999E-2</v>
      </c>
      <c r="L48" s="90">
        <v>1.4999999999999999E-2</v>
      </c>
      <c r="M48" s="90">
        <v>1.4999999999999999E-2</v>
      </c>
      <c r="P48" s="74">
        <v>41</v>
      </c>
      <c r="Q48" s="90">
        <v>1.4999999999999999E-2</v>
      </c>
      <c r="R48" s="90">
        <v>1.4999999999999999E-2</v>
      </c>
      <c r="S48" s="90">
        <v>1.4999999999999999E-2</v>
      </c>
      <c r="T48" s="90">
        <v>1.4999999999999999E-2</v>
      </c>
      <c r="U48" s="90">
        <v>1.4999999999999999E-2</v>
      </c>
      <c r="V48" s="90">
        <v>1.4999999999999999E-2</v>
      </c>
      <c r="W48" s="90">
        <v>1.4999999999999999E-2</v>
      </c>
      <c r="X48" s="90">
        <v>1.4999999999999999E-2</v>
      </c>
      <c r="Y48" s="90">
        <v>1.4999999999999999E-2</v>
      </c>
      <c r="Z48" s="90">
        <v>1.4999999999999999E-2</v>
      </c>
      <c r="AA48" s="90">
        <v>1.4999999999999999E-2</v>
      </c>
      <c r="AB48" s="90">
        <v>1.4999999999999999E-2</v>
      </c>
      <c r="AE48" s="74">
        <v>41</v>
      </c>
      <c r="AF48" s="90">
        <v>1.4999999999999999E-2</v>
      </c>
      <c r="AG48" s="90">
        <v>1.4999999999999999E-2</v>
      </c>
      <c r="AH48" s="90">
        <v>1.4999999999999999E-2</v>
      </c>
      <c r="AI48" s="90">
        <v>1.4999999999999999E-2</v>
      </c>
      <c r="AJ48" s="90">
        <v>1.4E-2</v>
      </c>
      <c r="AK48" s="90">
        <v>1.4E-2</v>
      </c>
      <c r="AL48" s="90">
        <v>1.4E-2</v>
      </c>
      <c r="AM48" s="90">
        <v>1.4E-2</v>
      </c>
      <c r="AN48" s="90">
        <v>1.4E-2</v>
      </c>
      <c r="AO48" s="90">
        <v>1.4E-2</v>
      </c>
      <c r="AP48" s="90">
        <v>1.4E-2</v>
      </c>
      <c r="AQ48" s="90">
        <v>1.4E-2</v>
      </c>
      <c r="AT48" s="74">
        <v>37</v>
      </c>
      <c r="AU48" s="90">
        <v>1.2999999999999999E-2</v>
      </c>
    </row>
    <row r="49" spans="1:47" x14ac:dyDescent="0.25">
      <c r="A49" s="74">
        <v>42</v>
      </c>
      <c r="B49" s="90">
        <v>1.6E-2</v>
      </c>
      <c r="C49" s="90">
        <v>1.4999999999999999E-2</v>
      </c>
      <c r="D49" s="90">
        <v>1.4999999999999999E-2</v>
      </c>
      <c r="E49" s="90">
        <v>1.4999999999999999E-2</v>
      </c>
      <c r="F49" s="90">
        <v>1.4999999999999999E-2</v>
      </c>
      <c r="G49" s="90">
        <v>1.4999999999999999E-2</v>
      </c>
      <c r="H49" s="90">
        <v>1.4999999999999999E-2</v>
      </c>
      <c r="I49" s="90">
        <v>1.4999999999999999E-2</v>
      </c>
      <c r="J49" s="90">
        <v>1.4999999999999999E-2</v>
      </c>
      <c r="K49" s="90">
        <v>1.4999999999999999E-2</v>
      </c>
      <c r="L49" s="90">
        <v>1.4999999999999999E-2</v>
      </c>
      <c r="M49" s="90">
        <v>1.4999999999999999E-2</v>
      </c>
      <c r="P49" s="74">
        <v>42</v>
      </c>
      <c r="Q49" s="90">
        <v>1.4999999999999999E-2</v>
      </c>
      <c r="R49" s="90">
        <v>1.4999999999999999E-2</v>
      </c>
      <c r="S49" s="90">
        <v>1.4999999999999999E-2</v>
      </c>
      <c r="T49" s="90">
        <v>1.4999999999999999E-2</v>
      </c>
      <c r="U49" s="90">
        <v>1.4999999999999999E-2</v>
      </c>
      <c r="V49" s="90">
        <v>1.4999999999999999E-2</v>
      </c>
      <c r="W49" s="90">
        <v>1.4999999999999999E-2</v>
      </c>
      <c r="X49" s="90">
        <v>1.4999999999999999E-2</v>
      </c>
      <c r="Y49" s="90">
        <v>1.4999999999999999E-2</v>
      </c>
      <c r="Z49" s="90">
        <v>1.4999999999999999E-2</v>
      </c>
      <c r="AA49" s="90">
        <v>1.4999999999999999E-2</v>
      </c>
      <c r="AB49" s="90">
        <v>1.4999999999999999E-2</v>
      </c>
      <c r="AE49" s="74">
        <v>42</v>
      </c>
      <c r="AF49" s="90">
        <v>1.4999999999999999E-2</v>
      </c>
      <c r="AG49" s="90">
        <v>1.4999999999999999E-2</v>
      </c>
      <c r="AH49" s="90">
        <v>1.4999999999999999E-2</v>
      </c>
      <c r="AI49" s="90">
        <v>1.4999999999999999E-2</v>
      </c>
      <c r="AJ49" s="90">
        <v>1.4999999999999999E-2</v>
      </c>
      <c r="AK49" s="90">
        <v>1.4999999999999999E-2</v>
      </c>
      <c r="AL49" s="90">
        <v>1.4999999999999999E-2</v>
      </c>
      <c r="AM49" s="90">
        <v>1.4999999999999999E-2</v>
      </c>
      <c r="AN49" s="90">
        <v>1.4999999999999999E-2</v>
      </c>
      <c r="AO49" s="90">
        <v>1.4999999999999999E-2</v>
      </c>
      <c r="AP49" s="90">
        <v>1.4999999999999999E-2</v>
      </c>
      <c r="AQ49" s="90">
        <v>1.4999999999999999E-2</v>
      </c>
      <c r="AT49" s="74">
        <v>38</v>
      </c>
      <c r="AU49" s="90">
        <v>1.4E-2</v>
      </c>
    </row>
    <row r="50" spans="1:47" x14ac:dyDescent="0.25">
      <c r="A50" s="74">
        <v>43</v>
      </c>
      <c r="B50" s="90">
        <v>1.6E-2</v>
      </c>
      <c r="C50" s="90">
        <v>1.6E-2</v>
      </c>
      <c r="D50" s="90">
        <v>1.6E-2</v>
      </c>
      <c r="E50" s="90">
        <v>1.6E-2</v>
      </c>
      <c r="F50" s="90">
        <v>1.6E-2</v>
      </c>
      <c r="G50" s="90">
        <v>1.6E-2</v>
      </c>
      <c r="H50" s="90">
        <v>1.6E-2</v>
      </c>
      <c r="I50" s="90">
        <v>1.6E-2</v>
      </c>
      <c r="J50" s="90">
        <v>1.6E-2</v>
      </c>
      <c r="K50" s="90">
        <v>1.6E-2</v>
      </c>
      <c r="L50" s="90">
        <v>1.6E-2</v>
      </c>
      <c r="M50" s="90">
        <v>1.4999999999999999E-2</v>
      </c>
      <c r="P50" s="74">
        <v>43</v>
      </c>
      <c r="Q50" s="90">
        <v>1.4999999999999999E-2</v>
      </c>
      <c r="R50" s="90">
        <v>1.4999999999999999E-2</v>
      </c>
      <c r="S50" s="90">
        <v>1.4999999999999999E-2</v>
      </c>
      <c r="T50" s="90">
        <v>1.4999999999999999E-2</v>
      </c>
      <c r="U50" s="90">
        <v>1.4999999999999999E-2</v>
      </c>
      <c r="V50" s="90">
        <v>1.4999999999999999E-2</v>
      </c>
      <c r="W50" s="90">
        <v>1.4999999999999999E-2</v>
      </c>
      <c r="X50" s="90">
        <v>1.4999999999999999E-2</v>
      </c>
      <c r="Y50" s="90">
        <v>1.4999999999999999E-2</v>
      </c>
      <c r="Z50" s="90">
        <v>1.4999999999999999E-2</v>
      </c>
      <c r="AA50" s="90">
        <v>1.4999999999999999E-2</v>
      </c>
      <c r="AB50" s="90">
        <v>1.4999999999999999E-2</v>
      </c>
      <c r="AE50" s="74">
        <v>43</v>
      </c>
      <c r="AF50" s="90">
        <v>1.4999999999999999E-2</v>
      </c>
      <c r="AG50" s="90">
        <v>1.4999999999999999E-2</v>
      </c>
      <c r="AH50" s="90">
        <v>1.4999999999999999E-2</v>
      </c>
      <c r="AI50" s="90">
        <v>1.4999999999999999E-2</v>
      </c>
      <c r="AJ50" s="90">
        <v>1.4999999999999999E-2</v>
      </c>
      <c r="AK50" s="90">
        <v>1.4999999999999999E-2</v>
      </c>
      <c r="AL50" s="90">
        <v>1.4999999999999999E-2</v>
      </c>
      <c r="AM50" s="90">
        <v>1.4999999999999999E-2</v>
      </c>
      <c r="AN50" s="90">
        <v>1.4999999999999999E-2</v>
      </c>
      <c r="AO50" s="90">
        <v>1.4999999999999999E-2</v>
      </c>
      <c r="AP50" s="90">
        <v>1.4999999999999999E-2</v>
      </c>
      <c r="AQ50" s="90">
        <v>1.4999999999999999E-2</v>
      </c>
      <c r="AT50" s="74">
        <v>39</v>
      </c>
      <c r="AU50" s="90">
        <v>1.4E-2</v>
      </c>
    </row>
    <row r="51" spans="1:47" x14ac:dyDescent="0.25">
      <c r="A51" s="74">
        <v>44</v>
      </c>
      <c r="B51" s="90">
        <v>1.6E-2</v>
      </c>
      <c r="C51" s="90">
        <v>1.6E-2</v>
      </c>
      <c r="D51" s="90">
        <v>1.6E-2</v>
      </c>
      <c r="E51" s="90">
        <v>1.6E-2</v>
      </c>
      <c r="F51" s="90">
        <v>1.6E-2</v>
      </c>
      <c r="G51" s="90">
        <v>1.6E-2</v>
      </c>
      <c r="H51" s="90">
        <v>1.6E-2</v>
      </c>
      <c r="I51" s="90">
        <v>1.6E-2</v>
      </c>
      <c r="J51" s="90">
        <v>1.6E-2</v>
      </c>
      <c r="K51" s="90">
        <v>1.6E-2</v>
      </c>
      <c r="L51" s="90">
        <v>1.6E-2</v>
      </c>
      <c r="M51" s="90">
        <v>1.6E-2</v>
      </c>
      <c r="P51" s="74">
        <v>44</v>
      </c>
      <c r="Q51" s="90">
        <v>1.6E-2</v>
      </c>
      <c r="R51" s="90">
        <v>1.6E-2</v>
      </c>
      <c r="S51" s="90">
        <v>1.6E-2</v>
      </c>
      <c r="T51" s="90">
        <v>1.6E-2</v>
      </c>
      <c r="U51" s="90">
        <v>1.6E-2</v>
      </c>
      <c r="V51" s="90">
        <v>1.6E-2</v>
      </c>
      <c r="W51" s="90">
        <v>1.6E-2</v>
      </c>
      <c r="X51" s="90">
        <v>1.6E-2</v>
      </c>
      <c r="Y51" s="90">
        <v>1.4999999999999999E-2</v>
      </c>
      <c r="Z51" s="90">
        <v>1.4999999999999999E-2</v>
      </c>
      <c r="AA51" s="90">
        <v>1.4999999999999999E-2</v>
      </c>
      <c r="AB51" s="90">
        <v>1.4999999999999999E-2</v>
      </c>
      <c r="AE51" s="74">
        <v>44</v>
      </c>
      <c r="AF51" s="90">
        <v>1.4999999999999999E-2</v>
      </c>
      <c r="AG51" s="90">
        <v>1.4999999999999999E-2</v>
      </c>
      <c r="AH51" s="90">
        <v>1.4999999999999999E-2</v>
      </c>
      <c r="AI51" s="90">
        <v>1.4999999999999999E-2</v>
      </c>
      <c r="AJ51" s="90">
        <v>1.4999999999999999E-2</v>
      </c>
      <c r="AK51" s="90">
        <v>1.4999999999999999E-2</v>
      </c>
      <c r="AL51" s="90">
        <v>1.4999999999999999E-2</v>
      </c>
      <c r="AM51" s="90">
        <v>1.4999999999999999E-2</v>
      </c>
      <c r="AN51" s="90">
        <v>1.4999999999999999E-2</v>
      </c>
      <c r="AO51" s="90">
        <v>1.4999999999999999E-2</v>
      </c>
      <c r="AP51" s="90">
        <v>1.4999999999999999E-2</v>
      </c>
      <c r="AQ51" s="90">
        <v>1.4999999999999999E-2</v>
      </c>
      <c r="AT51" s="74">
        <v>40</v>
      </c>
      <c r="AU51" s="90">
        <v>1.4E-2</v>
      </c>
    </row>
    <row r="52" spans="1:47" x14ac:dyDescent="0.25">
      <c r="A52" s="74">
        <v>45</v>
      </c>
      <c r="B52" s="90">
        <v>1.6E-2</v>
      </c>
      <c r="C52" s="90">
        <v>1.6E-2</v>
      </c>
      <c r="D52" s="90">
        <v>1.6E-2</v>
      </c>
      <c r="E52" s="90">
        <v>1.6E-2</v>
      </c>
      <c r="F52" s="90">
        <v>1.6E-2</v>
      </c>
      <c r="G52" s="90">
        <v>1.6E-2</v>
      </c>
      <c r="H52" s="90">
        <v>1.6E-2</v>
      </c>
      <c r="I52" s="90">
        <v>1.6E-2</v>
      </c>
      <c r="J52" s="90">
        <v>1.6E-2</v>
      </c>
      <c r="K52" s="90">
        <v>1.6E-2</v>
      </c>
      <c r="L52" s="90">
        <v>1.6E-2</v>
      </c>
      <c r="M52" s="90">
        <v>1.6E-2</v>
      </c>
      <c r="P52" s="74">
        <v>45</v>
      </c>
      <c r="Q52" s="90">
        <v>1.6E-2</v>
      </c>
      <c r="R52" s="90">
        <v>1.6E-2</v>
      </c>
      <c r="S52" s="90">
        <v>1.6E-2</v>
      </c>
      <c r="T52" s="90">
        <v>1.6E-2</v>
      </c>
      <c r="U52" s="90">
        <v>1.6E-2</v>
      </c>
      <c r="V52" s="90">
        <v>1.6E-2</v>
      </c>
      <c r="W52" s="90">
        <v>1.6E-2</v>
      </c>
      <c r="X52" s="90">
        <v>1.6E-2</v>
      </c>
      <c r="Y52" s="90">
        <v>1.6E-2</v>
      </c>
      <c r="Z52" s="90">
        <v>1.6E-2</v>
      </c>
      <c r="AA52" s="90">
        <v>1.6E-2</v>
      </c>
      <c r="AB52" s="90">
        <v>1.6E-2</v>
      </c>
      <c r="AE52" s="74">
        <v>45</v>
      </c>
      <c r="AF52" s="90">
        <v>1.6E-2</v>
      </c>
      <c r="AG52" s="90">
        <v>1.6E-2</v>
      </c>
      <c r="AH52" s="90">
        <v>1.6E-2</v>
      </c>
      <c r="AI52" s="90">
        <v>1.6E-2</v>
      </c>
      <c r="AJ52" s="90">
        <v>1.6E-2</v>
      </c>
      <c r="AK52" s="90">
        <v>1.4999999999999999E-2</v>
      </c>
      <c r="AL52" s="90">
        <v>1.4999999999999999E-2</v>
      </c>
      <c r="AM52" s="90">
        <v>1.4999999999999999E-2</v>
      </c>
      <c r="AN52" s="90">
        <v>1.4999999999999999E-2</v>
      </c>
      <c r="AO52" s="90">
        <v>1.4999999999999999E-2</v>
      </c>
      <c r="AP52" s="90">
        <v>1.4999999999999999E-2</v>
      </c>
      <c r="AQ52" s="90">
        <v>1.4999999999999999E-2</v>
      </c>
      <c r="AT52" s="74">
        <v>41</v>
      </c>
      <c r="AU52" s="90">
        <v>1.4E-2</v>
      </c>
    </row>
    <row r="53" spans="1:47" x14ac:dyDescent="0.25">
      <c r="A53" s="74">
        <v>46</v>
      </c>
      <c r="B53" s="90">
        <v>1.7000000000000001E-2</v>
      </c>
      <c r="C53" s="90">
        <v>1.7000000000000001E-2</v>
      </c>
      <c r="D53" s="90">
        <v>1.7000000000000001E-2</v>
      </c>
      <c r="E53" s="90">
        <v>1.7000000000000001E-2</v>
      </c>
      <c r="F53" s="90">
        <v>1.7000000000000001E-2</v>
      </c>
      <c r="G53" s="90">
        <v>1.6E-2</v>
      </c>
      <c r="H53" s="90">
        <v>1.6E-2</v>
      </c>
      <c r="I53" s="90">
        <v>1.6E-2</v>
      </c>
      <c r="J53" s="90">
        <v>1.6E-2</v>
      </c>
      <c r="K53" s="90">
        <v>1.6E-2</v>
      </c>
      <c r="L53" s="90">
        <v>1.6E-2</v>
      </c>
      <c r="M53" s="90">
        <v>1.6E-2</v>
      </c>
      <c r="P53" s="74">
        <v>46</v>
      </c>
      <c r="Q53" s="90">
        <v>1.6E-2</v>
      </c>
      <c r="R53" s="90">
        <v>1.6E-2</v>
      </c>
      <c r="S53" s="90">
        <v>1.6E-2</v>
      </c>
      <c r="T53" s="90">
        <v>1.6E-2</v>
      </c>
      <c r="U53" s="90">
        <v>1.6E-2</v>
      </c>
      <c r="V53" s="90">
        <v>1.6E-2</v>
      </c>
      <c r="W53" s="90">
        <v>1.6E-2</v>
      </c>
      <c r="X53" s="90">
        <v>1.6E-2</v>
      </c>
      <c r="Y53" s="90">
        <v>1.6E-2</v>
      </c>
      <c r="Z53" s="90">
        <v>1.6E-2</v>
      </c>
      <c r="AA53" s="90">
        <v>1.6E-2</v>
      </c>
      <c r="AB53" s="90">
        <v>1.6E-2</v>
      </c>
      <c r="AE53" s="74">
        <v>46</v>
      </c>
      <c r="AF53" s="90">
        <v>1.6E-2</v>
      </c>
      <c r="AG53" s="90">
        <v>1.6E-2</v>
      </c>
      <c r="AH53" s="90">
        <v>1.6E-2</v>
      </c>
      <c r="AI53" s="90">
        <v>1.6E-2</v>
      </c>
      <c r="AJ53" s="90">
        <v>1.6E-2</v>
      </c>
      <c r="AK53" s="90">
        <v>1.6E-2</v>
      </c>
      <c r="AL53" s="90">
        <v>1.6E-2</v>
      </c>
      <c r="AM53" s="90">
        <v>1.6E-2</v>
      </c>
      <c r="AN53" s="90">
        <v>1.6E-2</v>
      </c>
      <c r="AO53" s="90">
        <v>1.6E-2</v>
      </c>
      <c r="AP53" s="90">
        <v>1.6E-2</v>
      </c>
      <c r="AQ53" s="90">
        <v>1.6E-2</v>
      </c>
      <c r="AT53" s="74">
        <v>42</v>
      </c>
      <c r="AU53" s="90">
        <v>1.4999999999999999E-2</v>
      </c>
    </row>
    <row r="54" spans="1:47" x14ac:dyDescent="0.25">
      <c r="A54" s="74">
        <v>47</v>
      </c>
      <c r="B54" s="90">
        <v>1.7000000000000001E-2</v>
      </c>
      <c r="C54" s="90">
        <v>1.7000000000000001E-2</v>
      </c>
      <c r="D54" s="90">
        <v>1.7000000000000001E-2</v>
      </c>
      <c r="E54" s="90">
        <v>1.7000000000000001E-2</v>
      </c>
      <c r="F54" s="90">
        <v>1.7000000000000001E-2</v>
      </c>
      <c r="G54" s="90">
        <v>1.7000000000000001E-2</v>
      </c>
      <c r="H54" s="90">
        <v>1.7000000000000001E-2</v>
      </c>
      <c r="I54" s="90">
        <v>1.7000000000000001E-2</v>
      </c>
      <c r="J54" s="90">
        <v>1.7000000000000001E-2</v>
      </c>
      <c r="K54" s="90">
        <v>1.7000000000000001E-2</v>
      </c>
      <c r="L54" s="90">
        <v>1.7000000000000001E-2</v>
      </c>
      <c r="M54" s="90">
        <v>1.7000000000000001E-2</v>
      </c>
      <c r="P54" s="74">
        <v>47</v>
      </c>
      <c r="Q54" s="90">
        <v>1.7000000000000001E-2</v>
      </c>
      <c r="R54" s="90">
        <v>1.7000000000000001E-2</v>
      </c>
      <c r="S54" s="90">
        <v>1.7000000000000001E-2</v>
      </c>
      <c r="T54" s="90">
        <v>1.6E-2</v>
      </c>
      <c r="U54" s="90">
        <v>1.6E-2</v>
      </c>
      <c r="V54" s="90">
        <v>1.6E-2</v>
      </c>
      <c r="W54" s="90">
        <v>1.6E-2</v>
      </c>
      <c r="X54" s="90">
        <v>1.6E-2</v>
      </c>
      <c r="Y54" s="90">
        <v>1.6E-2</v>
      </c>
      <c r="Z54" s="90">
        <v>1.6E-2</v>
      </c>
      <c r="AA54" s="90">
        <v>1.6E-2</v>
      </c>
      <c r="AB54" s="90">
        <v>1.6E-2</v>
      </c>
      <c r="AE54" s="74">
        <v>47</v>
      </c>
      <c r="AF54" s="90">
        <v>1.6E-2</v>
      </c>
      <c r="AG54" s="90">
        <v>1.6E-2</v>
      </c>
      <c r="AH54" s="90">
        <v>1.6E-2</v>
      </c>
      <c r="AI54" s="90">
        <v>1.6E-2</v>
      </c>
      <c r="AJ54" s="90">
        <v>1.6E-2</v>
      </c>
      <c r="AK54" s="90">
        <v>1.6E-2</v>
      </c>
      <c r="AL54" s="90">
        <v>1.6E-2</v>
      </c>
      <c r="AM54" s="90">
        <v>1.6E-2</v>
      </c>
      <c r="AN54" s="90">
        <v>1.6E-2</v>
      </c>
      <c r="AO54" s="90">
        <v>1.6E-2</v>
      </c>
      <c r="AP54" s="90">
        <v>1.6E-2</v>
      </c>
      <c r="AQ54" s="90">
        <v>1.6E-2</v>
      </c>
      <c r="AT54" s="74">
        <v>43</v>
      </c>
      <c r="AU54" s="90">
        <v>1.4999999999999999E-2</v>
      </c>
    </row>
    <row r="55" spans="1:47" x14ac:dyDescent="0.25">
      <c r="A55" s="74">
        <v>48</v>
      </c>
      <c r="B55" s="90">
        <v>1.7000000000000001E-2</v>
      </c>
      <c r="C55" s="90">
        <v>1.7000000000000001E-2</v>
      </c>
      <c r="D55" s="90">
        <v>1.7000000000000001E-2</v>
      </c>
      <c r="E55" s="90">
        <v>1.7000000000000001E-2</v>
      </c>
      <c r="F55" s="90">
        <v>1.7000000000000001E-2</v>
      </c>
      <c r="G55" s="90">
        <v>1.7000000000000001E-2</v>
      </c>
      <c r="H55" s="90">
        <v>1.7000000000000001E-2</v>
      </c>
      <c r="I55" s="90">
        <v>1.7000000000000001E-2</v>
      </c>
      <c r="J55" s="90">
        <v>1.7000000000000001E-2</v>
      </c>
      <c r="K55" s="90">
        <v>1.7000000000000001E-2</v>
      </c>
      <c r="L55" s="90">
        <v>1.7000000000000001E-2</v>
      </c>
      <c r="M55" s="90">
        <v>1.7000000000000001E-2</v>
      </c>
      <c r="P55" s="74">
        <v>48</v>
      </c>
      <c r="Q55" s="90">
        <v>1.7000000000000001E-2</v>
      </c>
      <c r="R55" s="90">
        <v>1.7000000000000001E-2</v>
      </c>
      <c r="S55" s="90">
        <v>1.7000000000000001E-2</v>
      </c>
      <c r="T55" s="90">
        <v>1.7000000000000001E-2</v>
      </c>
      <c r="U55" s="90">
        <v>1.7000000000000001E-2</v>
      </c>
      <c r="V55" s="90">
        <v>1.7000000000000001E-2</v>
      </c>
      <c r="W55" s="90">
        <v>1.7000000000000001E-2</v>
      </c>
      <c r="X55" s="90">
        <v>1.7000000000000001E-2</v>
      </c>
      <c r="Y55" s="90">
        <v>1.7000000000000001E-2</v>
      </c>
      <c r="Z55" s="90">
        <v>1.7000000000000001E-2</v>
      </c>
      <c r="AA55" s="90">
        <v>1.7000000000000001E-2</v>
      </c>
      <c r="AB55" s="90">
        <v>1.7000000000000001E-2</v>
      </c>
      <c r="AE55" s="74">
        <v>48</v>
      </c>
      <c r="AF55" s="90">
        <v>1.6E-2</v>
      </c>
      <c r="AG55" s="90">
        <v>1.6E-2</v>
      </c>
      <c r="AH55" s="90">
        <v>1.6E-2</v>
      </c>
      <c r="AI55" s="90">
        <v>1.6E-2</v>
      </c>
      <c r="AJ55" s="90">
        <v>1.6E-2</v>
      </c>
      <c r="AK55" s="90">
        <v>1.6E-2</v>
      </c>
      <c r="AL55" s="90">
        <v>1.6E-2</v>
      </c>
      <c r="AM55" s="90">
        <v>1.6E-2</v>
      </c>
      <c r="AN55" s="90">
        <v>1.6E-2</v>
      </c>
      <c r="AO55" s="90">
        <v>1.6E-2</v>
      </c>
      <c r="AP55" s="90">
        <v>1.6E-2</v>
      </c>
      <c r="AQ55" s="90">
        <v>1.6E-2</v>
      </c>
      <c r="AT55" s="74">
        <v>44</v>
      </c>
      <c r="AU55" s="90">
        <v>1.4999999999999999E-2</v>
      </c>
    </row>
    <row r="56" spans="1:47" x14ac:dyDescent="0.25">
      <c r="A56" s="74">
        <v>49</v>
      </c>
      <c r="B56" s="90">
        <v>1.7999999999999999E-2</v>
      </c>
      <c r="C56" s="90">
        <v>1.7999999999999999E-2</v>
      </c>
      <c r="D56" s="90">
        <v>1.7000000000000001E-2</v>
      </c>
      <c r="E56" s="90">
        <v>1.7000000000000001E-2</v>
      </c>
      <c r="F56" s="90">
        <v>1.7000000000000001E-2</v>
      </c>
      <c r="G56" s="90">
        <v>1.7000000000000001E-2</v>
      </c>
      <c r="H56" s="90">
        <v>1.7000000000000001E-2</v>
      </c>
      <c r="I56" s="90">
        <v>1.7000000000000001E-2</v>
      </c>
      <c r="J56" s="90">
        <v>1.7000000000000001E-2</v>
      </c>
      <c r="K56" s="90">
        <v>1.7000000000000001E-2</v>
      </c>
      <c r="L56" s="90">
        <v>1.7000000000000001E-2</v>
      </c>
      <c r="M56" s="90">
        <v>1.7000000000000001E-2</v>
      </c>
      <c r="P56" s="74">
        <v>49</v>
      </c>
      <c r="Q56" s="90">
        <v>1.7000000000000001E-2</v>
      </c>
      <c r="R56" s="90">
        <v>1.7000000000000001E-2</v>
      </c>
      <c r="S56" s="90">
        <v>1.7000000000000001E-2</v>
      </c>
      <c r="T56" s="90">
        <v>1.7000000000000001E-2</v>
      </c>
      <c r="U56" s="90">
        <v>1.7000000000000001E-2</v>
      </c>
      <c r="V56" s="90">
        <v>1.7000000000000001E-2</v>
      </c>
      <c r="W56" s="90">
        <v>1.7000000000000001E-2</v>
      </c>
      <c r="X56" s="90">
        <v>1.7000000000000001E-2</v>
      </c>
      <c r="Y56" s="90">
        <v>1.7000000000000001E-2</v>
      </c>
      <c r="Z56" s="90">
        <v>1.7000000000000001E-2</v>
      </c>
      <c r="AA56" s="90">
        <v>1.7000000000000001E-2</v>
      </c>
      <c r="AB56" s="90">
        <v>1.7000000000000001E-2</v>
      </c>
      <c r="AE56" s="74">
        <v>49</v>
      </c>
      <c r="AF56" s="90">
        <v>1.7000000000000001E-2</v>
      </c>
      <c r="AG56" s="90">
        <v>1.7000000000000001E-2</v>
      </c>
      <c r="AH56" s="90">
        <v>1.7000000000000001E-2</v>
      </c>
      <c r="AI56" s="90">
        <v>1.7000000000000001E-2</v>
      </c>
      <c r="AJ56" s="90">
        <v>1.7000000000000001E-2</v>
      </c>
      <c r="AK56" s="90">
        <v>1.7000000000000001E-2</v>
      </c>
      <c r="AL56" s="90">
        <v>1.7000000000000001E-2</v>
      </c>
      <c r="AM56" s="90">
        <v>1.7000000000000001E-2</v>
      </c>
      <c r="AN56" s="90">
        <v>1.7000000000000001E-2</v>
      </c>
      <c r="AO56" s="90">
        <v>1.6E-2</v>
      </c>
      <c r="AP56" s="90">
        <v>1.6E-2</v>
      </c>
      <c r="AQ56" s="90">
        <v>1.6E-2</v>
      </c>
      <c r="AT56" s="74">
        <v>45</v>
      </c>
      <c r="AU56" s="90">
        <v>1.4999999999999999E-2</v>
      </c>
    </row>
    <row r="57" spans="1:47" x14ac:dyDescent="0.25">
      <c r="A57" s="74">
        <v>50</v>
      </c>
      <c r="B57" s="90">
        <v>1.7999999999999999E-2</v>
      </c>
      <c r="C57" s="90">
        <v>1.7999999999999999E-2</v>
      </c>
      <c r="D57" s="90">
        <v>1.7999999999999999E-2</v>
      </c>
      <c r="E57" s="90">
        <v>1.7999999999999999E-2</v>
      </c>
      <c r="F57" s="90">
        <v>1.7999999999999999E-2</v>
      </c>
      <c r="G57" s="90">
        <v>1.7999999999999999E-2</v>
      </c>
      <c r="H57" s="90">
        <v>1.7999999999999999E-2</v>
      </c>
      <c r="I57" s="90">
        <v>1.7999999999999999E-2</v>
      </c>
      <c r="J57" s="90">
        <v>1.7999999999999999E-2</v>
      </c>
      <c r="K57" s="90">
        <v>1.7999999999999999E-2</v>
      </c>
      <c r="L57" s="90">
        <v>1.7999999999999999E-2</v>
      </c>
      <c r="M57" s="90">
        <v>1.7999999999999999E-2</v>
      </c>
      <c r="P57" s="74">
        <v>50</v>
      </c>
      <c r="Q57" s="90">
        <v>1.7000000000000001E-2</v>
      </c>
      <c r="R57" s="90">
        <v>1.7000000000000001E-2</v>
      </c>
      <c r="S57" s="90">
        <v>1.7000000000000001E-2</v>
      </c>
      <c r="T57" s="90">
        <v>1.7000000000000001E-2</v>
      </c>
      <c r="U57" s="90">
        <v>1.7000000000000001E-2</v>
      </c>
      <c r="V57" s="90">
        <v>1.7000000000000001E-2</v>
      </c>
      <c r="W57" s="90">
        <v>1.7000000000000001E-2</v>
      </c>
      <c r="X57" s="90">
        <v>1.7000000000000001E-2</v>
      </c>
      <c r="Y57" s="90">
        <v>1.7000000000000001E-2</v>
      </c>
      <c r="Z57" s="90">
        <v>1.7000000000000001E-2</v>
      </c>
      <c r="AA57" s="90">
        <v>1.7000000000000001E-2</v>
      </c>
      <c r="AB57" s="90">
        <v>1.7000000000000001E-2</v>
      </c>
      <c r="AE57" s="74">
        <v>50</v>
      </c>
      <c r="AF57" s="90">
        <v>1.7000000000000001E-2</v>
      </c>
      <c r="AG57" s="90">
        <v>1.7000000000000001E-2</v>
      </c>
      <c r="AH57" s="90">
        <v>1.7000000000000001E-2</v>
      </c>
      <c r="AI57" s="90">
        <v>1.7000000000000001E-2</v>
      </c>
      <c r="AJ57" s="90">
        <v>1.7000000000000001E-2</v>
      </c>
      <c r="AK57" s="90">
        <v>1.7000000000000001E-2</v>
      </c>
      <c r="AL57" s="90">
        <v>1.7000000000000001E-2</v>
      </c>
      <c r="AM57" s="90">
        <v>1.7000000000000001E-2</v>
      </c>
      <c r="AN57" s="90">
        <v>1.7000000000000001E-2</v>
      </c>
      <c r="AO57" s="90">
        <v>1.7000000000000001E-2</v>
      </c>
      <c r="AP57" s="90">
        <v>1.7000000000000001E-2</v>
      </c>
      <c r="AQ57" s="90">
        <v>1.7000000000000001E-2</v>
      </c>
      <c r="AT57" s="74">
        <v>46</v>
      </c>
      <c r="AU57" s="90">
        <v>1.6E-2</v>
      </c>
    </row>
    <row r="58" spans="1:47" x14ac:dyDescent="0.25">
      <c r="A58" s="74">
        <v>51</v>
      </c>
      <c r="B58" s="90">
        <v>1.7999999999999999E-2</v>
      </c>
      <c r="C58" s="90">
        <v>1.7999999999999999E-2</v>
      </c>
      <c r="D58" s="90">
        <v>1.7999999999999999E-2</v>
      </c>
      <c r="E58" s="90">
        <v>1.7999999999999999E-2</v>
      </c>
      <c r="F58" s="90">
        <v>1.7999999999999999E-2</v>
      </c>
      <c r="G58" s="90">
        <v>1.7999999999999999E-2</v>
      </c>
      <c r="H58" s="90">
        <v>1.7999999999999999E-2</v>
      </c>
      <c r="I58" s="90">
        <v>1.7999999999999999E-2</v>
      </c>
      <c r="J58" s="90">
        <v>1.7999999999999999E-2</v>
      </c>
      <c r="K58" s="90">
        <v>1.7999999999999999E-2</v>
      </c>
      <c r="L58" s="90">
        <v>1.7999999999999999E-2</v>
      </c>
      <c r="M58" s="90">
        <v>1.7999999999999999E-2</v>
      </c>
      <c r="P58" s="74">
        <v>51</v>
      </c>
      <c r="Q58" s="90">
        <v>1.7999999999999999E-2</v>
      </c>
      <c r="R58" s="90">
        <v>1.7999999999999999E-2</v>
      </c>
      <c r="S58" s="90">
        <v>1.7999999999999999E-2</v>
      </c>
      <c r="T58" s="90">
        <v>1.7999999999999999E-2</v>
      </c>
      <c r="U58" s="90">
        <v>1.7999999999999999E-2</v>
      </c>
      <c r="V58" s="90">
        <v>1.7999999999999999E-2</v>
      </c>
      <c r="W58" s="90">
        <v>1.7999999999999999E-2</v>
      </c>
      <c r="X58" s="90">
        <v>1.7999999999999999E-2</v>
      </c>
      <c r="Y58" s="90">
        <v>1.7999999999999999E-2</v>
      </c>
      <c r="Z58" s="90">
        <v>1.7000000000000001E-2</v>
      </c>
      <c r="AA58" s="90">
        <v>1.7000000000000001E-2</v>
      </c>
      <c r="AB58" s="90">
        <v>1.7000000000000001E-2</v>
      </c>
      <c r="AE58" s="74">
        <v>51</v>
      </c>
      <c r="AF58" s="90">
        <v>1.7000000000000001E-2</v>
      </c>
      <c r="AG58" s="90">
        <v>1.7000000000000001E-2</v>
      </c>
      <c r="AH58" s="90">
        <v>1.7000000000000001E-2</v>
      </c>
      <c r="AI58" s="90">
        <v>1.7000000000000001E-2</v>
      </c>
      <c r="AJ58" s="90">
        <v>1.7000000000000001E-2</v>
      </c>
      <c r="AK58" s="90">
        <v>1.7000000000000001E-2</v>
      </c>
      <c r="AL58" s="90">
        <v>1.7000000000000001E-2</v>
      </c>
      <c r="AM58" s="90">
        <v>1.7000000000000001E-2</v>
      </c>
      <c r="AN58" s="90">
        <v>1.7000000000000001E-2</v>
      </c>
      <c r="AO58" s="90">
        <v>1.7000000000000001E-2</v>
      </c>
      <c r="AP58" s="90">
        <v>1.7000000000000001E-2</v>
      </c>
      <c r="AQ58" s="90">
        <v>1.7000000000000001E-2</v>
      </c>
      <c r="AT58" s="74">
        <v>47</v>
      </c>
      <c r="AU58" s="90">
        <v>1.6E-2</v>
      </c>
    </row>
    <row r="59" spans="1:47" x14ac:dyDescent="0.25">
      <c r="A59" s="74">
        <v>52</v>
      </c>
      <c r="B59" s="90">
        <v>1.9E-2</v>
      </c>
      <c r="C59" s="90">
        <v>1.7999999999999999E-2</v>
      </c>
      <c r="D59" s="90">
        <v>1.7999999999999999E-2</v>
      </c>
      <c r="E59" s="90">
        <v>1.7999999999999999E-2</v>
      </c>
      <c r="F59" s="90">
        <v>1.7999999999999999E-2</v>
      </c>
      <c r="G59" s="90">
        <v>1.7999999999999999E-2</v>
      </c>
      <c r="H59" s="90">
        <v>1.7999999999999999E-2</v>
      </c>
      <c r="I59" s="90">
        <v>1.7999999999999999E-2</v>
      </c>
      <c r="J59" s="90">
        <v>1.7999999999999999E-2</v>
      </c>
      <c r="K59" s="90">
        <v>1.7999999999999999E-2</v>
      </c>
      <c r="L59" s="90">
        <v>1.7999999999999999E-2</v>
      </c>
      <c r="M59" s="90">
        <v>1.7999999999999999E-2</v>
      </c>
      <c r="P59" s="74">
        <v>52</v>
      </c>
      <c r="Q59" s="90">
        <v>1.7999999999999999E-2</v>
      </c>
      <c r="R59" s="90">
        <v>1.7999999999999999E-2</v>
      </c>
      <c r="S59" s="90">
        <v>1.7999999999999999E-2</v>
      </c>
      <c r="T59" s="90">
        <v>1.7999999999999999E-2</v>
      </c>
      <c r="U59" s="90">
        <v>1.7999999999999999E-2</v>
      </c>
      <c r="V59" s="90">
        <v>1.7999999999999999E-2</v>
      </c>
      <c r="W59" s="90">
        <v>1.7999999999999999E-2</v>
      </c>
      <c r="X59" s="90">
        <v>1.7999999999999999E-2</v>
      </c>
      <c r="Y59" s="90">
        <v>1.7999999999999999E-2</v>
      </c>
      <c r="Z59" s="90">
        <v>1.7999999999999999E-2</v>
      </c>
      <c r="AA59" s="90">
        <v>1.7999999999999999E-2</v>
      </c>
      <c r="AB59" s="90">
        <v>1.7999999999999999E-2</v>
      </c>
      <c r="AE59" s="74">
        <v>52</v>
      </c>
      <c r="AF59" s="90">
        <v>1.7999999999999999E-2</v>
      </c>
      <c r="AG59" s="90">
        <v>1.7999999999999999E-2</v>
      </c>
      <c r="AH59" s="90">
        <v>1.7999999999999999E-2</v>
      </c>
      <c r="AI59" s="90">
        <v>1.7999999999999999E-2</v>
      </c>
      <c r="AJ59" s="90">
        <v>1.7999999999999999E-2</v>
      </c>
      <c r="AK59" s="90">
        <v>1.7999999999999999E-2</v>
      </c>
      <c r="AL59" s="90">
        <v>1.7000000000000001E-2</v>
      </c>
      <c r="AM59" s="90">
        <v>1.7000000000000001E-2</v>
      </c>
      <c r="AN59" s="90">
        <v>1.7000000000000001E-2</v>
      </c>
      <c r="AO59" s="90">
        <v>1.7000000000000001E-2</v>
      </c>
      <c r="AP59" s="90">
        <v>1.7000000000000001E-2</v>
      </c>
      <c r="AQ59" s="90">
        <v>1.7000000000000001E-2</v>
      </c>
      <c r="AT59" s="74">
        <v>48</v>
      </c>
      <c r="AU59" s="90">
        <v>1.6E-2</v>
      </c>
    </row>
    <row r="60" spans="1:47" x14ac:dyDescent="0.25">
      <c r="A60" s="74">
        <v>53</v>
      </c>
      <c r="B60" s="90">
        <v>1.9E-2</v>
      </c>
      <c r="C60" s="90">
        <v>1.9E-2</v>
      </c>
      <c r="D60" s="90">
        <v>1.9E-2</v>
      </c>
      <c r="E60" s="90">
        <v>1.9E-2</v>
      </c>
      <c r="F60" s="90">
        <v>1.9E-2</v>
      </c>
      <c r="G60" s="90">
        <v>1.9E-2</v>
      </c>
      <c r="H60" s="90">
        <v>1.9E-2</v>
      </c>
      <c r="I60" s="90">
        <v>1.9E-2</v>
      </c>
      <c r="J60" s="90">
        <v>1.9E-2</v>
      </c>
      <c r="K60" s="90">
        <v>1.9E-2</v>
      </c>
      <c r="L60" s="90">
        <v>1.9E-2</v>
      </c>
      <c r="M60" s="90">
        <v>1.7999999999999999E-2</v>
      </c>
      <c r="P60" s="74">
        <v>53</v>
      </c>
      <c r="Q60" s="90">
        <v>1.7999999999999999E-2</v>
      </c>
      <c r="R60" s="90">
        <v>1.7999999999999999E-2</v>
      </c>
      <c r="S60" s="90">
        <v>1.7999999999999999E-2</v>
      </c>
      <c r="T60" s="90">
        <v>1.7999999999999999E-2</v>
      </c>
      <c r="U60" s="90">
        <v>1.7999999999999999E-2</v>
      </c>
      <c r="V60" s="90">
        <v>1.7999999999999999E-2</v>
      </c>
      <c r="W60" s="90">
        <v>1.7999999999999999E-2</v>
      </c>
      <c r="X60" s="90">
        <v>1.7999999999999999E-2</v>
      </c>
      <c r="Y60" s="90">
        <v>1.7999999999999999E-2</v>
      </c>
      <c r="Z60" s="90">
        <v>1.7999999999999999E-2</v>
      </c>
      <c r="AA60" s="90">
        <v>1.7999999999999999E-2</v>
      </c>
      <c r="AB60" s="90">
        <v>1.7999999999999999E-2</v>
      </c>
      <c r="AE60" s="74">
        <v>53</v>
      </c>
      <c r="AF60" s="90">
        <v>1.7999999999999999E-2</v>
      </c>
      <c r="AG60" s="90">
        <v>1.7999999999999999E-2</v>
      </c>
      <c r="AH60" s="90">
        <v>1.7999999999999999E-2</v>
      </c>
      <c r="AI60" s="90">
        <v>1.7999999999999999E-2</v>
      </c>
      <c r="AJ60" s="90">
        <v>1.7999999999999999E-2</v>
      </c>
      <c r="AK60" s="90">
        <v>1.7999999999999999E-2</v>
      </c>
      <c r="AL60" s="90">
        <v>1.7999999999999999E-2</v>
      </c>
      <c r="AM60" s="90">
        <v>1.7999999999999999E-2</v>
      </c>
      <c r="AN60" s="90">
        <v>1.7999999999999999E-2</v>
      </c>
      <c r="AO60" s="90">
        <v>1.7999999999999999E-2</v>
      </c>
      <c r="AP60" s="90">
        <v>1.7999999999999999E-2</v>
      </c>
      <c r="AQ60" s="90">
        <v>1.7999999999999999E-2</v>
      </c>
      <c r="AT60" s="74">
        <v>49</v>
      </c>
      <c r="AU60" s="90">
        <v>1.6E-2</v>
      </c>
    </row>
    <row r="61" spans="1:47" x14ac:dyDescent="0.25">
      <c r="A61" s="74">
        <v>54</v>
      </c>
      <c r="B61" s="90">
        <v>1.9E-2</v>
      </c>
      <c r="C61" s="90">
        <v>1.9E-2</v>
      </c>
      <c r="D61" s="90">
        <v>1.9E-2</v>
      </c>
      <c r="E61" s="90">
        <v>1.9E-2</v>
      </c>
      <c r="F61" s="90">
        <v>1.9E-2</v>
      </c>
      <c r="G61" s="90">
        <v>1.9E-2</v>
      </c>
      <c r="H61" s="90">
        <v>1.9E-2</v>
      </c>
      <c r="I61" s="90">
        <v>1.9E-2</v>
      </c>
      <c r="J61" s="90">
        <v>1.9E-2</v>
      </c>
      <c r="K61" s="90">
        <v>1.9E-2</v>
      </c>
      <c r="L61" s="90">
        <v>1.9E-2</v>
      </c>
      <c r="M61" s="90">
        <v>1.9E-2</v>
      </c>
      <c r="P61" s="74">
        <v>54</v>
      </c>
      <c r="Q61" s="90">
        <v>1.9E-2</v>
      </c>
      <c r="R61" s="90">
        <v>1.9E-2</v>
      </c>
      <c r="S61" s="90">
        <v>1.9E-2</v>
      </c>
      <c r="T61" s="90">
        <v>1.9E-2</v>
      </c>
      <c r="U61" s="90">
        <v>1.9E-2</v>
      </c>
      <c r="V61" s="90">
        <v>1.9E-2</v>
      </c>
      <c r="W61" s="90">
        <v>1.9E-2</v>
      </c>
      <c r="X61" s="90">
        <v>1.9E-2</v>
      </c>
      <c r="Y61" s="90">
        <v>1.9E-2</v>
      </c>
      <c r="Z61" s="90">
        <v>1.7999999999999999E-2</v>
      </c>
      <c r="AA61" s="90">
        <v>1.7999999999999999E-2</v>
      </c>
      <c r="AB61" s="90">
        <v>1.7999999999999999E-2</v>
      </c>
      <c r="AE61" s="74">
        <v>54</v>
      </c>
      <c r="AF61" s="90">
        <v>1.7999999999999999E-2</v>
      </c>
      <c r="AG61" s="90">
        <v>1.7999999999999999E-2</v>
      </c>
      <c r="AH61" s="90">
        <v>1.7999999999999999E-2</v>
      </c>
      <c r="AI61" s="90">
        <v>1.7999999999999999E-2</v>
      </c>
      <c r="AJ61" s="90">
        <v>1.7999999999999999E-2</v>
      </c>
      <c r="AK61" s="90">
        <v>1.7999999999999999E-2</v>
      </c>
      <c r="AL61" s="90">
        <v>1.7999999999999999E-2</v>
      </c>
      <c r="AM61" s="90">
        <v>1.7999999999999999E-2</v>
      </c>
      <c r="AN61" s="90">
        <v>1.7999999999999999E-2</v>
      </c>
      <c r="AO61" s="90">
        <v>1.7999999999999999E-2</v>
      </c>
      <c r="AP61" s="90">
        <v>1.7999999999999999E-2</v>
      </c>
      <c r="AQ61" s="90">
        <v>1.7999999999999999E-2</v>
      </c>
      <c r="AT61" s="74">
        <v>50</v>
      </c>
      <c r="AU61" s="90">
        <v>1.7000000000000001E-2</v>
      </c>
    </row>
    <row r="62" spans="1:47" x14ac:dyDescent="0.25">
      <c r="A62" s="74">
        <v>55</v>
      </c>
      <c r="B62" s="90">
        <v>0.02</v>
      </c>
      <c r="C62" s="90">
        <v>0.02</v>
      </c>
      <c r="D62" s="90">
        <v>0.02</v>
      </c>
      <c r="E62" s="90">
        <v>1.9E-2</v>
      </c>
      <c r="F62" s="90">
        <v>1.9E-2</v>
      </c>
      <c r="G62" s="90">
        <v>1.9E-2</v>
      </c>
      <c r="H62" s="90">
        <v>1.9E-2</v>
      </c>
      <c r="I62" s="90">
        <v>1.9E-2</v>
      </c>
      <c r="J62" s="90">
        <v>1.9E-2</v>
      </c>
      <c r="K62" s="90">
        <v>1.9E-2</v>
      </c>
      <c r="L62" s="90">
        <v>1.9E-2</v>
      </c>
      <c r="M62" s="90">
        <v>1.9E-2</v>
      </c>
      <c r="P62" s="74">
        <v>55</v>
      </c>
      <c r="Q62" s="90">
        <v>1.9E-2</v>
      </c>
      <c r="R62" s="90">
        <v>1.9E-2</v>
      </c>
      <c r="S62" s="90">
        <v>1.9E-2</v>
      </c>
      <c r="T62" s="90">
        <v>1.9E-2</v>
      </c>
      <c r="U62" s="90">
        <v>1.9E-2</v>
      </c>
      <c r="V62" s="90">
        <v>1.9E-2</v>
      </c>
      <c r="W62" s="90">
        <v>1.9E-2</v>
      </c>
      <c r="X62" s="90">
        <v>1.9E-2</v>
      </c>
      <c r="Y62" s="90">
        <v>1.9E-2</v>
      </c>
      <c r="Z62" s="90">
        <v>1.9E-2</v>
      </c>
      <c r="AA62" s="90">
        <v>1.9E-2</v>
      </c>
      <c r="AB62" s="90">
        <v>1.9E-2</v>
      </c>
      <c r="AE62" s="74">
        <v>55</v>
      </c>
      <c r="AF62" s="90">
        <v>1.9E-2</v>
      </c>
      <c r="AG62" s="90">
        <v>1.9E-2</v>
      </c>
      <c r="AH62" s="90">
        <v>1.9E-2</v>
      </c>
      <c r="AI62" s="90">
        <v>1.9E-2</v>
      </c>
      <c r="AJ62" s="90">
        <v>1.9E-2</v>
      </c>
      <c r="AK62" s="90">
        <v>1.9E-2</v>
      </c>
      <c r="AL62" s="90">
        <v>1.7999999999999999E-2</v>
      </c>
      <c r="AM62" s="90">
        <v>1.7999999999999999E-2</v>
      </c>
      <c r="AN62" s="90">
        <v>1.7999999999999999E-2</v>
      </c>
      <c r="AO62" s="90">
        <v>1.7999999999999999E-2</v>
      </c>
      <c r="AP62" s="90">
        <v>1.7999999999999999E-2</v>
      </c>
      <c r="AQ62" s="90">
        <v>1.7999999999999999E-2</v>
      </c>
      <c r="AT62" s="74">
        <v>51</v>
      </c>
      <c r="AU62" s="90">
        <v>1.7000000000000001E-2</v>
      </c>
    </row>
    <row r="63" spans="1:47" x14ac:dyDescent="0.25">
      <c r="A63" s="74">
        <v>56</v>
      </c>
      <c r="B63" s="90">
        <v>0.02</v>
      </c>
      <c r="C63" s="90">
        <v>0.02</v>
      </c>
      <c r="D63" s="90">
        <v>0.02</v>
      </c>
      <c r="E63" s="90">
        <v>0.02</v>
      </c>
      <c r="F63" s="90">
        <v>0.02</v>
      </c>
      <c r="G63" s="90">
        <v>0.02</v>
      </c>
      <c r="H63" s="90">
        <v>0.02</v>
      </c>
      <c r="I63" s="90">
        <v>0.02</v>
      </c>
      <c r="J63" s="90">
        <v>0.02</v>
      </c>
      <c r="K63" s="90">
        <v>0.02</v>
      </c>
      <c r="L63" s="90">
        <v>0.02</v>
      </c>
      <c r="M63" s="90">
        <v>0.02</v>
      </c>
      <c r="P63" s="74">
        <v>56</v>
      </c>
      <c r="Q63" s="90">
        <v>0.02</v>
      </c>
      <c r="R63" s="90">
        <v>1.9E-2</v>
      </c>
      <c r="S63" s="90">
        <v>1.9E-2</v>
      </c>
      <c r="T63" s="90">
        <v>1.9E-2</v>
      </c>
      <c r="U63" s="90">
        <v>1.9E-2</v>
      </c>
      <c r="V63" s="90">
        <v>1.9E-2</v>
      </c>
      <c r="W63" s="90">
        <v>1.9E-2</v>
      </c>
      <c r="X63" s="90">
        <v>1.9E-2</v>
      </c>
      <c r="Y63" s="90">
        <v>1.9E-2</v>
      </c>
      <c r="Z63" s="90">
        <v>1.9E-2</v>
      </c>
      <c r="AA63" s="90">
        <v>1.9E-2</v>
      </c>
      <c r="AB63" s="90">
        <v>1.9E-2</v>
      </c>
      <c r="AE63" s="74">
        <v>56</v>
      </c>
      <c r="AF63" s="90">
        <v>1.9E-2</v>
      </c>
      <c r="AG63" s="90">
        <v>1.9E-2</v>
      </c>
      <c r="AH63" s="90">
        <v>1.9E-2</v>
      </c>
      <c r="AI63" s="90">
        <v>1.9E-2</v>
      </c>
      <c r="AJ63" s="90">
        <v>1.9E-2</v>
      </c>
      <c r="AK63" s="90">
        <v>1.9E-2</v>
      </c>
      <c r="AL63" s="90">
        <v>1.9E-2</v>
      </c>
      <c r="AM63" s="90">
        <v>1.9E-2</v>
      </c>
      <c r="AN63" s="90">
        <v>1.9E-2</v>
      </c>
      <c r="AO63" s="90">
        <v>1.9E-2</v>
      </c>
      <c r="AP63" s="90">
        <v>1.9E-2</v>
      </c>
      <c r="AQ63" s="90">
        <v>1.9E-2</v>
      </c>
      <c r="AT63" s="74">
        <v>52</v>
      </c>
      <c r="AU63" s="90">
        <v>1.7000000000000001E-2</v>
      </c>
    </row>
    <row r="64" spans="1:47" x14ac:dyDescent="0.25">
      <c r="A64" s="74">
        <v>57</v>
      </c>
      <c r="B64" s="90">
        <v>0.02</v>
      </c>
      <c r="C64" s="90">
        <v>0.02</v>
      </c>
      <c r="D64" s="90">
        <v>0.02</v>
      </c>
      <c r="E64" s="90">
        <v>0.02</v>
      </c>
      <c r="F64" s="90">
        <v>0.02</v>
      </c>
      <c r="G64" s="90">
        <v>0.02</v>
      </c>
      <c r="H64" s="90">
        <v>0.02</v>
      </c>
      <c r="I64" s="90">
        <v>0.02</v>
      </c>
      <c r="J64" s="90">
        <v>0.02</v>
      </c>
      <c r="K64" s="90">
        <v>0.02</v>
      </c>
      <c r="L64" s="90">
        <v>0.02</v>
      </c>
      <c r="M64" s="90">
        <v>0.02</v>
      </c>
      <c r="P64" s="74">
        <v>57</v>
      </c>
      <c r="Q64" s="90">
        <v>0.02</v>
      </c>
      <c r="R64" s="90">
        <v>0.02</v>
      </c>
      <c r="S64" s="90">
        <v>0.02</v>
      </c>
      <c r="T64" s="90">
        <v>0.02</v>
      </c>
      <c r="U64" s="90">
        <v>0.02</v>
      </c>
      <c r="V64" s="90">
        <v>0.02</v>
      </c>
      <c r="W64" s="90">
        <v>0.02</v>
      </c>
      <c r="X64" s="90">
        <v>0.02</v>
      </c>
      <c r="Y64" s="90">
        <v>0.02</v>
      </c>
      <c r="Z64" s="90">
        <v>0.02</v>
      </c>
      <c r="AA64" s="90">
        <v>0.02</v>
      </c>
      <c r="AB64" s="90">
        <v>1.9E-2</v>
      </c>
      <c r="AE64" s="74">
        <v>57</v>
      </c>
      <c r="AF64" s="90">
        <v>1.9E-2</v>
      </c>
      <c r="AG64" s="90">
        <v>1.9E-2</v>
      </c>
      <c r="AH64" s="90">
        <v>1.9E-2</v>
      </c>
      <c r="AI64" s="90">
        <v>1.9E-2</v>
      </c>
      <c r="AJ64" s="90">
        <v>1.9E-2</v>
      </c>
      <c r="AK64" s="90">
        <v>1.9E-2</v>
      </c>
      <c r="AL64" s="90">
        <v>1.9E-2</v>
      </c>
      <c r="AM64" s="90">
        <v>1.9E-2</v>
      </c>
      <c r="AN64" s="90">
        <v>1.9E-2</v>
      </c>
      <c r="AO64" s="90">
        <v>1.9E-2</v>
      </c>
      <c r="AP64" s="90">
        <v>1.9E-2</v>
      </c>
      <c r="AQ64" s="90">
        <v>1.9E-2</v>
      </c>
      <c r="AT64" s="74">
        <v>53</v>
      </c>
      <c r="AU64" s="90">
        <v>1.7999999999999999E-2</v>
      </c>
    </row>
    <row r="65" spans="1:47" x14ac:dyDescent="0.25">
      <c r="A65" s="74">
        <v>58</v>
      </c>
      <c r="B65" s="90">
        <v>2.1000000000000001E-2</v>
      </c>
      <c r="C65" s="90">
        <v>2.1000000000000001E-2</v>
      </c>
      <c r="D65" s="90">
        <v>2.1000000000000001E-2</v>
      </c>
      <c r="E65" s="90">
        <v>2.1000000000000001E-2</v>
      </c>
      <c r="F65" s="90">
        <v>2.1000000000000001E-2</v>
      </c>
      <c r="G65" s="90">
        <v>2.1000000000000001E-2</v>
      </c>
      <c r="H65" s="90">
        <v>2.1000000000000001E-2</v>
      </c>
      <c r="I65" s="90">
        <v>0.02</v>
      </c>
      <c r="J65" s="90">
        <v>0.02</v>
      </c>
      <c r="K65" s="90">
        <v>0.02</v>
      </c>
      <c r="L65" s="90">
        <v>0.02</v>
      </c>
      <c r="M65" s="90">
        <v>0.02</v>
      </c>
      <c r="P65" s="74">
        <v>58</v>
      </c>
      <c r="Q65" s="90">
        <v>0.02</v>
      </c>
      <c r="R65" s="90">
        <v>0.02</v>
      </c>
      <c r="S65" s="90">
        <v>0.02</v>
      </c>
      <c r="T65" s="90">
        <v>0.02</v>
      </c>
      <c r="U65" s="90">
        <v>0.02</v>
      </c>
      <c r="V65" s="90">
        <v>0.02</v>
      </c>
      <c r="W65" s="90">
        <v>0.02</v>
      </c>
      <c r="X65" s="90">
        <v>0.02</v>
      </c>
      <c r="Y65" s="90">
        <v>0.02</v>
      </c>
      <c r="Z65" s="90">
        <v>0.02</v>
      </c>
      <c r="AA65" s="90">
        <v>0.02</v>
      </c>
      <c r="AB65" s="90">
        <v>0.02</v>
      </c>
      <c r="AE65" s="74">
        <v>58</v>
      </c>
      <c r="AF65" s="90">
        <v>0.02</v>
      </c>
      <c r="AG65" s="90">
        <v>0.02</v>
      </c>
      <c r="AH65" s="90">
        <v>0.02</v>
      </c>
      <c r="AI65" s="90">
        <v>0.02</v>
      </c>
      <c r="AJ65" s="90">
        <v>0.02</v>
      </c>
      <c r="AK65" s="90">
        <v>0.02</v>
      </c>
      <c r="AL65" s="90">
        <v>0.02</v>
      </c>
      <c r="AM65" s="90">
        <v>0.02</v>
      </c>
      <c r="AN65" s="90">
        <v>1.9E-2</v>
      </c>
      <c r="AO65" s="90">
        <v>1.9E-2</v>
      </c>
      <c r="AP65" s="90">
        <v>1.9E-2</v>
      </c>
      <c r="AQ65" s="90">
        <v>1.9E-2</v>
      </c>
      <c r="AT65" s="74">
        <v>54</v>
      </c>
      <c r="AU65" s="90">
        <v>1.7999999999999999E-2</v>
      </c>
    </row>
    <row r="66" spans="1:47" x14ac:dyDescent="0.25">
      <c r="A66" s="74">
        <v>59</v>
      </c>
      <c r="B66" s="90">
        <v>2.1000000000000001E-2</v>
      </c>
      <c r="C66" s="90">
        <v>2.1000000000000001E-2</v>
      </c>
      <c r="D66" s="90">
        <v>2.1000000000000001E-2</v>
      </c>
      <c r="E66" s="90">
        <v>2.1000000000000001E-2</v>
      </c>
      <c r="F66" s="90">
        <v>2.1000000000000001E-2</v>
      </c>
      <c r="G66" s="90">
        <v>2.1000000000000001E-2</v>
      </c>
      <c r="H66" s="90">
        <v>2.1000000000000001E-2</v>
      </c>
      <c r="I66" s="90">
        <v>2.1000000000000001E-2</v>
      </c>
      <c r="J66" s="90">
        <v>2.1000000000000001E-2</v>
      </c>
      <c r="K66" s="90">
        <v>2.1000000000000001E-2</v>
      </c>
      <c r="L66" s="90">
        <v>2.1000000000000001E-2</v>
      </c>
      <c r="M66" s="90">
        <v>2.1000000000000001E-2</v>
      </c>
      <c r="P66" s="74">
        <v>59</v>
      </c>
      <c r="Q66" s="90">
        <v>2.1000000000000001E-2</v>
      </c>
      <c r="R66" s="90">
        <v>2.1000000000000001E-2</v>
      </c>
      <c r="S66" s="90">
        <v>2.1000000000000001E-2</v>
      </c>
      <c r="T66" s="90">
        <v>2.1000000000000001E-2</v>
      </c>
      <c r="U66" s="90">
        <v>2.1000000000000001E-2</v>
      </c>
      <c r="V66" s="90">
        <v>0.02</v>
      </c>
      <c r="W66" s="90">
        <v>0.02</v>
      </c>
      <c r="X66" s="90">
        <v>0.02</v>
      </c>
      <c r="Y66" s="90">
        <v>0.02</v>
      </c>
      <c r="Z66" s="90">
        <v>0.02</v>
      </c>
      <c r="AA66" s="90">
        <v>0.02</v>
      </c>
      <c r="AB66" s="90">
        <v>0.02</v>
      </c>
      <c r="AE66" s="74">
        <v>59</v>
      </c>
      <c r="AF66" s="90">
        <v>0.02</v>
      </c>
      <c r="AG66" s="90">
        <v>0.02</v>
      </c>
      <c r="AH66" s="90">
        <v>0.02</v>
      </c>
      <c r="AI66" s="90">
        <v>0.02</v>
      </c>
      <c r="AJ66" s="90">
        <v>0.02</v>
      </c>
      <c r="AK66" s="90">
        <v>0.02</v>
      </c>
      <c r="AL66" s="90">
        <v>0.02</v>
      </c>
      <c r="AM66" s="90">
        <v>0.02</v>
      </c>
      <c r="AN66" s="90">
        <v>0.02</v>
      </c>
      <c r="AO66" s="90">
        <v>0.02</v>
      </c>
      <c r="AP66" s="90">
        <v>0.02</v>
      </c>
      <c r="AQ66" s="90">
        <v>0.02</v>
      </c>
      <c r="AT66" s="74">
        <v>55</v>
      </c>
      <c r="AU66" s="90">
        <v>1.7999999999999999E-2</v>
      </c>
    </row>
    <row r="67" spans="1:47" x14ac:dyDescent="0.25">
      <c r="A67" s="74">
        <v>60</v>
      </c>
      <c r="B67" s="90">
        <v>2.1999999999999999E-2</v>
      </c>
      <c r="C67" s="90">
        <v>2.1999999999999999E-2</v>
      </c>
      <c r="D67" s="90">
        <v>2.1999999999999999E-2</v>
      </c>
      <c r="E67" s="90">
        <v>2.1000000000000001E-2</v>
      </c>
      <c r="F67" s="90">
        <v>2.1000000000000001E-2</v>
      </c>
      <c r="G67" s="90">
        <v>2.1000000000000001E-2</v>
      </c>
      <c r="H67" s="90">
        <v>2.1000000000000001E-2</v>
      </c>
      <c r="I67" s="90">
        <v>2.1000000000000001E-2</v>
      </c>
      <c r="J67" s="90">
        <v>2.1000000000000001E-2</v>
      </c>
      <c r="K67" s="90">
        <v>2.1000000000000001E-2</v>
      </c>
      <c r="L67" s="90">
        <v>2.1000000000000001E-2</v>
      </c>
      <c r="M67" s="90">
        <v>2.1000000000000001E-2</v>
      </c>
      <c r="P67" s="74">
        <v>60</v>
      </c>
      <c r="Q67" s="90">
        <v>2.1000000000000001E-2</v>
      </c>
      <c r="R67" s="90">
        <v>2.1000000000000001E-2</v>
      </c>
      <c r="S67" s="90">
        <v>2.1000000000000001E-2</v>
      </c>
      <c r="T67" s="90">
        <v>2.1000000000000001E-2</v>
      </c>
      <c r="U67" s="90">
        <v>2.1000000000000001E-2</v>
      </c>
      <c r="V67" s="90">
        <v>2.1000000000000001E-2</v>
      </c>
      <c r="W67" s="90">
        <v>2.1000000000000001E-2</v>
      </c>
      <c r="X67" s="90">
        <v>2.1000000000000001E-2</v>
      </c>
      <c r="Y67" s="90">
        <v>2.1000000000000001E-2</v>
      </c>
      <c r="Z67" s="90">
        <v>2.1000000000000001E-2</v>
      </c>
      <c r="AA67" s="90">
        <v>2.1000000000000001E-2</v>
      </c>
      <c r="AB67" s="90">
        <v>2.1000000000000001E-2</v>
      </c>
      <c r="AE67" s="74">
        <v>60</v>
      </c>
      <c r="AF67" s="90">
        <v>2.1000000000000001E-2</v>
      </c>
      <c r="AG67" s="90">
        <v>2.1000000000000001E-2</v>
      </c>
      <c r="AH67" s="90">
        <v>2.1000000000000001E-2</v>
      </c>
      <c r="AI67" s="90">
        <v>0.02</v>
      </c>
      <c r="AJ67" s="90">
        <v>0.02</v>
      </c>
      <c r="AK67" s="90">
        <v>0.02</v>
      </c>
      <c r="AL67" s="90">
        <v>0.02</v>
      </c>
      <c r="AM67" s="90">
        <v>0.02</v>
      </c>
      <c r="AN67" s="90">
        <v>0.02</v>
      </c>
      <c r="AO67" s="90">
        <v>0.02</v>
      </c>
      <c r="AP67" s="90">
        <v>0.02</v>
      </c>
      <c r="AQ67" s="90">
        <v>0.02</v>
      </c>
      <c r="AT67" s="74">
        <v>56</v>
      </c>
      <c r="AU67" s="90">
        <v>1.9E-2</v>
      </c>
    </row>
    <row r="68" spans="1:47" x14ac:dyDescent="0.25">
      <c r="A68" s="74">
        <v>61</v>
      </c>
      <c r="B68" s="90">
        <v>2.1999999999999999E-2</v>
      </c>
      <c r="C68" s="90">
        <v>2.1999999999999999E-2</v>
      </c>
      <c r="D68" s="90">
        <v>2.1999999999999999E-2</v>
      </c>
      <c r="E68" s="90">
        <v>2.1999999999999999E-2</v>
      </c>
      <c r="F68" s="90">
        <v>2.1999999999999999E-2</v>
      </c>
      <c r="G68" s="90">
        <v>2.1999999999999999E-2</v>
      </c>
      <c r="H68" s="90">
        <v>2.1999999999999999E-2</v>
      </c>
      <c r="I68" s="90">
        <v>2.1999999999999999E-2</v>
      </c>
      <c r="J68" s="90">
        <v>2.1999999999999999E-2</v>
      </c>
      <c r="K68" s="90">
        <v>2.1999999999999999E-2</v>
      </c>
      <c r="L68" s="90">
        <v>2.1999999999999999E-2</v>
      </c>
      <c r="M68" s="90">
        <v>2.1999999999999999E-2</v>
      </c>
      <c r="P68" s="74">
        <v>61</v>
      </c>
      <c r="Q68" s="90">
        <v>2.1999999999999999E-2</v>
      </c>
      <c r="R68" s="90">
        <v>2.1999999999999999E-2</v>
      </c>
      <c r="S68" s="90">
        <v>2.1000000000000001E-2</v>
      </c>
      <c r="T68" s="90">
        <v>2.1000000000000001E-2</v>
      </c>
      <c r="U68" s="90">
        <v>2.1000000000000001E-2</v>
      </c>
      <c r="V68" s="90">
        <v>2.1000000000000001E-2</v>
      </c>
      <c r="W68" s="90">
        <v>2.1000000000000001E-2</v>
      </c>
      <c r="X68" s="90">
        <v>2.1000000000000001E-2</v>
      </c>
      <c r="Y68" s="90">
        <v>2.1000000000000001E-2</v>
      </c>
      <c r="Z68" s="90">
        <v>2.1000000000000001E-2</v>
      </c>
      <c r="AA68" s="90">
        <v>2.1000000000000001E-2</v>
      </c>
      <c r="AB68" s="90">
        <v>2.1000000000000001E-2</v>
      </c>
      <c r="AE68" s="74">
        <v>61</v>
      </c>
      <c r="AF68" s="90">
        <v>2.1000000000000001E-2</v>
      </c>
      <c r="AG68" s="90">
        <v>2.1000000000000001E-2</v>
      </c>
      <c r="AH68" s="90">
        <v>2.1000000000000001E-2</v>
      </c>
      <c r="AI68" s="90">
        <v>2.1000000000000001E-2</v>
      </c>
      <c r="AJ68" s="90">
        <v>2.1000000000000001E-2</v>
      </c>
      <c r="AK68" s="90">
        <v>2.1000000000000001E-2</v>
      </c>
      <c r="AL68" s="90">
        <v>2.1000000000000001E-2</v>
      </c>
      <c r="AM68" s="90">
        <v>2.1000000000000001E-2</v>
      </c>
      <c r="AN68" s="90">
        <v>2.1000000000000001E-2</v>
      </c>
      <c r="AO68" s="90">
        <v>2.1000000000000001E-2</v>
      </c>
      <c r="AP68" s="90">
        <v>2.1000000000000001E-2</v>
      </c>
      <c r="AQ68" s="90">
        <v>2.1000000000000001E-2</v>
      </c>
      <c r="AT68" s="74">
        <v>57</v>
      </c>
      <c r="AU68" s="90">
        <v>1.9E-2</v>
      </c>
    </row>
    <row r="69" spans="1:47" x14ac:dyDescent="0.25">
      <c r="A69" s="74">
        <v>62</v>
      </c>
      <c r="B69" s="90">
        <v>2.3E-2</v>
      </c>
      <c r="C69" s="90">
        <v>2.1999999999999999E-2</v>
      </c>
      <c r="D69" s="90">
        <v>2.1999999999999999E-2</v>
      </c>
      <c r="E69" s="90">
        <v>2.1999999999999999E-2</v>
      </c>
      <c r="F69" s="90">
        <v>2.1999999999999999E-2</v>
      </c>
      <c r="G69" s="90">
        <v>2.1999999999999999E-2</v>
      </c>
      <c r="H69" s="90">
        <v>2.1999999999999999E-2</v>
      </c>
      <c r="I69" s="90">
        <v>2.1999999999999999E-2</v>
      </c>
      <c r="J69" s="90">
        <v>2.1999999999999999E-2</v>
      </c>
      <c r="K69" s="90">
        <v>2.1999999999999999E-2</v>
      </c>
      <c r="L69" s="90">
        <v>2.1999999999999999E-2</v>
      </c>
      <c r="M69" s="90">
        <v>2.1999999999999999E-2</v>
      </c>
      <c r="P69" s="74">
        <v>62</v>
      </c>
      <c r="Q69" s="90">
        <v>2.1999999999999999E-2</v>
      </c>
      <c r="R69" s="90">
        <v>2.1999999999999999E-2</v>
      </c>
      <c r="S69" s="90">
        <v>2.1999999999999999E-2</v>
      </c>
      <c r="T69" s="90">
        <v>2.1999999999999999E-2</v>
      </c>
      <c r="U69" s="90">
        <v>2.1999999999999999E-2</v>
      </c>
      <c r="V69" s="90">
        <v>2.1999999999999999E-2</v>
      </c>
      <c r="W69" s="90">
        <v>2.1999999999999999E-2</v>
      </c>
      <c r="X69" s="90">
        <v>2.1999999999999999E-2</v>
      </c>
      <c r="Y69" s="90">
        <v>2.1999999999999999E-2</v>
      </c>
      <c r="Z69" s="90">
        <v>2.1999999999999999E-2</v>
      </c>
      <c r="AA69" s="90">
        <v>2.1999999999999999E-2</v>
      </c>
      <c r="AB69" s="90">
        <v>2.1999999999999999E-2</v>
      </c>
      <c r="AE69" s="74">
        <v>62</v>
      </c>
      <c r="AF69" s="90">
        <v>2.1000000000000001E-2</v>
      </c>
      <c r="AG69" s="90">
        <v>2.1000000000000001E-2</v>
      </c>
      <c r="AH69" s="90">
        <v>2.1000000000000001E-2</v>
      </c>
      <c r="AI69" s="90">
        <v>2.1000000000000001E-2</v>
      </c>
      <c r="AJ69" s="90">
        <v>2.1000000000000001E-2</v>
      </c>
      <c r="AK69" s="90">
        <v>2.1000000000000001E-2</v>
      </c>
      <c r="AL69" s="90">
        <v>2.1000000000000001E-2</v>
      </c>
      <c r="AM69" s="90">
        <v>2.1000000000000001E-2</v>
      </c>
      <c r="AN69" s="90">
        <v>2.1000000000000001E-2</v>
      </c>
      <c r="AO69" s="90">
        <v>2.1000000000000001E-2</v>
      </c>
      <c r="AP69" s="90">
        <v>2.1000000000000001E-2</v>
      </c>
      <c r="AQ69" s="90">
        <v>2.1000000000000001E-2</v>
      </c>
      <c r="AT69" s="74">
        <v>58</v>
      </c>
      <c r="AU69" s="90">
        <v>1.9E-2</v>
      </c>
    </row>
    <row r="70" spans="1:47" x14ac:dyDescent="0.25">
      <c r="A70" s="74">
        <v>63</v>
      </c>
      <c r="B70" s="90">
        <v>2.3E-2</v>
      </c>
      <c r="C70" s="90">
        <v>2.3E-2</v>
      </c>
      <c r="D70" s="90">
        <v>2.3E-2</v>
      </c>
      <c r="E70" s="90">
        <v>2.3E-2</v>
      </c>
      <c r="F70" s="90">
        <v>2.3E-2</v>
      </c>
      <c r="G70" s="90">
        <v>2.3E-2</v>
      </c>
      <c r="H70" s="90">
        <v>2.3E-2</v>
      </c>
      <c r="I70" s="90">
        <v>2.3E-2</v>
      </c>
      <c r="J70" s="90">
        <v>2.3E-2</v>
      </c>
      <c r="K70" s="90">
        <v>2.3E-2</v>
      </c>
      <c r="L70" s="90">
        <v>2.3E-2</v>
      </c>
      <c r="M70" s="90">
        <v>2.3E-2</v>
      </c>
      <c r="P70" s="74">
        <v>63</v>
      </c>
      <c r="Q70" s="90">
        <v>2.1999999999999999E-2</v>
      </c>
      <c r="R70" s="90">
        <v>2.1999999999999999E-2</v>
      </c>
      <c r="S70" s="90">
        <v>2.1999999999999999E-2</v>
      </c>
      <c r="T70" s="90">
        <v>2.1999999999999999E-2</v>
      </c>
      <c r="U70" s="90">
        <v>2.1999999999999999E-2</v>
      </c>
      <c r="V70" s="90">
        <v>2.1999999999999999E-2</v>
      </c>
      <c r="W70" s="90">
        <v>2.1999999999999999E-2</v>
      </c>
      <c r="X70" s="90">
        <v>2.1999999999999999E-2</v>
      </c>
      <c r="Y70" s="90">
        <v>2.1999999999999999E-2</v>
      </c>
      <c r="Z70" s="90">
        <v>2.1999999999999999E-2</v>
      </c>
      <c r="AA70" s="90">
        <v>2.1999999999999999E-2</v>
      </c>
      <c r="AB70" s="90">
        <v>2.1999999999999999E-2</v>
      </c>
      <c r="AE70" s="74">
        <v>63</v>
      </c>
      <c r="AF70" s="90">
        <v>2.1999999999999999E-2</v>
      </c>
      <c r="AG70" s="90">
        <v>2.1999999999999999E-2</v>
      </c>
      <c r="AH70" s="90">
        <v>2.1999999999999999E-2</v>
      </c>
      <c r="AI70" s="90">
        <v>2.1999999999999999E-2</v>
      </c>
      <c r="AJ70" s="90">
        <v>2.1999999999999999E-2</v>
      </c>
      <c r="AK70" s="90">
        <v>2.1999999999999999E-2</v>
      </c>
      <c r="AL70" s="90">
        <v>2.1999999999999999E-2</v>
      </c>
      <c r="AM70" s="90">
        <v>2.1999999999999999E-2</v>
      </c>
      <c r="AN70" s="90">
        <v>2.1999999999999999E-2</v>
      </c>
      <c r="AO70" s="90">
        <v>2.1999999999999999E-2</v>
      </c>
      <c r="AP70" s="90">
        <v>2.1999999999999999E-2</v>
      </c>
      <c r="AQ70" s="90">
        <v>2.1000000000000001E-2</v>
      </c>
      <c r="AT70" s="74">
        <v>59</v>
      </c>
      <c r="AU70" s="90">
        <v>0.02</v>
      </c>
    </row>
    <row r="71" spans="1:47" x14ac:dyDescent="0.25">
      <c r="A71" s="74">
        <v>64</v>
      </c>
      <c r="B71" s="90">
        <v>2.3E-2</v>
      </c>
      <c r="C71" s="90">
        <v>2.3E-2</v>
      </c>
      <c r="D71" s="90">
        <v>2.3E-2</v>
      </c>
      <c r="E71" s="90">
        <v>2.3E-2</v>
      </c>
      <c r="F71" s="90">
        <v>2.3E-2</v>
      </c>
      <c r="G71" s="90">
        <v>2.3E-2</v>
      </c>
      <c r="H71" s="90">
        <v>2.3E-2</v>
      </c>
      <c r="I71" s="90">
        <v>2.3E-2</v>
      </c>
      <c r="J71" s="90">
        <v>2.3E-2</v>
      </c>
      <c r="K71" s="90">
        <v>2.3E-2</v>
      </c>
      <c r="L71" s="90">
        <v>2.3E-2</v>
      </c>
      <c r="M71" s="90">
        <v>2.3E-2</v>
      </c>
      <c r="P71" s="74">
        <v>64</v>
      </c>
      <c r="Q71" s="90">
        <v>2.3E-2</v>
      </c>
      <c r="R71" s="90">
        <v>2.3E-2</v>
      </c>
      <c r="S71" s="90">
        <v>2.3E-2</v>
      </c>
      <c r="T71" s="90">
        <v>2.3E-2</v>
      </c>
      <c r="U71" s="90">
        <v>2.3E-2</v>
      </c>
      <c r="V71" s="90">
        <v>2.3E-2</v>
      </c>
      <c r="W71" s="90">
        <v>2.3E-2</v>
      </c>
      <c r="X71" s="90">
        <v>2.3E-2</v>
      </c>
      <c r="Y71" s="90">
        <v>2.3E-2</v>
      </c>
      <c r="Z71" s="90">
        <v>2.3E-2</v>
      </c>
      <c r="AA71" s="90">
        <v>2.3E-2</v>
      </c>
      <c r="AB71" s="90">
        <v>2.1999999999999999E-2</v>
      </c>
      <c r="AE71" s="74">
        <v>64</v>
      </c>
      <c r="AF71" s="90">
        <v>2.1999999999999999E-2</v>
      </c>
      <c r="AG71" s="90">
        <v>2.1999999999999999E-2</v>
      </c>
      <c r="AH71" s="90">
        <v>2.1999999999999999E-2</v>
      </c>
      <c r="AI71" s="90">
        <v>2.1999999999999999E-2</v>
      </c>
      <c r="AJ71" s="90">
        <v>2.1999999999999999E-2</v>
      </c>
      <c r="AK71" s="90">
        <v>2.1999999999999999E-2</v>
      </c>
      <c r="AL71" s="90">
        <v>2.1999999999999999E-2</v>
      </c>
      <c r="AM71" s="90">
        <v>2.1999999999999999E-2</v>
      </c>
      <c r="AN71" s="90">
        <v>2.1999999999999999E-2</v>
      </c>
      <c r="AO71" s="90">
        <v>2.1999999999999999E-2</v>
      </c>
      <c r="AP71" s="90">
        <v>2.1999999999999999E-2</v>
      </c>
      <c r="AQ71" s="90">
        <v>2.1999999999999999E-2</v>
      </c>
      <c r="AT71" s="74">
        <v>60</v>
      </c>
      <c r="AU71" s="90">
        <v>0.02</v>
      </c>
    </row>
    <row r="72" spans="1:47" x14ac:dyDescent="0.25">
      <c r="P72" s="74">
        <v>65</v>
      </c>
      <c r="Q72" s="90">
        <v>2.3E-2</v>
      </c>
      <c r="R72" s="90">
        <v>2.3E-2</v>
      </c>
      <c r="S72" s="90">
        <v>2.3E-2</v>
      </c>
      <c r="T72" s="90">
        <v>2.3E-2</v>
      </c>
      <c r="U72" s="90">
        <v>2.3E-2</v>
      </c>
      <c r="V72" s="90">
        <v>2.3E-2</v>
      </c>
      <c r="W72" s="90">
        <v>2.3E-2</v>
      </c>
      <c r="X72" s="90">
        <v>2.3E-2</v>
      </c>
      <c r="Y72" s="90">
        <v>2.3E-2</v>
      </c>
      <c r="Z72" s="90">
        <v>2.3E-2</v>
      </c>
      <c r="AA72" s="90">
        <v>2.3E-2</v>
      </c>
      <c r="AB72" s="90">
        <v>2.3E-2</v>
      </c>
      <c r="AE72" s="74">
        <v>65</v>
      </c>
      <c r="AF72" s="90">
        <v>2.3E-2</v>
      </c>
      <c r="AG72" s="90">
        <v>2.3E-2</v>
      </c>
      <c r="AH72" s="90">
        <v>2.3E-2</v>
      </c>
      <c r="AI72" s="90">
        <v>2.3E-2</v>
      </c>
      <c r="AJ72" s="90">
        <v>2.3E-2</v>
      </c>
      <c r="AK72" s="90">
        <v>2.3E-2</v>
      </c>
      <c r="AL72" s="90">
        <v>2.3E-2</v>
      </c>
      <c r="AM72" s="90">
        <v>2.3E-2</v>
      </c>
      <c r="AN72" s="90">
        <v>2.3E-2</v>
      </c>
      <c r="AO72" s="90">
        <v>2.3E-2</v>
      </c>
      <c r="AP72" s="90">
        <v>2.1999999999999999E-2</v>
      </c>
      <c r="AQ72" s="90">
        <v>2.1999999999999999E-2</v>
      </c>
      <c r="AT72" s="74">
        <v>61</v>
      </c>
      <c r="AU72" s="90">
        <v>2.1000000000000001E-2</v>
      </c>
    </row>
    <row r="73" spans="1:47" x14ac:dyDescent="0.25">
      <c r="AE73" s="74">
        <v>66</v>
      </c>
      <c r="AF73" s="90">
        <v>2.3E-2</v>
      </c>
      <c r="AG73" s="90">
        <v>2.3E-2</v>
      </c>
      <c r="AH73" s="90">
        <v>2.3E-2</v>
      </c>
      <c r="AI73" s="90">
        <v>2.3E-2</v>
      </c>
      <c r="AJ73" s="90">
        <v>2.3E-2</v>
      </c>
      <c r="AK73" s="90">
        <v>2.3E-2</v>
      </c>
      <c r="AL73" s="90">
        <v>2.3E-2</v>
      </c>
      <c r="AM73" s="90">
        <v>2.3E-2</v>
      </c>
      <c r="AN73" s="90">
        <v>2.3E-2</v>
      </c>
      <c r="AO73" s="90">
        <v>2.3E-2</v>
      </c>
      <c r="AP73" s="90">
        <v>2.3E-2</v>
      </c>
      <c r="AQ73" s="90">
        <v>2.3E-2</v>
      </c>
      <c r="AT73" s="74">
        <v>62</v>
      </c>
      <c r="AU73" s="90">
        <v>2.1000000000000001E-2</v>
      </c>
    </row>
    <row r="74" spans="1:47" x14ac:dyDescent="0.25">
      <c r="AT74" s="74">
        <v>63</v>
      </c>
      <c r="AU74" s="90">
        <v>2.1000000000000001E-2</v>
      </c>
    </row>
    <row r="75" spans="1:47" x14ac:dyDescent="0.25">
      <c r="AT75" s="74">
        <v>64</v>
      </c>
      <c r="AU75" s="90">
        <v>2.1999999999999999E-2</v>
      </c>
    </row>
    <row r="76" spans="1:47" x14ac:dyDescent="0.25">
      <c r="AT76" s="74">
        <v>65</v>
      </c>
      <c r="AU76" s="90">
        <v>2.1999999999999999E-2</v>
      </c>
    </row>
    <row r="77" spans="1:47" x14ac:dyDescent="0.25">
      <c r="AT77" s="74">
        <v>66</v>
      </c>
      <c r="AU77" s="90">
        <v>2.3E-2</v>
      </c>
    </row>
  </sheetData>
  <sheetProtection algorithmName="SHA-512" hashValue="RLCQAcjZiQfPulIDw5LzR+ucKnb6xZKKxfgYCepldI/ODXx0eQDgNI21LJGBJozYK7EEkFfpYST8lrKhmbw5AQ==" saltValue="JXiKPVn2S1j3kFxO/Tj1Qg==" spinCount="100000" sheet="1" objects="1" scenarios="1"/>
  <conditionalFormatting sqref="A6:A21">
    <cfRule type="expression" dxfId="355" priority="7" stopIfTrue="1">
      <formula>MOD(ROW(),2)=0</formula>
    </cfRule>
    <cfRule type="expression" dxfId="354" priority="8" stopIfTrue="1">
      <formula>MOD(ROW(),2)&lt;&gt;0</formula>
    </cfRule>
  </conditionalFormatting>
  <conditionalFormatting sqref="A26:A71 P26:P72 AE26:AE73 AT26:AT77">
    <cfRule type="expression" dxfId="353" priority="78" stopIfTrue="1">
      <formula>MOD(ROW(),2)&lt;&gt;0</formula>
    </cfRule>
    <cfRule type="expression" dxfId="352" priority="77" stopIfTrue="1">
      <formula>MOD(ROW(),2)=0</formula>
    </cfRule>
  </conditionalFormatting>
  <conditionalFormatting sqref="B12">
    <cfRule type="expression" dxfId="351" priority="45" stopIfTrue="1">
      <formula>MOD(ROW(),2)=0</formula>
    </cfRule>
    <cfRule type="expression" dxfId="350" priority="46" stopIfTrue="1">
      <formula>MOD(ROW(),2)&lt;&gt;0</formula>
    </cfRule>
  </conditionalFormatting>
  <conditionalFormatting sqref="B17:B21">
    <cfRule type="expression" dxfId="349" priority="41" stopIfTrue="1">
      <formula>MOD(ROW(),2)=0</formula>
    </cfRule>
    <cfRule type="expression" dxfId="348" priority="42" stopIfTrue="1">
      <formula>MOD(ROW(),2)&lt;&gt;0</formula>
    </cfRule>
  </conditionalFormatting>
  <conditionalFormatting sqref="B6:M21">
    <cfRule type="expression" dxfId="347" priority="84" stopIfTrue="1">
      <formula>MOD(ROW(),2)&lt;&gt;0</formula>
    </cfRule>
    <cfRule type="expression" dxfId="346" priority="83" stopIfTrue="1">
      <formula>MOD(ROW(),2)=0</formula>
    </cfRule>
  </conditionalFormatting>
  <conditionalFormatting sqref="B26:M71 Q26:AB72 AF26:AQ73 AU26:AU77">
    <cfRule type="expression" dxfId="345" priority="80" stopIfTrue="1">
      <formula>MOD(ROW(),2)&lt;&gt;0</formula>
    </cfRule>
    <cfRule type="expression" dxfId="344" priority="79" stopIfTrue="1">
      <formula>MOD(ROW(),2)=0</formula>
    </cfRule>
  </conditionalFormatting>
  <conditionalFormatting sqref="P6:P21">
    <cfRule type="expression" dxfId="343" priority="5" stopIfTrue="1">
      <formula>MOD(ROW(),2)=0</formula>
    </cfRule>
    <cfRule type="expression" dxfId="342" priority="6" stopIfTrue="1">
      <formula>MOD(ROW(),2)&lt;&gt;0</formula>
    </cfRule>
  </conditionalFormatting>
  <conditionalFormatting sqref="Q10">
    <cfRule type="expression" dxfId="341" priority="54" stopIfTrue="1">
      <formula>MOD(ROW(),2)&lt;&gt;0</formula>
    </cfRule>
    <cfRule type="expression" dxfId="340" priority="53" stopIfTrue="1">
      <formula>MOD(ROW(),2)=0</formula>
    </cfRule>
  </conditionalFormatting>
  <conditionalFormatting sqref="Q12">
    <cfRule type="expression" dxfId="339" priority="47" stopIfTrue="1">
      <formula>MOD(ROW(),2)=0</formula>
    </cfRule>
    <cfRule type="expression" dxfId="338" priority="48" stopIfTrue="1">
      <formula>MOD(ROW(),2)&lt;&gt;0</formula>
    </cfRule>
  </conditionalFormatting>
  <conditionalFormatting sqref="Q17:Q21">
    <cfRule type="expression" dxfId="337" priority="19" stopIfTrue="1">
      <formula>MOD(ROW(),2)=0</formula>
    </cfRule>
    <cfRule type="expression" dxfId="336" priority="20" stopIfTrue="1">
      <formula>MOD(ROW(),2)&lt;&gt;0</formula>
    </cfRule>
  </conditionalFormatting>
  <conditionalFormatting sqref="Q6:AB21">
    <cfRule type="expression" dxfId="335" priority="88" stopIfTrue="1">
      <formula>MOD(ROW(),2)&lt;&gt;0</formula>
    </cfRule>
    <cfRule type="expression" dxfId="334" priority="87" stopIfTrue="1">
      <formula>MOD(ROW(),2)=0</formula>
    </cfRule>
  </conditionalFormatting>
  <conditionalFormatting sqref="AE6:AE21">
    <cfRule type="expression" dxfId="333" priority="3" stopIfTrue="1">
      <formula>MOD(ROW(),2)=0</formula>
    </cfRule>
    <cfRule type="expression" dxfId="332" priority="4" stopIfTrue="1">
      <formula>MOD(ROW(),2)&lt;&gt;0</formula>
    </cfRule>
  </conditionalFormatting>
  <conditionalFormatting sqref="AF10">
    <cfRule type="expression" dxfId="331" priority="51" stopIfTrue="1">
      <formula>MOD(ROW(),2)=0</formula>
    </cfRule>
    <cfRule type="expression" dxfId="330" priority="52" stopIfTrue="1">
      <formula>MOD(ROW(),2)&lt;&gt;0</formula>
    </cfRule>
  </conditionalFormatting>
  <conditionalFormatting sqref="AF17:AF21">
    <cfRule type="expression" dxfId="329" priority="15" stopIfTrue="1">
      <formula>MOD(ROW(),2)=0</formula>
    </cfRule>
    <cfRule type="expression" dxfId="328" priority="16" stopIfTrue="1">
      <formula>MOD(ROW(),2)&lt;&gt;0</formula>
    </cfRule>
  </conditionalFormatting>
  <conditionalFormatting sqref="AF6:AQ21">
    <cfRule type="expression" dxfId="327" priority="92" stopIfTrue="1">
      <formula>MOD(ROW(),2)&lt;&gt;0</formula>
    </cfRule>
    <cfRule type="expression" dxfId="326" priority="91" stopIfTrue="1">
      <formula>MOD(ROW(),2)=0</formula>
    </cfRule>
  </conditionalFormatting>
  <conditionalFormatting sqref="AT6:AT21">
    <cfRule type="expression" dxfId="325" priority="2" stopIfTrue="1">
      <formula>MOD(ROW(),2)&lt;&gt;0</formula>
    </cfRule>
    <cfRule type="expression" dxfId="324" priority="1" stopIfTrue="1">
      <formula>MOD(ROW(),2)=0</formula>
    </cfRule>
  </conditionalFormatting>
  <conditionalFormatting sqref="AU6:AU21">
    <cfRule type="expression" dxfId="323" priority="96" stopIfTrue="1">
      <formula>MOD(ROW(),2)&lt;&gt;0</formula>
    </cfRule>
    <cfRule type="expression" dxfId="322" priority="95" stopIfTrue="1">
      <formula>MOD(ROW(),2)=0</formula>
    </cfRule>
  </conditionalFormatting>
  <conditionalFormatting sqref="AU10">
    <cfRule type="expression" dxfId="321" priority="49" stopIfTrue="1">
      <formula>MOD(ROW(),2)=0</formula>
    </cfRule>
    <cfRule type="expression" dxfId="320" priority="50" stopIfTrue="1">
      <formula>MOD(ROW(),2)&lt;&gt;0</formula>
    </cfRule>
  </conditionalFormatting>
  <conditionalFormatting sqref="AU17:AU21">
    <cfRule type="expression" dxfId="319" priority="11" stopIfTrue="1">
      <formula>MOD(ROW(),2)=0</formula>
    </cfRule>
    <cfRule type="expression" dxfId="318" priority="12" stopIfTrue="1">
      <formula>MOD(ROW(),2)&lt;&gt;0</formula>
    </cfRule>
  </conditionalFormatting>
  <hyperlinks>
    <hyperlink ref="B24" location="Sheet1!A1" display="Assumptions" xr:uid="{097DFF45-236C-4D36-94CE-A446C47FE99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09"/>
  <dimension ref="A1:AF76"/>
  <sheetViews>
    <sheetView showGridLines="0" zoomScale="85" zoomScaleNormal="85" workbookViewId="0">
      <selection activeCell="A4" sqref="A4"/>
    </sheetView>
  </sheetViews>
  <sheetFormatPr defaultColWidth="10" defaultRowHeight="13.2" x14ac:dyDescent="0.25"/>
  <cols>
    <col min="1" max="1" width="31.5546875" style="27" customWidth="1"/>
    <col min="2" max="13" width="22.5546875" style="27" customWidth="1"/>
    <col min="14" max="15" width="10" style="27"/>
    <col min="16" max="16" width="31.5546875" style="27" customWidth="1"/>
    <col min="17" max="28" width="22.5546875" style="27" customWidth="1"/>
    <col min="29" max="30" width="10" style="27"/>
    <col min="31" max="31" width="31.5546875" style="27" customWidth="1"/>
    <col min="32" max="32" width="65" style="27" customWidth="1"/>
    <col min="33" max="16384" width="10" style="27"/>
  </cols>
  <sheetData>
    <row r="1" spans="1:32" ht="21" x14ac:dyDescent="0.4">
      <c r="A1" s="39" t="s">
        <v>0</v>
      </c>
      <c r="B1" s="40"/>
      <c r="C1" s="40"/>
      <c r="D1" s="40"/>
      <c r="E1" s="40"/>
      <c r="F1" s="40"/>
      <c r="G1" s="40"/>
      <c r="H1" s="40"/>
      <c r="I1" s="40"/>
    </row>
    <row r="2" spans="1:32"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32" ht="15.6" x14ac:dyDescent="0.3">
      <c r="A3" s="43" t="str">
        <f>TABLE_FACTOR_TYPE_1&amp;" - x-"&amp;TABLE_SERIES_NUMBER_1</f>
        <v>EPA - x-731</v>
      </c>
      <c r="B3" s="42"/>
      <c r="C3" s="42"/>
      <c r="D3" s="42"/>
      <c r="E3" s="42"/>
      <c r="F3" s="42"/>
      <c r="G3" s="42"/>
      <c r="H3" s="42"/>
      <c r="I3" s="42"/>
    </row>
    <row r="4" spans="1:32" x14ac:dyDescent="0.25">
      <c r="A4" s="44"/>
    </row>
    <row r="6" spans="1:32" x14ac:dyDescent="0.25">
      <c r="A6" s="76" t="s">
        <v>290</v>
      </c>
      <c r="B6" s="129" t="s">
        <v>291</v>
      </c>
      <c r="C6" s="129"/>
      <c r="D6" s="129"/>
      <c r="E6" s="129"/>
      <c r="F6" s="129"/>
      <c r="G6" s="129"/>
      <c r="H6" s="129"/>
      <c r="I6" s="129"/>
      <c r="J6" s="129"/>
      <c r="K6" s="129"/>
      <c r="L6" s="129"/>
      <c r="M6" s="129"/>
      <c r="P6" s="76" t="s">
        <v>290</v>
      </c>
      <c r="Q6" s="183" t="s">
        <v>291</v>
      </c>
      <c r="R6" s="78"/>
      <c r="S6" s="78"/>
      <c r="T6" s="78"/>
      <c r="U6" s="78"/>
      <c r="V6" s="78"/>
      <c r="W6" s="78"/>
      <c r="X6" s="78"/>
      <c r="Y6" s="78"/>
      <c r="Z6" s="78"/>
      <c r="AA6" s="78"/>
      <c r="AB6" s="78"/>
      <c r="AE6" s="76" t="s">
        <v>290</v>
      </c>
      <c r="AF6" s="78" t="s">
        <v>291</v>
      </c>
    </row>
    <row r="7" spans="1:32" ht="16.2" customHeight="1" x14ac:dyDescent="0.25">
      <c r="A7" s="77" t="s">
        <v>804</v>
      </c>
      <c r="B7" s="129" t="s">
        <v>324</v>
      </c>
      <c r="C7" s="129"/>
      <c r="D7" s="129"/>
      <c r="E7" s="129"/>
      <c r="F7" s="129"/>
      <c r="G7" s="129"/>
      <c r="H7" s="129"/>
      <c r="I7" s="129"/>
      <c r="J7" s="129"/>
      <c r="K7" s="129"/>
      <c r="L7" s="129"/>
      <c r="M7" s="129"/>
      <c r="P7" s="77" t="s">
        <v>804</v>
      </c>
      <c r="Q7" s="129" t="s">
        <v>324</v>
      </c>
      <c r="R7" s="79"/>
      <c r="S7" s="79"/>
      <c r="T7" s="79"/>
      <c r="U7" s="79"/>
      <c r="V7" s="79"/>
      <c r="W7" s="79"/>
      <c r="X7" s="79"/>
      <c r="Y7" s="79"/>
      <c r="Z7" s="79"/>
      <c r="AA7" s="79"/>
      <c r="AB7" s="79"/>
      <c r="AE7" s="77" t="s">
        <v>804</v>
      </c>
      <c r="AF7" s="79" t="s">
        <v>324</v>
      </c>
    </row>
    <row r="8" spans="1:32" x14ac:dyDescent="0.25">
      <c r="A8" s="77" t="s">
        <v>805</v>
      </c>
      <c r="B8" s="129" t="s">
        <v>85</v>
      </c>
      <c r="C8" s="129"/>
      <c r="D8" s="129"/>
      <c r="E8" s="129"/>
      <c r="F8" s="129"/>
      <c r="G8" s="129"/>
      <c r="H8" s="129"/>
      <c r="I8" s="129"/>
      <c r="J8" s="129"/>
      <c r="K8" s="129"/>
      <c r="L8" s="129"/>
      <c r="M8" s="129"/>
      <c r="P8" s="77" t="s">
        <v>805</v>
      </c>
      <c r="Q8" s="129" t="s">
        <v>85</v>
      </c>
      <c r="R8" s="79"/>
      <c r="S8" s="79"/>
      <c r="T8" s="79"/>
      <c r="U8" s="79"/>
      <c r="V8" s="79"/>
      <c r="W8" s="79"/>
      <c r="X8" s="79"/>
      <c r="Y8" s="79"/>
      <c r="Z8" s="79"/>
      <c r="AA8" s="79"/>
      <c r="AB8" s="79"/>
      <c r="AE8" s="77" t="s">
        <v>805</v>
      </c>
      <c r="AF8" s="79" t="s">
        <v>85</v>
      </c>
    </row>
    <row r="9" spans="1:32" x14ac:dyDescent="0.25">
      <c r="A9" s="77" t="s">
        <v>296</v>
      </c>
      <c r="B9" s="129" t="s">
        <v>647</v>
      </c>
      <c r="C9" s="129"/>
      <c r="D9" s="129"/>
      <c r="E9" s="129"/>
      <c r="F9" s="129"/>
      <c r="G9" s="129"/>
      <c r="H9" s="129"/>
      <c r="I9" s="129"/>
      <c r="J9" s="129"/>
      <c r="K9" s="129"/>
      <c r="L9" s="129"/>
      <c r="M9" s="129"/>
      <c r="P9" s="77" t="s">
        <v>296</v>
      </c>
      <c r="Q9" s="129" t="s">
        <v>647</v>
      </c>
      <c r="R9" s="79"/>
      <c r="S9" s="79"/>
      <c r="T9" s="79"/>
      <c r="U9" s="79"/>
      <c r="V9" s="79"/>
      <c r="W9" s="79"/>
      <c r="X9" s="79"/>
      <c r="Y9" s="79"/>
      <c r="Z9" s="79"/>
      <c r="AA9" s="79"/>
      <c r="AB9" s="79"/>
      <c r="AE9" s="77" t="s">
        <v>296</v>
      </c>
      <c r="AF9" s="79" t="s">
        <v>647</v>
      </c>
    </row>
    <row r="10" spans="1:32" x14ac:dyDescent="0.25">
      <c r="A10" s="77" t="s">
        <v>6</v>
      </c>
      <c r="B10" s="129" t="s">
        <v>660</v>
      </c>
      <c r="C10" s="129"/>
      <c r="D10" s="129"/>
      <c r="E10" s="129"/>
      <c r="F10" s="129"/>
      <c r="G10" s="129"/>
      <c r="H10" s="129"/>
      <c r="I10" s="129"/>
      <c r="J10" s="129"/>
      <c r="K10" s="129"/>
      <c r="L10" s="129"/>
      <c r="M10" s="129"/>
      <c r="P10" s="77" t="s">
        <v>6</v>
      </c>
      <c r="Q10" s="129" t="s">
        <v>962</v>
      </c>
      <c r="R10" s="79"/>
      <c r="S10" s="79"/>
      <c r="T10" s="79"/>
      <c r="U10" s="79"/>
      <c r="V10" s="79"/>
      <c r="W10" s="79"/>
      <c r="X10" s="79"/>
      <c r="Y10" s="79"/>
      <c r="Z10" s="79"/>
      <c r="AA10" s="79"/>
      <c r="AB10" s="79"/>
      <c r="AE10" s="77" t="s">
        <v>6</v>
      </c>
      <c r="AF10" s="79" t="s">
        <v>963</v>
      </c>
    </row>
    <row r="11" spans="1:32" x14ac:dyDescent="0.25">
      <c r="A11" s="77" t="s">
        <v>299</v>
      </c>
      <c r="B11" s="129" t="s">
        <v>364</v>
      </c>
      <c r="C11" s="129"/>
      <c r="D11" s="129"/>
      <c r="E11" s="129"/>
      <c r="F11" s="129"/>
      <c r="G11" s="129"/>
      <c r="H11" s="129"/>
      <c r="I11" s="129"/>
      <c r="J11" s="129"/>
      <c r="K11" s="129"/>
      <c r="L11" s="129"/>
      <c r="M11" s="129"/>
      <c r="P11" s="77" t="s">
        <v>299</v>
      </c>
      <c r="Q11" s="129" t="s">
        <v>364</v>
      </c>
      <c r="R11" s="79"/>
      <c r="S11" s="79"/>
      <c r="T11" s="79"/>
      <c r="U11" s="79"/>
      <c r="V11" s="79"/>
      <c r="W11" s="79"/>
      <c r="X11" s="79"/>
      <c r="Y11" s="79"/>
      <c r="Z11" s="79"/>
      <c r="AA11" s="79"/>
      <c r="AB11" s="79"/>
      <c r="AE11" s="77" t="s">
        <v>299</v>
      </c>
      <c r="AF11" s="79" t="s">
        <v>364</v>
      </c>
    </row>
    <row r="12" spans="1:32" x14ac:dyDescent="0.25">
      <c r="A12" s="77" t="s">
        <v>301</v>
      </c>
      <c r="B12" s="129" t="s">
        <v>649</v>
      </c>
      <c r="C12" s="129"/>
      <c r="D12" s="129"/>
      <c r="E12" s="129"/>
      <c r="F12" s="129"/>
      <c r="G12" s="129"/>
      <c r="H12" s="129"/>
      <c r="I12" s="129"/>
      <c r="J12" s="129"/>
      <c r="K12" s="129"/>
      <c r="L12" s="129"/>
      <c r="M12" s="129"/>
      <c r="P12" s="77" t="s">
        <v>301</v>
      </c>
      <c r="Q12" s="129" t="s">
        <v>649</v>
      </c>
      <c r="R12" s="79"/>
      <c r="S12" s="79"/>
      <c r="T12" s="79"/>
      <c r="U12" s="79"/>
      <c r="V12" s="79"/>
      <c r="W12" s="79"/>
      <c r="X12" s="79"/>
      <c r="Y12" s="79"/>
      <c r="Z12" s="79"/>
      <c r="AA12" s="79"/>
      <c r="AB12" s="79"/>
      <c r="AE12" s="77" t="s">
        <v>301</v>
      </c>
      <c r="AF12" s="79" t="s">
        <v>658</v>
      </c>
    </row>
    <row r="13" spans="1:32" x14ac:dyDescent="0.25">
      <c r="A13" s="77" t="s">
        <v>806</v>
      </c>
      <c r="B13" s="129">
        <v>0</v>
      </c>
      <c r="C13" s="129"/>
      <c r="D13" s="129"/>
      <c r="E13" s="129"/>
      <c r="F13" s="129"/>
      <c r="G13" s="129"/>
      <c r="H13" s="129"/>
      <c r="I13" s="129"/>
      <c r="J13" s="129"/>
      <c r="K13" s="129"/>
      <c r="L13" s="129"/>
      <c r="M13" s="129"/>
      <c r="P13" s="77" t="s">
        <v>806</v>
      </c>
      <c r="Q13" s="129">
        <v>0</v>
      </c>
      <c r="R13" s="79"/>
      <c r="S13" s="79"/>
      <c r="T13" s="79"/>
      <c r="U13" s="79"/>
      <c r="V13" s="79"/>
      <c r="W13" s="79"/>
      <c r="X13" s="79"/>
      <c r="Y13" s="79"/>
      <c r="Z13" s="79"/>
      <c r="AA13" s="79"/>
      <c r="AB13" s="79"/>
      <c r="AE13" s="77" t="s">
        <v>806</v>
      </c>
      <c r="AF13" s="79">
        <v>0</v>
      </c>
    </row>
    <row r="14" spans="1:32" x14ac:dyDescent="0.25">
      <c r="A14" s="77" t="s">
        <v>305</v>
      </c>
      <c r="B14" s="129">
        <v>731</v>
      </c>
      <c r="C14" s="129"/>
      <c r="D14" s="129"/>
      <c r="E14" s="129"/>
      <c r="F14" s="129"/>
      <c r="G14" s="129"/>
      <c r="H14" s="129"/>
      <c r="I14" s="129"/>
      <c r="J14" s="129"/>
      <c r="K14" s="129"/>
      <c r="L14" s="129"/>
      <c r="M14" s="129"/>
      <c r="P14" s="77" t="s">
        <v>305</v>
      </c>
      <c r="Q14" s="129">
        <v>731</v>
      </c>
      <c r="R14" s="79"/>
      <c r="S14" s="79"/>
      <c r="T14" s="79"/>
      <c r="U14" s="79"/>
      <c r="V14" s="79"/>
      <c r="W14" s="79"/>
      <c r="X14" s="79"/>
      <c r="Y14" s="79"/>
      <c r="Z14" s="79"/>
      <c r="AA14" s="79"/>
      <c r="AB14" s="79"/>
      <c r="AE14" s="77" t="s">
        <v>305</v>
      </c>
      <c r="AF14" s="79">
        <v>731</v>
      </c>
    </row>
    <row r="15" spans="1:32" x14ac:dyDescent="0.25">
      <c r="A15" s="77" t="s">
        <v>307</v>
      </c>
      <c r="B15" s="129" t="s">
        <v>661</v>
      </c>
      <c r="C15" s="129"/>
      <c r="D15" s="129"/>
      <c r="E15" s="129"/>
      <c r="F15" s="129"/>
      <c r="G15" s="129"/>
      <c r="H15" s="129"/>
      <c r="I15" s="129"/>
      <c r="J15" s="129"/>
      <c r="K15" s="129"/>
      <c r="L15" s="129"/>
      <c r="M15" s="129"/>
      <c r="P15" s="77" t="s">
        <v>307</v>
      </c>
      <c r="Q15" s="129" t="s">
        <v>964</v>
      </c>
      <c r="R15" s="79"/>
      <c r="S15" s="79"/>
      <c r="T15" s="79"/>
      <c r="U15" s="79"/>
      <c r="V15" s="79"/>
      <c r="W15" s="79"/>
      <c r="X15" s="79"/>
      <c r="Y15" s="79"/>
      <c r="Z15" s="79"/>
      <c r="AA15" s="79"/>
      <c r="AB15" s="79"/>
      <c r="AE15" s="77" t="s">
        <v>307</v>
      </c>
      <c r="AF15" s="79" t="s">
        <v>965</v>
      </c>
    </row>
    <row r="16" spans="1:32" x14ac:dyDescent="0.25">
      <c r="A16" s="77" t="s">
        <v>309</v>
      </c>
      <c r="B16" s="129" t="s">
        <v>662</v>
      </c>
      <c r="C16" s="129"/>
      <c r="D16" s="129"/>
      <c r="E16" s="129"/>
      <c r="F16" s="129"/>
      <c r="G16" s="129"/>
      <c r="H16" s="129"/>
      <c r="I16" s="129"/>
      <c r="J16" s="129"/>
      <c r="K16" s="129"/>
      <c r="L16" s="129"/>
      <c r="M16" s="129"/>
      <c r="P16" s="77" t="s">
        <v>309</v>
      </c>
      <c r="Q16" s="129" t="s">
        <v>662</v>
      </c>
      <c r="R16" s="79"/>
      <c r="S16" s="79"/>
      <c r="T16" s="79"/>
      <c r="U16" s="79"/>
      <c r="V16" s="79"/>
      <c r="W16" s="79"/>
      <c r="X16" s="79"/>
      <c r="Y16" s="79"/>
      <c r="Z16" s="79"/>
      <c r="AA16" s="79"/>
      <c r="AB16" s="79"/>
      <c r="AE16" s="77" t="s">
        <v>309</v>
      </c>
      <c r="AF16" s="79" t="s">
        <v>662</v>
      </c>
    </row>
    <row r="17" spans="1:32" ht="52.8" x14ac:dyDescent="0.25">
      <c r="A17" s="77" t="s">
        <v>803</v>
      </c>
      <c r="B17" s="129"/>
      <c r="C17" s="129"/>
      <c r="D17" s="129"/>
      <c r="E17" s="129"/>
      <c r="F17" s="129"/>
      <c r="G17" s="129"/>
      <c r="H17" s="129"/>
      <c r="I17" s="129"/>
      <c r="J17" s="129"/>
      <c r="K17" s="129"/>
      <c r="L17" s="129"/>
      <c r="M17" s="129"/>
      <c r="P17" s="77" t="s">
        <v>803</v>
      </c>
      <c r="Q17" s="129" t="s">
        <v>652</v>
      </c>
      <c r="R17" s="79"/>
      <c r="S17" s="79"/>
      <c r="T17" s="79"/>
      <c r="U17" s="79"/>
      <c r="V17" s="79"/>
      <c r="W17" s="79"/>
      <c r="X17" s="79"/>
      <c r="Y17" s="79"/>
      <c r="Z17" s="79"/>
      <c r="AA17" s="79"/>
      <c r="AB17" s="79"/>
      <c r="AE17" s="77" t="s">
        <v>803</v>
      </c>
      <c r="AF17" s="79" t="s">
        <v>652</v>
      </c>
    </row>
    <row r="18" spans="1:32" x14ac:dyDescent="0.25">
      <c r="A18" s="77" t="s">
        <v>313</v>
      </c>
      <c r="B18" s="187">
        <v>45184</v>
      </c>
      <c r="C18" s="129"/>
      <c r="D18" s="129"/>
      <c r="E18" s="129"/>
      <c r="F18" s="129"/>
      <c r="G18" s="129"/>
      <c r="H18" s="129"/>
      <c r="I18" s="129"/>
      <c r="J18" s="129"/>
      <c r="K18" s="129"/>
      <c r="L18" s="129"/>
      <c r="M18" s="129"/>
      <c r="P18" s="77" t="s">
        <v>313</v>
      </c>
      <c r="Q18" s="184">
        <v>45184</v>
      </c>
      <c r="R18" s="79"/>
      <c r="S18" s="79"/>
      <c r="T18" s="79"/>
      <c r="U18" s="79"/>
      <c r="V18" s="79"/>
      <c r="W18" s="79"/>
      <c r="X18" s="79"/>
      <c r="Y18" s="79"/>
      <c r="Z18" s="79"/>
      <c r="AA18" s="79"/>
      <c r="AB18" s="79"/>
      <c r="AE18" s="77" t="s">
        <v>313</v>
      </c>
      <c r="AF18" s="136">
        <v>45184</v>
      </c>
    </row>
    <row r="19" spans="1:32" x14ac:dyDescent="0.25">
      <c r="A19" s="77" t="s">
        <v>315</v>
      </c>
      <c r="B19" s="187"/>
      <c r="C19" s="129"/>
      <c r="D19" s="129"/>
      <c r="E19" s="129"/>
      <c r="F19" s="129"/>
      <c r="G19" s="129"/>
      <c r="H19" s="129"/>
      <c r="I19" s="129"/>
      <c r="J19" s="129"/>
      <c r="K19" s="129"/>
      <c r="L19" s="129"/>
      <c r="M19" s="129"/>
      <c r="P19" s="77" t="s">
        <v>315</v>
      </c>
      <c r="Q19" s="185"/>
      <c r="R19" s="79"/>
      <c r="S19" s="79"/>
      <c r="T19" s="79"/>
      <c r="U19" s="79"/>
      <c r="V19" s="79"/>
      <c r="W19" s="79"/>
      <c r="X19" s="79"/>
      <c r="Y19" s="79"/>
      <c r="Z19" s="79"/>
      <c r="AA19" s="79"/>
      <c r="AB19" s="79"/>
      <c r="AE19" s="77" t="s">
        <v>315</v>
      </c>
      <c r="AF19" s="82"/>
    </row>
    <row r="20" spans="1:32" x14ac:dyDescent="0.25">
      <c r="A20" s="77" t="s">
        <v>317</v>
      </c>
      <c r="B20" s="129" t="s">
        <v>331</v>
      </c>
      <c r="C20" s="129"/>
      <c r="D20" s="129"/>
      <c r="E20" s="129"/>
      <c r="F20" s="129"/>
      <c r="G20" s="129"/>
      <c r="H20" s="129"/>
      <c r="I20" s="129"/>
      <c r="J20" s="129"/>
      <c r="K20" s="129"/>
      <c r="L20" s="129"/>
      <c r="M20" s="129"/>
      <c r="P20" s="77" t="s">
        <v>317</v>
      </c>
      <c r="Q20" s="185" t="s">
        <v>331</v>
      </c>
      <c r="R20" s="79"/>
      <c r="S20" s="79"/>
      <c r="T20" s="79"/>
      <c r="U20" s="79"/>
      <c r="V20" s="79"/>
      <c r="W20" s="79"/>
      <c r="X20" s="79"/>
      <c r="Y20" s="79"/>
      <c r="Z20" s="79"/>
      <c r="AA20" s="79"/>
      <c r="AB20" s="79"/>
      <c r="AE20" s="77" t="s">
        <v>317</v>
      </c>
      <c r="AF20" s="82" t="s">
        <v>331</v>
      </c>
    </row>
    <row r="21" spans="1:32" x14ac:dyDescent="0.25">
      <c r="A21" s="77" t="s">
        <v>323</v>
      </c>
      <c r="B21" s="129" t="s">
        <v>332</v>
      </c>
      <c r="C21" s="129"/>
      <c r="D21" s="129"/>
      <c r="E21" s="129"/>
      <c r="F21" s="129"/>
      <c r="G21" s="129"/>
      <c r="H21" s="129"/>
      <c r="I21" s="129"/>
      <c r="J21" s="129"/>
      <c r="K21" s="129"/>
      <c r="L21" s="129"/>
      <c r="M21" s="129"/>
      <c r="P21" s="77" t="s">
        <v>966</v>
      </c>
      <c r="Q21" s="185" t="s">
        <v>332</v>
      </c>
      <c r="R21" s="79"/>
      <c r="S21" s="79"/>
      <c r="T21" s="79"/>
      <c r="U21" s="79"/>
      <c r="V21" s="79"/>
      <c r="W21" s="79"/>
      <c r="X21" s="79"/>
      <c r="Y21" s="79"/>
      <c r="Z21" s="79"/>
      <c r="AA21" s="79"/>
      <c r="AB21" s="79"/>
      <c r="AE21" s="77" t="s">
        <v>966</v>
      </c>
      <c r="AF21" s="82" t="s">
        <v>332</v>
      </c>
    </row>
    <row r="22" spans="1:32" x14ac:dyDescent="0.25">
      <c r="P22" s="77" t="s">
        <v>323</v>
      </c>
      <c r="Q22" s="129"/>
    </row>
    <row r="23" spans="1:32" x14ac:dyDescent="0.25">
      <c r="B23" s="102" t="str">
        <f>HYPERLINK("#'Factor List'!A1","Back to Factor List")</f>
        <v>Back to Factor List</v>
      </c>
    </row>
    <row r="24" spans="1:32" x14ac:dyDescent="0.25">
      <c r="B24" s="102" t="s">
        <v>13</v>
      </c>
    </row>
    <row r="25" spans="1:32" x14ac:dyDescent="0.25">
      <c r="B25" s="102"/>
    </row>
    <row r="26" spans="1:32" ht="26.4" x14ac:dyDescent="0.25">
      <c r="A26" s="73" t="s">
        <v>960</v>
      </c>
      <c r="B26" s="73">
        <v>0</v>
      </c>
      <c r="C26" s="73">
        <v>1</v>
      </c>
      <c r="D26" s="73">
        <v>2</v>
      </c>
      <c r="E26" s="73">
        <v>3</v>
      </c>
      <c r="F26" s="73">
        <v>4</v>
      </c>
      <c r="G26" s="73">
        <v>5</v>
      </c>
      <c r="H26" s="73">
        <v>6</v>
      </c>
      <c r="I26" s="73">
        <v>7</v>
      </c>
      <c r="J26" s="73">
        <v>8</v>
      </c>
      <c r="K26" s="73">
        <v>9</v>
      </c>
      <c r="L26" s="73">
        <v>10</v>
      </c>
      <c r="M26" s="73">
        <v>11</v>
      </c>
      <c r="P26" s="73" t="s">
        <v>960</v>
      </c>
      <c r="Q26" s="73">
        <v>0</v>
      </c>
      <c r="R26" s="73">
        <v>1</v>
      </c>
      <c r="S26" s="73">
        <v>2</v>
      </c>
      <c r="T26" s="73">
        <v>3</v>
      </c>
      <c r="U26" s="73">
        <v>4</v>
      </c>
      <c r="V26" s="73">
        <v>5</v>
      </c>
      <c r="W26" s="73">
        <v>6</v>
      </c>
      <c r="X26" s="73">
        <v>7</v>
      </c>
      <c r="Y26" s="73">
        <v>8</v>
      </c>
      <c r="Z26" s="73">
        <v>9</v>
      </c>
      <c r="AA26" s="73">
        <v>10</v>
      </c>
      <c r="AB26" s="73">
        <v>11</v>
      </c>
      <c r="AE26" s="73" t="s">
        <v>373</v>
      </c>
      <c r="AF26" s="73" t="s">
        <v>967</v>
      </c>
    </row>
    <row r="27" spans="1:32" x14ac:dyDescent="0.25">
      <c r="A27" s="74">
        <v>20</v>
      </c>
      <c r="B27" s="90">
        <v>2.1000000000000001E-2</v>
      </c>
      <c r="C27" s="90">
        <v>2.1000000000000001E-2</v>
      </c>
      <c r="D27" s="90">
        <v>2.1000000000000001E-2</v>
      </c>
      <c r="E27" s="90">
        <v>2.1000000000000001E-2</v>
      </c>
      <c r="F27" s="90">
        <v>2.1000000000000001E-2</v>
      </c>
      <c r="G27" s="90">
        <v>2.1000000000000001E-2</v>
      </c>
      <c r="H27" s="90">
        <v>2.1000000000000001E-2</v>
      </c>
      <c r="I27" s="90">
        <v>2.1000000000000001E-2</v>
      </c>
      <c r="J27" s="90">
        <v>2.1000000000000001E-2</v>
      </c>
      <c r="K27" s="90">
        <v>2.1000000000000001E-2</v>
      </c>
      <c r="L27" s="90">
        <v>2.1000000000000001E-2</v>
      </c>
      <c r="M27" s="90">
        <v>2.1000000000000001E-2</v>
      </c>
      <c r="P27" s="74">
        <v>20</v>
      </c>
      <c r="Q27" s="90">
        <v>2.1000000000000001E-2</v>
      </c>
      <c r="R27" s="90">
        <v>2.1000000000000001E-2</v>
      </c>
      <c r="S27" s="90">
        <v>2.1000000000000001E-2</v>
      </c>
      <c r="T27" s="90">
        <v>2.1000000000000001E-2</v>
      </c>
      <c r="U27" s="90">
        <v>2.1000000000000001E-2</v>
      </c>
      <c r="V27" s="90">
        <v>2.1000000000000001E-2</v>
      </c>
      <c r="W27" s="90">
        <v>2.1000000000000001E-2</v>
      </c>
      <c r="X27" s="90">
        <v>2.1000000000000001E-2</v>
      </c>
      <c r="Y27" s="90">
        <v>2.1000000000000001E-2</v>
      </c>
      <c r="Z27" s="90">
        <v>0.02</v>
      </c>
      <c r="AA27" s="90">
        <v>0.02</v>
      </c>
      <c r="AB27" s="90">
        <v>0.02</v>
      </c>
      <c r="AE27" s="91">
        <v>16</v>
      </c>
      <c r="AF27" s="92">
        <v>1.9E-2</v>
      </c>
    </row>
    <row r="28" spans="1:32" x14ac:dyDescent="0.25">
      <c r="A28" s="74">
        <v>21</v>
      </c>
      <c r="B28" s="90">
        <v>2.1999999999999999E-2</v>
      </c>
      <c r="C28" s="90">
        <v>2.1999999999999999E-2</v>
      </c>
      <c r="D28" s="90">
        <v>2.1999999999999999E-2</v>
      </c>
      <c r="E28" s="90">
        <v>2.1000000000000001E-2</v>
      </c>
      <c r="F28" s="90">
        <v>2.1000000000000001E-2</v>
      </c>
      <c r="G28" s="90">
        <v>2.1000000000000001E-2</v>
      </c>
      <c r="H28" s="90">
        <v>2.1000000000000001E-2</v>
      </c>
      <c r="I28" s="90">
        <v>2.1000000000000001E-2</v>
      </c>
      <c r="J28" s="90">
        <v>2.1000000000000001E-2</v>
      </c>
      <c r="K28" s="90">
        <v>2.1000000000000001E-2</v>
      </c>
      <c r="L28" s="90">
        <v>2.1000000000000001E-2</v>
      </c>
      <c r="M28" s="90">
        <v>2.1000000000000001E-2</v>
      </c>
      <c r="P28" s="74">
        <v>21</v>
      </c>
      <c r="Q28" s="90">
        <v>2.1000000000000001E-2</v>
      </c>
      <c r="R28" s="90">
        <v>2.1000000000000001E-2</v>
      </c>
      <c r="S28" s="90">
        <v>2.1000000000000001E-2</v>
      </c>
      <c r="T28" s="90">
        <v>2.1000000000000001E-2</v>
      </c>
      <c r="U28" s="90">
        <v>2.1000000000000001E-2</v>
      </c>
      <c r="V28" s="90">
        <v>2.1000000000000001E-2</v>
      </c>
      <c r="W28" s="90">
        <v>2.1000000000000001E-2</v>
      </c>
      <c r="X28" s="90">
        <v>2.1000000000000001E-2</v>
      </c>
      <c r="Y28" s="90">
        <v>2.1000000000000001E-2</v>
      </c>
      <c r="Z28" s="90">
        <v>2.1000000000000001E-2</v>
      </c>
      <c r="AA28" s="90">
        <v>2.1000000000000001E-2</v>
      </c>
      <c r="AB28" s="90">
        <v>2.1000000000000001E-2</v>
      </c>
      <c r="AE28" s="91">
        <v>17</v>
      </c>
      <c r="AF28" s="92">
        <v>1.9E-2</v>
      </c>
    </row>
    <row r="29" spans="1:32" x14ac:dyDescent="0.25">
      <c r="A29" s="74">
        <v>22</v>
      </c>
      <c r="B29" s="90">
        <v>2.1999999999999999E-2</v>
      </c>
      <c r="C29" s="90">
        <v>2.1999999999999999E-2</v>
      </c>
      <c r="D29" s="90">
        <v>2.1999999999999999E-2</v>
      </c>
      <c r="E29" s="90">
        <v>2.1999999999999999E-2</v>
      </c>
      <c r="F29" s="90">
        <v>2.1999999999999999E-2</v>
      </c>
      <c r="G29" s="90">
        <v>2.1999999999999999E-2</v>
      </c>
      <c r="H29" s="90">
        <v>2.1999999999999999E-2</v>
      </c>
      <c r="I29" s="90">
        <v>2.1999999999999999E-2</v>
      </c>
      <c r="J29" s="90">
        <v>2.1999999999999999E-2</v>
      </c>
      <c r="K29" s="90">
        <v>2.1999999999999999E-2</v>
      </c>
      <c r="L29" s="90">
        <v>2.1999999999999999E-2</v>
      </c>
      <c r="M29" s="90">
        <v>2.1999999999999999E-2</v>
      </c>
      <c r="P29" s="74">
        <v>22</v>
      </c>
      <c r="Q29" s="90">
        <v>2.1000000000000001E-2</v>
      </c>
      <c r="R29" s="90">
        <v>2.1000000000000001E-2</v>
      </c>
      <c r="S29" s="90">
        <v>2.1000000000000001E-2</v>
      </c>
      <c r="T29" s="90">
        <v>2.1000000000000001E-2</v>
      </c>
      <c r="U29" s="90">
        <v>2.1000000000000001E-2</v>
      </c>
      <c r="V29" s="90">
        <v>2.1000000000000001E-2</v>
      </c>
      <c r="W29" s="90">
        <v>2.1000000000000001E-2</v>
      </c>
      <c r="X29" s="90">
        <v>2.1000000000000001E-2</v>
      </c>
      <c r="Y29" s="90">
        <v>2.1000000000000001E-2</v>
      </c>
      <c r="Z29" s="90">
        <v>2.1000000000000001E-2</v>
      </c>
      <c r="AA29" s="90">
        <v>2.1000000000000001E-2</v>
      </c>
      <c r="AB29" s="90">
        <v>2.1000000000000001E-2</v>
      </c>
      <c r="AE29" s="91">
        <v>18</v>
      </c>
      <c r="AF29" s="92">
        <v>0.02</v>
      </c>
    </row>
    <row r="30" spans="1:32" x14ac:dyDescent="0.25">
      <c r="A30" s="74">
        <v>23</v>
      </c>
      <c r="B30" s="90">
        <v>2.1999999999999999E-2</v>
      </c>
      <c r="C30" s="90">
        <v>2.1999999999999999E-2</v>
      </c>
      <c r="D30" s="90">
        <v>2.1999999999999999E-2</v>
      </c>
      <c r="E30" s="90">
        <v>2.1999999999999999E-2</v>
      </c>
      <c r="F30" s="90">
        <v>2.1999999999999999E-2</v>
      </c>
      <c r="G30" s="90">
        <v>2.1999999999999999E-2</v>
      </c>
      <c r="H30" s="90">
        <v>2.1999999999999999E-2</v>
      </c>
      <c r="I30" s="90">
        <v>2.1999999999999999E-2</v>
      </c>
      <c r="J30" s="90">
        <v>2.1999999999999999E-2</v>
      </c>
      <c r="K30" s="90">
        <v>2.1999999999999999E-2</v>
      </c>
      <c r="L30" s="90">
        <v>2.1999999999999999E-2</v>
      </c>
      <c r="M30" s="90">
        <v>2.1999999999999999E-2</v>
      </c>
      <c r="P30" s="74">
        <v>23</v>
      </c>
      <c r="Q30" s="90">
        <v>2.1999999999999999E-2</v>
      </c>
      <c r="R30" s="90">
        <v>2.1999999999999999E-2</v>
      </c>
      <c r="S30" s="90">
        <v>2.1999999999999999E-2</v>
      </c>
      <c r="T30" s="90">
        <v>2.1999999999999999E-2</v>
      </c>
      <c r="U30" s="90">
        <v>2.1999999999999999E-2</v>
      </c>
      <c r="V30" s="90">
        <v>2.1999999999999999E-2</v>
      </c>
      <c r="W30" s="90">
        <v>2.1999999999999999E-2</v>
      </c>
      <c r="X30" s="90">
        <v>2.1999999999999999E-2</v>
      </c>
      <c r="Y30" s="90">
        <v>2.1999999999999999E-2</v>
      </c>
      <c r="Z30" s="90">
        <v>2.1000000000000001E-2</v>
      </c>
      <c r="AA30" s="90">
        <v>2.1000000000000001E-2</v>
      </c>
      <c r="AB30" s="90">
        <v>2.1000000000000001E-2</v>
      </c>
      <c r="AE30" s="91">
        <v>19</v>
      </c>
      <c r="AF30" s="92">
        <v>0.02</v>
      </c>
    </row>
    <row r="31" spans="1:32" x14ac:dyDescent="0.25">
      <c r="A31" s="74">
        <v>24</v>
      </c>
      <c r="B31" s="90">
        <v>2.3E-2</v>
      </c>
      <c r="C31" s="90">
        <v>2.3E-2</v>
      </c>
      <c r="D31" s="90">
        <v>2.3E-2</v>
      </c>
      <c r="E31" s="90">
        <v>2.3E-2</v>
      </c>
      <c r="F31" s="90">
        <v>2.3E-2</v>
      </c>
      <c r="G31" s="90">
        <v>2.1999999999999999E-2</v>
      </c>
      <c r="H31" s="90">
        <v>2.1999999999999999E-2</v>
      </c>
      <c r="I31" s="90">
        <v>2.1999999999999999E-2</v>
      </c>
      <c r="J31" s="90">
        <v>2.1999999999999999E-2</v>
      </c>
      <c r="K31" s="90">
        <v>2.1999999999999999E-2</v>
      </c>
      <c r="L31" s="90">
        <v>2.1999999999999999E-2</v>
      </c>
      <c r="M31" s="90">
        <v>2.1999999999999999E-2</v>
      </c>
      <c r="P31" s="74">
        <v>24</v>
      </c>
      <c r="Q31" s="90">
        <v>2.1999999999999999E-2</v>
      </c>
      <c r="R31" s="90">
        <v>2.1999999999999999E-2</v>
      </c>
      <c r="S31" s="90">
        <v>2.1999999999999999E-2</v>
      </c>
      <c r="T31" s="90">
        <v>2.1999999999999999E-2</v>
      </c>
      <c r="U31" s="90">
        <v>2.1999999999999999E-2</v>
      </c>
      <c r="V31" s="90">
        <v>2.1999999999999999E-2</v>
      </c>
      <c r="W31" s="90">
        <v>2.1999999999999999E-2</v>
      </c>
      <c r="X31" s="90">
        <v>2.1999999999999999E-2</v>
      </c>
      <c r="Y31" s="90">
        <v>2.1999999999999999E-2</v>
      </c>
      <c r="Z31" s="90">
        <v>2.1999999999999999E-2</v>
      </c>
      <c r="AA31" s="90">
        <v>2.1999999999999999E-2</v>
      </c>
      <c r="AB31" s="90">
        <v>2.1999999999999999E-2</v>
      </c>
      <c r="AE31" s="74">
        <v>20</v>
      </c>
      <c r="AF31" s="90">
        <v>0.02</v>
      </c>
    </row>
    <row r="32" spans="1:32" x14ac:dyDescent="0.25">
      <c r="A32" s="74">
        <v>25</v>
      </c>
      <c r="B32" s="90">
        <v>2.3E-2</v>
      </c>
      <c r="C32" s="90">
        <v>2.3E-2</v>
      </c>
      <c r="D32" s="90">
        <v>2.3E-2</v>
      </c>
      <c r="E32" s="90">
        <v>2.3E-2</v>
      </c>
      <c r="F32" s="90">
        <v>2.3E-2</v>
      </c>
      <c r="G32" s="90">
        <v>2.3E-2</v>
      </c>
      <c r="H32" s="90">
        <v>2.3E-2</v>
      </c>
      <c r="I32" s="90">
        <v>2.3E-2</v>
      </c>
      <c r="J32" s="90">
        <v>2.3E-2</v>
      </c>
      <c r="K32" s="90">
        <v>2.3E-2</v>
      </c>
      <c r="L32" s="90">
        <v>2.3E-2</v>
      </c>
      <c r="M32" s="90">
        <v>2.3E-2</v>
      </c>
      <c r="P32" s="74">
        <v>25</v>
      </c>
      <c r="Q32" s="90">
        <v>2.3E-2</v>
      </c>
      <c r="R32" s="90">
        <v>2.3E-2</v>
      </c>
      <c r="S32" s="90">
        <v>2.3E-2</v>
      </c>
      <c r="T32" s="90">
        <v>2.1999999999999999E-2</v>
      </c>
      <c r="U32" s="90">
        <v>2.1999999999999999E-2</v>
      </c>
      <c r="V32" s="90">
        <v>2.1999999999999999E-2</v>
      </c>
      <c r="W32" s="90">
        <v>2.1999999999999999E-2</v>
      </c>
      <c r="X32" s="90">
        <v>2.1999999999999999E-2</v>
      </c>
      <c r="Y32" s="90">
        <v>2.1999999999999999E-2</v>
      </c>
      <c r="Z32" s="90">
        <v>2.1999999999999999E-2</v>
      </c>
      <c r="AA32" s="90">
        <v>2.1999999999999999E-2</v>
      </c>
      <c r="AB32" s="90">
        <v>2.1999999999999999E-2</v>
      </c>
      <c r="AE32" s="74">
        <v>21</v>
      </c>
      <c r="AF32" s="90">
        <v>2.1000000000000001E-2</v>
      </c>
    </row>
    <row r="33" spans="1:32" x14ac:dyDescent="0.25">
      <c r="A33" s="74">
        <v>26</v>
      </c>
      <c r="B33" s="90">
        <v>2.3E-2</v>
      </c>
      <c r="C33" s="90">
        <v>2.3E-2</v>
      </c>
      <c r="D33" s="90">
        <v>2.3E-2</v>
      </c>
      <c r="E33" s="90">
        <v>2.3E-2</v>
      </c>
      <c r="F33" s="90">
        <v>2.3E-2</v>
      </c>
      <c r="G33" s="90">
        <v>2.3E-2</v>
      </c>
      <c r="H33" s="90">
        <v>2.3E-2</v>
      </c>
      <c r="I33" s="90">
        <v>2.3E-2</v>
      </c>
      <c r="J33" s="90">
        <v>2.3E-2</v>
      </c>
      <c r="K33" s="90">
        <v>2.3E-2</v>
      </c>
      <c r="L33" s="90">
        <v>2.3E-2</v>
      </c>
      <c r="M33" s="90">
        <v>2.3E-2</v>
      </c>
      <c r="P33" s="74">
        <v>26</v>
      </c>
      <c r="Q33" s="90">
        <v>2.3E-2</v>
      </c>
      <c r="R33" s="90">
        <v>2.3E-2</v>
      </c>
      <c r="S33" s="90">
        <v>2.3E-2</v>
      </c>
      <c r="T33" s="90">
        <v>2.3E-2</v>
      </c>
      <c r="U33" s="90">
        <v>2.3E-2</v>
      </c>
      <c r="V33" s="90">
        <v>2.3E-2</v>
      </c>
      <c r="W33" s="90">
        <v>2.3E-2</v>
      </c>
      <c r="X33" s="90">
        <v>2.3E-2</v>
      </c>
      <c r="Y33" s="90">
        <v>2.3E-2</v>
      </c>
      <c r="Z33" s="90">
        <v>2.3E-2</v>
      </c>
      <c r="AA33" s="90">
        <v>2.3E-2</v>
      </c>
      <c r="AB33" s="90">
        <v>2.3E-2</v>
      </c>
      <c r="AE33" s="74">
        <v>22</v>
      </c>
      <c r="AF33" s="90">
        <v>2.1000000000000001E-2</v>
      </c>
    </row>
    <row r="34" spans="1:32" x14ac:dyDescent="0.25">
      <c r="A34" s="74">
        <v>27</v>
      </c>
      <c r="B34" s="90">
        <v>2.4E-2</v>
      </c>
      <c r="C34" s="90">
        <v>2.4E-2</v>
      </c>
      <c r="D34" s="90">
        <v>2.4E-2</v>
      </c>
      <c r="E34" s="90">
        <v>2.4E-2</v>
      </c>
      <c r="F34" s="90">
        <v>2.4E-2</v>
      </c>
      <c r="G34" s="90">
        <v>2.4E-2</v>
      </c>
      <c r="H34" s="90">
        <v>2.4E-2</v>
      </c>
      <c r="I34" s="90">
        <v>2.4E-2</v>
      </c>
      <c r="J34" s="90">
        <v>2.4E-2</v>
      </c>
      <c r="K34" s="90">
        <v>2.3E-2</v>
      </c>
      <c r="L34" s="90">
        <v>2.3E-2</v>
      </c>
      <c r="M34" s="90">
        <v>2.3E-2</v>
      </c>
      <c r="P34" s="74">
        <v>27</v>
      </c>
      <c r="Q34" s="90">
        <v>2.3E-2</v>
      </c>
      <c r="R34" s="90">
        <v>2.3E-2</v>
      </c>
      <c r="S34" s="90">
        <v>2.3E-2</v>
      </c>
      <c r="T34" s="90">
        <v>2.3E-2</v>
      </c>
      <c r="U34" s="90">
        <v>2.3E-2</v>
      </c>
      <c r="V34" s="90">
        <v>2.3E-2</v>
      </c>
      <c r="W34" s="90">
        <v>2.3E-2</v>
      </c>
      <c r="X34" s="90">
        <v>2.3E-2</v>
      </c>
      <c r="Y34" s="90">
        <v>2.3E-2</v>
      </c>
      <c r="Z34" s="90">
        <v>2.3E-2</v>
      </c>
      <c r="AA34" s="90">
        <v>2.3E-2</v>
      </c>
      <c r="AB34" s="90">
        <v>2.3E-2</v>
      </c>
      <c r="AE34" s="74">
        <v>23</v>
      </c>
      <c r="AF34" s="90">
        <v>2.1000000000000001E-2</v>
      </c>
    </row>
    <row r="35" spans="1:32" x14ac:dyDescent="0.25">
      <c r="A35" s="74">
        <v>28</v>
      </c>
      <c r="B35" s="90">
        <v>2.4E-2</v>
      </c>
      <c r="C35" s="90">
        <v>2.4E-2</v>
      </c>
      <c r="D35" s="90">
        <v>2.4E-2</v>
      </c>
      <c r="E35" s="90">
        <v>2.4E-2</v>
      </c>
      <c r="F35" s="90">
        <v>2.4E-2</v>
      </c>
      <c r="G35" s="90">
        <v>2.4E-2</v>
      </c>
      <c r="H35" s="90">
        <v>2.4E-2</v>
      </c>
      <c r="I35" s="90">
        <v>2.4E-2</v>
      </c>
      <c r="J35" s="90">
        <v>2.4E-2</v>
      </c>
      <c r="K35" s="90">
        <v>2.4E-2</v>
      </c>
      <c r="L35" s="90">
        <v>2.4E-2</v>
      </c>
      <c r="M35" s="90">
        <v>2.4E-2</v>
      </c>
      <c r="P35" s="74">
        <v>28</v>
      </c>
      <c r="Q35" s="90">
        <v>2.4E-2</v>
      </c>
      <c r="R35" s="90">
        <v>2.4E-2</v>
      </c>
      <c r="S35" s="90">
        <v>2.4E-2</v>
      </c>
      <c r="T35" s="90">
        <v>2.4E-2</v>
      </c>
      <c r="U35" s="90">
        <v>2.4E-2</v>
      </c>
      <c r="V35" s="90">
        <v>2.4E-2</v>
      </c>
      <c r="W35" s="90">
        <v>2.3E-2</v>
      </c>
      <c r="X35" s="90">
        <v>2.3E-2</v>
      </c>
      <c r="Y35" s="90">
        <v>2.3E-2</v>
      </c>
      <c r="Z35" s="90">
        <v>2.3E-2</v>
      </c>
      <c r="AA35" s="90">
        <v>2.3E-2</v>
      </c>
      <c r="AB35" s="90">
        <v>2.3E-2</v>
      </c>
      <c r="AE35" s="74">
        <v>24</v>
      </c>
      <c r="AF35" s="90">
        <v>2.1999999999999999E-2</v>
      </c>
    </row>
    <row r="36" spans="1:32" x14ac:dyDescent="0.25">
      <c r="A36" s="74">
        <v>29</v>
      </c>
      <c r="B36" s="90">
        <v>2.5000000000000001E-2</v>
      </c>
      <c r="C36" s="90">
        <v>2.5000000000000001E-2</v>
      </c>
      <c r="D36" s="90">
        <v>2.5000000000000001E-2</v>
      </c>
      <c r="E36" s="90">
        <v>2.5000000000000001E-2</v>
      </c>
      <c r="F36" s="90">
        <v>2.4E-2</v>
      </c>
      <c r="G36" s="90">
        <v>2.4E-2</v>
      </c>
      <c r="H36" s="90">
        <v>2.4E-2</v>
      </c>
      <c r="I36" s="90">
        <v>2.4E-2</v>
      </c>
      <c r="J36" s="90">
        <v>2.4E-2</v>
      </c>
      <c r="K36" s="90">
        <v>2.4E-2</v>
      </c>
      <c r="L36" s="90">
        <v>2.4E-2</v>
      </c>
      <c r="M36" s="90">
        <v>2.4E-2</v>
      </c>
      <c r="P36" s="74">
        <v>29</v>
      </c>
      <c r="Q36" s="90">
        <v>2.4E-2</v>
      </c>
      <c r="R36" s="90">
        <v>2.4E-2</v>
      </c>
      <c r="S36" s="90">
        <v>2.4E-2</v>
      </c>
      <c r="T36" s="90">
        <v>2.4E-2</v>
      </c>
      <c r="U36" s="90">
        <v>2.4E-2</v>
      </c>
      <c r="V36" s="90">
        <v>2.4E-2</v>
      </c>
      <c r="W36" s="90">
        <v>2.4E-2</v>
      </c>
      <c r="X36" s="90">
        <v>2.4E-2</v>
      </c>
      <c r="Y36" s="90">
        <v>2.4E-2</v>
      </c>
      <c r="Z36" s="90">
        <v>2.4E-2</v>
      </c>
      <c r="AA36" s="90">
        <v>2.4E-2</v>
      </c>
      <c r="AB36" s="90">
        <v>2.4E-2</v>
      </c>
      <c r="AE36" s="74">
        <v>25</v>
      </c>
      <c r="AF36" s="90">
        <v>2.1999999999999999E-2</v>
      </c>
    </row>
    <row r="37" spans="1:32" x14ac:dyDescent="0.25">
      <c r="A37" s="74">
        <v>30</v>
      </c>
      <c r="B37" s="90">
        <v>2.5000000000000001E-2</v>
      </c>
      <c r="C37" s="90">
        <v>2.5000000000000001E-2</v>
      </c>
      <c r="D37" s="90">
        <v>2.5000000000000001E-2</v>
      </c>
      <c r="E37" s="90">
        <v>2.5000000000000001E-2</v>
      </c>
      <c r="F37" s="90">
        <v>2.5000000000000001E-2</v>
      </c>
      <c r="G37" s="90">
        <v>2.5000000000000001E-2</v>
      </c>
      <c r="H37" s="90">
        <v>2.5000000000000001E-2</v>
      </c>
      <c r="I37" s="90">
        <v>2.5000000000000001E-2</v>
      </c>
      <c r="J37" s="90">
        <v>2.5000000000000001E-2</v>
      </c>
      <c r="K37" s="90">
        <v>2.5000000000000001E-2</v>
      </c>
      <c r="L37" s="90">
        <v>2.5000000000000001E-2</v>
      </c>
      <c r="M37" s="90">
        <v>2.5000000000000001E-2</v>
      </c>
      <c r="P37" s="74">
        <v>30</v>
      </c>
      <c r="Q37" s="90">
        <v>2.5000000000000001E-2</v>
      </c>
      <c r="R37" s="90">
        <v>2.4E-2</v>
      </c>
      <c r="S37" s="90">
        <v>2.4E-2</v>
      </c>
      <c r="T37" s="90">
        <v>2.4E-2</v>
      </c>
      <c r="U37" s="90">
        <v>2.4E-2</v>
      </c>
      <c r="V37" s="90">
        <v>2.4E-2</v>
      </c>
      <c r="W37" s="90">
        <v>2.4E-2</v>
      </c>
      <c r="X37" s="90">
        <v>2.4E-2</v>
      </c>
      <c r="Y37" s="90">
        <v>2.4E-2</v>
      </c>
      <c r="Z37" s="90">
        <v>2.4E-2</v>
      </c>
      <c r="AA37" s="90">
        <v>2.4E-2</v>
      </c>
      <c r="AB37" s="90">
        <v>2.4E-2</v>
      </c>
      <c r="AE37" s="74">
        <v>26</v>
      </c>
      <c r="AF37" s="90">
        <v>2.1999999999999999E-2</v>
      </c>
    </row>
    <row r="38" spans="1:32" x14ac:dyDescent="0.25">
      <c r="A38" s="74">
        <v>31</v>
      </c>
      <c r="B38" s="90">
        <v>2.5000000000000001E-2</v>
      </c>
      <c r="C38" s="90">
        <v>2.5000000000000001E-2</v>
      </c>
      <c r="D38" s="90">
        <v>2.5000000000000001E-2</v>
      </c>
      <c r="E38" s="90">
        <v>2.5000000000000001E-2</v>
      </c>
      <c r="F38" s="90">
        <v>2.5000000000000001E-2</v>
      </c>
      <c r="G38" s="90">
        <v>2.5000000000000001E-2</v>
      </c>
      <c r="H38" s="90">
        <v>2.5000000000000001E-2</v>
      </c>
      <c r="I38" s="90">
        <v>2.5000000000000001E-2</v>
      </c>
      <c r="J38" s="90">
        <v>2.5000000000000001E-2</v>
      </c>
      <c r="K38" s="90">
        <v>2.5000000000000001E-2</v>
      </c>
      <c r="L38" s="90">
        <v>2.5000000000000001E-2</v>
      </c>
      <c r="M38" s="90">
        <v>2.5000000000000001E-2</v>
      </c>
      <c r="P38" s="74">
        <v>31</v>
      </c>
      <c r="Q38" s="90">
        <v>2.5000000000000001E-2</v>
      </c>
      <c r="R38" s="90">
        <v>2.5000000000000001E-2</v>
      </c>
      <c r="S38" s="90">
        <v>2.5000000000000001E-2</v>
      </c>
      <c r="T38" s="90">
        <v>2.5000000000000001E-2</v>
      </c>
      <c r="U38" s="90">
        <v>2.5000000000000001E-2</v>
      </c>
      <c r="V38" s="90">
        <v>2.5000000000000001E-2</v>
      </c>
      <c r="W38" s="90">
        <v>2.5000000000000001E-2</v>
      </c>
      <c r="X38" s="90">
        <v>2.5000000000000001E-2</v>
      </c>
      <c r="Y38" s="90">
        <v>2.5000000000000001E-2</v>
      </c>
      <c r="Z38" s="90">
        <v>2.5000000000000001E-2</v>
      </c>
      <c r="AA38" s="90">
        <v>2.4E-2</v>
      </c>
      <c r="AB38" s="90">
        <v>2.4E-2</v>
      </c>
      <c r="AE38" s="74">
        <v>27</v>
      </c>
      <c r="AF38" s="90">
        <v>2.3E-2</v>
      </c>
    </row>
    <row r="39" spans="1:32" x14ac:dyDescent="0.25">
      <c r="A39" s="74">
        <v>32</v>
      </c>
      <c r="B39" s="90">
        <v>2.5999999999999999E-2</v>
      </c>
      <c r="C39" s="90">
        <v>2.5999999999999999E-2</v>
      </c>
      <c r="D39" s="90">
        <v>2.5999999999999999E-2</v>
      </c>
      <c r="E39" s="90">
        <v>2.5999999999999999E-2</v>
      </c>
      <c r="F39" s="90">
        <v>2.5999999999999999E-2</v>
      </c>
      <c r="G39" s="90">
        <v>2.5999999999999999E-2</v>
      </c>
      <c r="H39" s="90">
        <v>2.5999999999999999E-2</v>
      </c>
      <c r="I39" s="90">
        <v>2.5999999999999999E-2</v>
      </c>
      <c r="J39" s="90">
        <v>2.5999999999999999E-2</v>
      </c>
      <c r="K39" s="90">
        <v>2.5999999999999999E-2</v>
      </c>
      <c r="L39" s="90">
        <v>2.5000000000000001E-2</v>
      </c>
      <c r="M39" s="90">
        <v>2.5000000000000001E-2</v>
      </c>
      <c r="P39" s="74">
        <v>32</v>
      </c>
      <c r="Q39" s="90">
        <v>2.5000000000000001E-2</v>
      </c>
      <c r="R39" s="90">
        <v>2.5000000000000001E-2</v>
      </c>
      <c r="S39" s="90">
        <v>2.5000000000000001E-2</v>
      </c>
      <c r="T39" s="90">
        <v>2.5000000000000001E-2</v>
      </c>
      <c r="U39" s="90">
        <v>2.5000000000000001E-2</v>
      </c>
      <c r="V39" s="90">
        <v>2.5000000000000001E-2</v>
      </c>
      <c r="W39" s="90">
        <v>2.5000000000000001E-2</v>
      </c>
      <c r="X39" s="90">
        <v>2.5000000000000001E-2</v>
      </c>
      <c r="Y39" s="90">
        <v>2.5000000000000001E-2</v>
      </c>
      <c r="Z39" s="90">
        <v>2.5000000000000001E-2</v>
      </c>
      <c r="AA39" s="90">
        <v>2.5000000000000001E-2</v>
      </c>
      <c r="AB39" s="90">
        <v>2.5000000000000001E-2</v>
      </c>
      <c r="AE39" s="74">
        <v>28</v>
      </c>
      <c r="AF39" s="90">
        <v>2.3E-2</v>
      </c>
    </row>
    <row r="40" spans="1:32" x14ac:dyDescent="0.25">
      <c r="A40" s="74">
        <v>33</v>
      </c>
      <c r="B40" s="90">
        <v>2.5999999999999999E-2</v>
      </c>
      <c r="C40" s="90">
        <v>2.5999999999999999E-2</v>
      </c>
      <c r="D40" s="90">
        <v>2.5999999999999999E-2</v>
      </c>
      <c r="E40" s="90">
        <v>2.5999999999999999E-2</v>
      </c>
      <c r="F40" s="90">
        <v>2.5999999999999999E-2</v>
      </c>
      <c r="G40" s="90">
        <v>2.5999999999999999E-2</v>
      </c>
      <c r="H40" s="90">
        <v>2.5999999999999999E-2</v>
      </c>
      <c r="I40" s="90">
        <v>2.5999999999999999E-2</v>
      </c>
      <c r="J40" s="90">
        <v>2.5999999999999999E-2</v>
      </c>
      <c r="K40" s="90">
        <v>2.5999999999999999E-2</v>
      </c>
      <c r="L40" s="90">
        <v>2.5999999999999999E-2</v>
      </c>
      <c r="M40" s="90">
        <v>2.5999999999999999E-2</v>
      </c>
      <c r="P40" s="74">
        <v>33</v>
      </c>
      <c r="Q40" s="90">
        <v>2.5999999999999999E-2</v>
      </c>
      <c r="R40" s="90">
        <v>2.5999999999999999E-2</v>
      </c>
      <c r="S40" s="90">
        <v>2.5999999999999999E-2</v>
      </c>
      <c r="T40" s="90">
        <v>2.5999999999999999E-2</v>
      </c>
      <c r="U40" s="90">
        <v>2.5999999999999999E-2</v>
      </c>
      <c r="V40" s="90">
        <v>2.5999999999999999E-2</v>
      </c>
      <c r="W40" s="90">
        <v>2.5999999999999999E-2</v>
      </c>
      <c r="X40" s="90">
        <v>2.5000000000000001E-2</v>
      </c>
      <c r="Y40" s="90">
        <v>2.5000000000000001E-2</v>
      </c>
      <c r="Z40" s="90">
        <v>2.5000000000000001E-2</v>
      </c>
      <c r="AA40" s="90">
        <v>2.5000000000000001E-2</v>
      </c>
      <c r="AB40" s="90">
        <v>2.5000000000000001E-2</v>
      </c>
      <c r="AE40" s="74">
        <v>29</v>
      </c>
      <c r="AF40" s="90">
        <v>2.4E-2</v>
      </c>
    </row>
    <row r="41" spans="1:32" x14ac:dyDescent="0.25">
      <c r="A41" s="74">
        <v>34</v>
      </c>
      <c r="B41" s="90">
        <v>2.7E-2</v>
      </c>
      <c r="C41" s="90">
        <v>2.7E-2</v>
      </c>
      <c r="D41" s="90">
        <v>2.7E-2</v>
      </c>
      <c r="E41" s="90">
        <v>2.7E-2</v>
      </c>
      <c r="F41" s="90">
        <v>2.7E-2</v>
      </c>
      <c r="G41" s="90">
        <v>2.7E-2</v>
      </c>
      <c r="H41" s="90">
        <v>2.7E-2</v>
      </c>
      <c r="I41" s="90">
        <v>2.5999999999999999E-2</v>
      </c>
      <c r="J41" s="90">
        <v>2.5999999999999999E-2</v>
      </c>
      <c r="K41" s="90">
        <v>2.5999999999999999E-2</v>
      </c>
      <c r="L41" s="90">
        <v>2.5999999999999999E-2</v>
      </c>
      <c r="M41" s="90">
        <v>2.5999999999999999E-2</v>
      </c>
      <c r="P41" s="74">
        <v>34</v>
      </c>
      <c r="Q41" s="90">
        <v>2.5999999999999999E-2</v>
      </c>
      <c r="R41" s="90">
        <v>2.5999999999999999E-2</v>
      </c>
      <c r="S41" s="90">
        <v>2.5999999999999999E-2</v>
      </c>
      <c r="T41" s="90">
        <v>2.5999999999999999E-2</v>
      </c>
      <c r="U41" s="90">
        <v>2.5999999999999999E-2</v>
      </c>
      <c r="V41" s="90">
        <v>2.5999999999999999E-2</v>
      </c>
      <c r="W41" s="90">
        <v>2.5999999999999999E-2</v>
      </c>
      <c r="X41" s="90">
        <v>2.5999999999999999E-2</v>
      </c>
      <c r="Y41" s="90">
        <v>2.5999999999999999E-2</v>
      </c>
      <c r="Z41" s="90">
        <v>2.5999999999999999E-2</v>
      </c>
      <c r="AA41" s="90">
        <v>2.5999999999999999E-2</v>
      </c>
      <c r="AB41" s="90">
        <v>2.5999999999999999E-2</v>
      </c>
      <c r="AE41" s="74">
        <v>30</v>
      </c>
      <c r="AF41" s="90">
        <v>2.4E-2</v>
      </c>
    </row>
    <row r="42" spans="1:32" x14ac:dyDescent="0.25">
      <c r="A42" s="74">
        <v>35</v>
      </c>
      <c r="B42" s="90">
        <v>2.7E-2</v>
      </c>
      <c r="C42" s="90">
        <v>2.7E-2</v>
      </c>
      <c r="D42" s="90">
        <v>2.7E-2</v>
      </c>
      <c r="E42" s="90">
        <v>2.7E-2</v>
      </c>
      <c r="F42" s="90">
        <v>2.7E-2</v>
      </c>
      <c r="G42" s="90">
        <v>2.7E-2</v>
      </c>
      <c r="H42" s="90">
        <v>2.7E-2</v>
      </c>
      <c r="I42" s="90">
        <v>2.7E-2</v>
      </c>
      <c r="J42" s="90">
        <v>2.7E-2</v>
      </c>
      <c r="K42" s="90">
        <v>2.7E-2</v>
      </c>
      <c r="L42" s="90">
        <v>2.7E-2</v>
      </c>
      <c r="M42" s="90">
        <v>2.7E-2</v>
      </c>
      <c r="P42" s="74">
        <v>35</v>
      </c>
      <c r="Q42" s="90">
        <v>2.7E-2</v>
      </c>
      <c r="R42" s="90">
        <v>2.7E-2</v>
      </c>
      <c r="S42" s="90">
        <v>2.7E-2</v>
      </c>
      <c r="T42" s="90">
        <v>2.7E-2</v>
      </c>
      <c r="U42" s="90">
        <v>2.5999999999999999E-2</v>
      </c>
      <c r="V42" s="90">
        <v>2.5999999999999999E-2</v>
      </c>
      <c r="W42" s="90">
        <v>2.5999999999999999E-2</v>
      </c>
      <c r="X42" s="90">
        <v>2.5999999999999999E-2</v>
      </c>
      <c r="Y42" s="90">
        <v>2.5999999999999999E-2</v>
      </c>
      <c r="Z42" s="90">
        <v>2.5999999999999999E-2</v>
      </c>
      <c r="AA42" s="90">
        <v>2.5999999999999999E-2</v>
      </c>
      <c r="AB42" s="90">
        <v>2.5999999999999999E-2</v>
      </c>
      <c r="AE42" s="74">
        <v>31</v>
      </c>
      <c r="AF42" s="90">
        <v>2.4E-2</v>
      </c>
    </row>
    <row r="43" spans="1:32" x14ac:dyDescent="0.25">
      <c r="A43" s="74">
        <v>36</v>
      </c>
      <c r="B43" s="90">
        <v>2.8000000000000001E-2</v>
      </c>
      <c r="C43" s="90">
        <v>2.8000000000000001E-2</v>
      </c>
      <c r="D43" s="90">
        <v>2.8000000000000001E-2</v>
      </c>
      <c r="E43" s="90">
        <v>2.8000000000000001E-2</v>
      </c>
      <c r="F43" s="90">
        <v>2.8000000000000001E-2</v>
      </c>
      <c r="G43" s="90">
        <v>2.7E-2</v>
      </c>
      <c r="H43" s="90">
        <v>2.7E-2</v>
      </c>
      <c r="I43" s="90">
        <v>2.7E-2</v>
      </c>
      <c r="J43" s="90">
        <v>2.7E-2</v>
      </c>
      <c r="K43" s="90">
        <v>2.7E-2</v>
      </c>
      <c r="L43" s="90">
        <v>2.7E-2</v>
      </c>
      <c r="M43" s="90">
        <v>2.7E-2</v>
      </c>
      <c r="P43" s="74">
        <v>36</v>
      </c>
      <c r="Q43" s="90">
        <v>2.7E-2</v>
      </c>
      <c r="R43" s="90">
        <v>2.7E-2</v>
      </c>
      <c r="S43" s="90">
        <v>2.7E-2</v>
      </c>
      <c r="T43" s="90">
        <v>2.7E-2</v>
      </c>
      <c r="U43" s="90">
        <v>2.7E-2</v>
      </c>
      <c r="V43" s="90">
        <v>2.7E-2</v>
      </c>
      <c r="W43" s="90">
        <v>2.7E-2</v>
      </c>
      <c r="X43" s="90">
        <v>2.7E-2</v>
      </c>
      <c r="Y43" s="90">
        <v>2.7E-2</v>
      </c>
      <c r="Z43" s="90">
        <v>2.7E-2</v>
      </c>
      <c r="AA43" s="90">
        <v>2.7E-2</v>
      </c>
      <c r="AB43" s="90">
        <v>2.7E-2</v>
      </c>
      <c r="AE43" s="74">
        <v>32</v>
      </c>
      <c r="AF43" s="90">
        <v>2.5000000000000001E-2</v>
      </c>
    </row>
    <row r="44" spans="1:32" x14ac:dyDescent="0.25">
      <c r="A44" s="74">
        <v>37</v>
      </c>
      <c r="B44" s="90">
        <v>2.8000000000000001E-2</v>
      </c>
      <c r="C44" s="90">
        <v>2.8000000000000001E-2</v>
      </c>
      <c r="D44" s="90">
        <v>2.8000000000000001E-2</v>
      </c>
      <c r="E44" s="90">
        <v>2.8000000000000001E-2</v>
      </c>
      <c r="F44" s="90">
        <v>2.8000000000000001E-2</v>
      </c>
      <c r="G44" s="90">
        <v>2.8000000000000001E-2</v>
      </c>
      <c r="H44" s="90">
        <v>2.8000000000000001E-2</v>
      </c>
      <c r="I44" s="90">
        <v>2.8000000000000001E-2</v>
      </c>
      <c r="J44" s="90">
        <v>2.8000000000000001E-2</v>
      </c>
      <c r="K44" s="90">
        <v>2.8000000000000001E-2</v>
      </c>
      <c r="L44" s="90">
        <v>2.8000000000000001E-2</v>
      </c>
      <c r="M44" s="90">
        <v>2.8000000000000001E-2</v>
      </c>
      <c r="P44" s="74">
        <v>37</v>
      </c>
      <c r="Q44" s="90">
        <v>2.8000000000000001E-2</v>
      </c>
      <c r="R44" s="90">
        <v>2.8000000000000001E-2</v>
      </c>
      <c r="S44" s="90">
        <v>2.7E-2</v>
      </c>
      <c r="T44" s="90">
        <v>2.7E-2</v>
      </c>
      <c r="U44" s="90">
        <v>2.7E-2</v>
      </c>
      <c r="V44" s="90">
        <v>2.7E-2</v>
      </c>
      <c r="W44" s="90">
        <v>2.7E-2</v>
      </c>
      <c r="X44" s="90">
        <v>2.7E-2</v>
      </c>
      <c r="Y44" s="90">
        <v>2.7E-2</v>
      </c>
      <c r="Z44" s="90">
        <v>2.7E-2</v>
      </c>
      <c r="AA44" s="90">
        <v>2.7E-2</v>
      </c>
      <c r="AB44" s="90">
        <v>2.7E-2</v>
      </c>
      <c r="AE44" s="74">
        <v>33</v>
      </c>
      <c r="AF44" s="90">
        <v>2.5000000000000001E-2</v>
      </c>
    </row>
    <row r="45" spans="1:32" x14ac:dyDescent="0.25">
      <c r="A45" s="74">
        <v>38</v>
      </c>
      <c r="B45" s="90">
        <v>2.9000000000000001E-2</v>
      </c>
      <c r="C45" s="90">
        <v>2.9000000000000001E-2</v>
      </c>
      <c r="D45" s="90">
        <v>2.9000000000000001E-2</v>
      </c>
      <c r="E45" s="90">
        <v>2.9000000000000001E-2</v>
      </c>
      <c r="F45" s="90">
        <v>2.8000000000000001E-2</v>
      </c>
      <c r="G45" s="90">
        <v>2.8000000000000001E-2</v>
      </c>
      <c r="H45" s="90">
        <v>2.8000000000000001E-2</v>
      </c>
      <c r="I45" s="90">
        <v>2.8000000000000001E-2</v>
      </c>
      <c r="J45" s="90">
        <v>2.8000000000000001E-2</v>
      </c>
      <c r="K45" s="90">
        <v>2.8000000000000001E-2</v>
      </c>
      <c r="L45" s="90">
        <v>2.8000000000000001E-2</v>
      </c>
      <c r="M45" s="90">
        <v>2.8000000000000001E-2</v>
      </c>
      <c r="P45" s="74">
        <v>38</v>
      </c>
      <c r="Q45" s="90">
        <v>2.8000000000000001E-2</v>
      </c>
      <c r="R45" s="90">
        <v>2.8000000000000001E-2</v>
      </c>
      <c r="S45" s="90">
        <v>2.8000000000000001E-2</v>
      </c>
      <c r="T45" s="90">
        <v>2.8000000000000001E-2</v>
      </c>
      <c r="U45" s="90">
        <v>2.8000000000000001E-2</v>
      </c>
      <c r="V45" s="90">
        <v>2.8000000000000001E-2</v>
      </c>
      <c r="W45" s="90">
        <v>2.8000000000000001E-2</v>
      </c>
      <c r="X45" s="90">
        <v>2.8000000000000001E-2</v>
      </c>
      <c r="Y45" s="90">
        <v>2.8000000000000001E-2</v>
      </c>
      <c r="Z45" s="90">
        <v>2.8000000000000001E-2</v>
      </c>
      <c r="AA45" s="90">
        <v>2.8000000000000001E-2</v>
      </c>
      <c r="AB45" s="90">
        <v>2.7E-2</v>
      </c>
      <c r="AE45" s="74">
        <v>34</v>
      </c>
      <c r="AF45" s="90">
        <v>2.5999999999999999E-2</v>
      </c>
    </row>
    <row r="46" spans="1:32" x14ac:dyDescent="0.25">
      <c r="A46" s="74">
        <v>39</v>
      </c>
      <c r="B46" s="90">
        <v>2.9000000000000001E-2</v>
      </c>
      <c r="C46" s="90">
        <v>2.9000000000000001E-2</v>
      </c>
      <c r="D46" s="90">
        <v>2.9000000000000001E-2</v>
      </c>
      <c r="E46" s="90">
        <v>2.9000000000000001E-2</v>
      </c>
      <c r="F46" s="90">
        <v>2.9000000000000001E-2</v>
      </c>
      <c r="G46" s="90">
        <v>2.9000000000000001E-2</v>
      </c>
      <c r="H46" s="90">
        <v>2.9000000000000001E-2</v>
      </c>
      <c r="I46" s="90">
        <v>2.9000000000000001E-2</v>
      </c>
      <c r="J46" s="90">
        <v>2.9000000000000001E-2</v>
      </c>
      <c r="K46" s="90">
        <v>2.9000000000000001E-2</v>
      </c>
      <c r="L46" s="90">
        <v>2.9000000000000001E-2</v>
      </c>
      <c r="M46" s="90">
        <v>2.9000000000000001E-2</v>
      </c>
      <c r="P46" s="74">
        <v>39</v>
      </c>
      <c r="Q46" s="90">
        <v>2.9000000000000001E-2</v>
      </c>
      <c r="R46" s="90">
        <v>2.8000000000000001E-2</v>
      </c>
      <c r="S46" s="90">
        <v>2.8000000000000001E-2</v>
      </c>
      <c r="T46" s="90">
        <v>2.8000000000000001E-2</v>
      </c>
      <c r="U46" s="90">
        <v>2.8000000000000001E-2</v>
      </c>
      <c r="V46" s="90">
        <v>2.8000000000000001E-2</v>
      </c>
      <c r="W46" s="90">
        <v>2.8000000000000001E-2</v>
      </c>
      <c r="X46" s="90">
        <v>2.8000000000000001E-2</v>
      </c>
      <c r="Y46" s="90">
        <v>2.8000000000000001E-2</v>
      </c>
      <c r="Z46" s="90">
        <v>2.8000000000000001E-2</v>
      </c>
      <c r="AA46" s="90">
        <v>2.8000000000000001E-2</v>
      </c>
      <c r="AB46" s="90">
        <v>2.8000000000000001E-2</v>
      </c>
      <c r="AE46" s="74">
        <v>35</v>
      </c>
      <c r="AF46" s="90">
        <v>2.5999999999999999E-2</v>
      </c>
    </row>
    <row r="47" spans="1:32" x14ac:dyDescent="0.25">
      <c r="A47" s="74">
        <v>40</v>
      </c>
      <c r="B47" s="90">
        <v>0.03</v>
      </c>
      <c r="C47" s="90">
        <v>0.03</v>
      </c>
      <c r="D47" s="90">
        <v>0.03</v>
      </c>
      <c r="E47" s="90">
        <v>0.03</v>
      </c>
      <c r="F47" s="90">
        <v>2.9000000000000001E-2</v>
      </c>
      <c r="G47" s="90">
        <v>2.9000000000000001E-2</v>
      </c>
      <c r="H47" s="90">
        <v>2.9000000000000001E-2</v>
      </c>
      <c r="I47" s="90">
        <v>2.9000000000000001E-2</v>
      </c>
      <c r="J47" s="90">
        <v>2.9000000000000001E-2</v>
      </c>
      <c r="K47" s="90">
        <v>2.9000000000000001E-2</v>
      </c>
      <c r="L47" s="90">
        <v>2.9000000000000001E-2</v>
      </c>
      <c r="M47" s="90">
        <v>2.9000000000000001E-2</v>
      </c>
      <c r="P47" s="74">
        <v>40</v>
      </c>
      <c r="Q47" s="90">
        <v>2.9000000000000001E-2</v>
      </c>
      <c r="R47" s="90">
        <v>2.9000000000000001E-2</v>
      </c>
      <c r="S47" s="90">
        <v>2.9000000000000001E-2</v>
      </c>
      <c r="T47" s="90">
        <v>2.9000000000000001E-2</v>
      </c>
      <c r="U47" s="90">
        <v>2.9000000000000001E-2</v>
      </c>
      <c r="V47" s="90">
        <v>2.9000000000000001E-2</v>
      </c>
      <c r="W47" s="90">
        <v>2.9000000000000001E-2</v>
      </c>
      <c r="X47" s="90">
        <v>2.9000000000000001E-2</v>
      </c>
      <c r="Y47" s="90">
        <v>2.9000000000000001E-2</v>
      </c>
      <c r="Z47" s="90">
        <v>2.9000000000000001E-2</v>
      </c>
      <c r="AA47" s="90">
        <v>2.8000000000000001E-2</v>
      </c>
      <c r="AB47" s="90">
        <v>2.8000000000000001E-2</v>
      </c>
      <c r="AE47" s="74">
        <v>36</v>
      </c>
      <c r="AF47" s="90">
        <v>2.7E-2</v>
      </c>
    </row>
    <row r="48" spans="1:32" x14ac:dyDescent="0.25">
      <c r="A48" s="74">
        <v>41</v>
      </c>
      <c r="B48" s="90">
        <v>0.03</v>
      </c>
      <c r="C48" s="90">
        <v>0.03</v>
      </c>
      <c r="D48" s="90">
        <v>0.03</v>
      </c>
      <c r="E48" s="90">
        <v>0.03</v>
      </c>
      <c r="F48" s="90">
        <v>0.03</v>
      </c>
      <c r="G48" s="90">
        <v>0.03</v>
      </c>
      <c r="H48" s="90">
        <v>0.03</v>
      </c>
      <c r="I48" s="90">
        <v>0.03</v>
      </c>
      <c r="J48" s="90">
        <v>0.03</v>
      </c>
      <c r="K48" s="90">
        <v>0.03</v>
      </c>
      <c r="L48" s="90">
        <v>0.03</v>
      </c>
      <c r="M48" s="90">
        <v>0.03</v>
      </c>
      <c r="P48" s="74">
        <v>41</v>
      </c>
      <c r="Q48" s="90">
        <v>0.03</v>
      </c>
      <c r="R48" s="90">
        <v>2.9000000000000001E-2</v>
      </c>
      <c r="S48" s="90">
        <v>2.9000000000000001E-2</v>
      </c>
      <c r="T48" s="90">
        <v>2.9000000000000001E-2</v>
      </c>
      <c r="U48" s="90">
        <v>2.9000000000000001E-2</v>
      </c>
      <c r="V48" s="90">
        <v>2.9000000000000001E-2</v>
      </c>
      <c r="W48" s="90">
        <v>2.9000000000000001E-2</v>
      </c>
      <c r="X48" s="90">
        <v>2.9000000000000001E-2</v>
      </c>
      <c r="Y48" s="90">
        <v>2.9000000000000001E-2</v>
      </c>
      <c r="Z48" s="90">
        <v>2.9000000000000001E-2</v>
      </c>
      <c r="AA48" s="90">
        <v>2.9000000000000001E-2</v>
      </c>
      <c r="AB48" s="90">
        <v>2.9000000000000001E-2</v>
      </c>
      <c r="AE48" s="74">
        <v>37</v>
      </c>
      <c r="AF48" s="90">
        <v>2.7E-2</v>
      </c>
    </row>
    <row r="49" spans="1:32" x14ac:dyDescent="0.25">
      <c r="A49" s="74">
        <v>42</v>
      </c>
      <c r="B49" s="90">
        <v>3.1E-2</v>
      </c>
      <c r="C49" s="90">
        <v>3.1E-2</v>
      </c>
      <c r="D49" s="90">
        <v>3.1E-2</v>
      </c>
      <c r="E49" s="90">
        <v>3.1E-2</v>
      </c>
      <c r="F49" s="90">
        <v>0.03</v>
      </c>
      <c r="G49" s="90">
        <v>0.03</v>
      </c>
      <c r="H49" s="90">
        <v>0.03</v>
      </c>
      <c r="I49" s="90">
        <v>0.03</v>
      </c>
      <c r="J49" s="90">
        <v>0.03</v>
      </c>
      <c r="K49" s="90">
        <v>0.03</v>
      </c>
      <c r="L49" s="90">
        <v>0.03</v>
      </c>
      <c r="M49" s="90">
        <v>0.03</v>
      </c>
      <c r="P49" s="74">
        <v>42</v>
      </c>
      <c r="Q49" s="90">
        <v>0.03</v>
      </c>
      <c r="R49" s="90">
        <v>0.03</v>
      </c>
      <c r="S49" s="90">
        <v>0.03</v>
      </c>
      <c r="T49" s="90">
        <v>0.03</v>
      </c>
      <c r="U49" s="90">
        <v>0.03</v>
      </c>
      <c r="V49" s="90">
        <v>0.03</v>
      </c>
      <c r="W49" s="90">
        <v>0.03</v>
      </c>
      <c r="X49" s="90">
        <v>0.03</v>
      </c>
      <c r="Y49" s="90">
        <v>0.03</v>
      </c>
      <c r="Z49" s="90">
        <v>0.03</v>
      </c>
      <c r="AA49" s="90">
        <v>2.9000000000000001E-2</v>
      </c>
      <c r="AB49" s="90">
        <v>2.9000000000000001E-2</v>
      </c>
      <c r="AE49" s="74">
        <v>38</v>
      </c>
      <c r="AF49" s="90">
        <v>2.7E-2</v>
      </c>
    </row>
    <row r="50" spans="1:32" x14ac:dyDescent="0.25">
      <c r="A50" s="74">
        <v>43</v>
      </c>
      <c r="B50" s="90">
        <v>3.1E-2</v>
      </c>
      <c r="C50" s="90">
        <v>3.1E-2</v>
      </c>
      <c r="D50" s="90">
        <v>3.1E-2</v>
      </c>
      <c r="E50" s="90">
        <v>3.1E-2</v>
      </c>
      <c r="F50" s="90">
        <v>3.1E-2</v>
      </c>
      <c r="G50" s="90">
        <v>3.1E-2</v>
      </c>
      <c r="H50" s="90">
        <v>3.1E-2</v>
      </c>
      <c r="I50" s="90">
        <v>3.1E-2</v>
      </c>
      <c r="J50" s="90">
        <v>3.1E-2</v>
      </c>
      <c r="K50" s="90">
        <v>3.1E-2</v>
      </c>
      <c r="L50" s="90">
        <v>3.1E-2</v>
      </c>
      <c r="M50" s="90">
        <v>3.1E-2</v>
      </c>
      <c r="P50" s="74">
        <v>43</v>
      </c>
      <c r="Q50" s="90">
        <v>3.1E-2</v>
      </c>
      <c r="R50" s="90">
        <v>0.03</v>
      </c>
      <c r="S50" s="90">
        <v>0.03</v>
      </c>
      <c r="T50" s="90">
        <v>0.03</v>
      </c>
      <c r="U50" s="90">
        <v>0.03</v>
      </c>
      <c r="V50" s="90">
        <v>0.03</v>
      </c>
      <c r="W50" s="90">
        <v>0.03</v>
      </c>
      <c r="X50" s="90">
        <v>0.03</v>
      </c>
      <c r="Y50" s="90">
        <v>0.03</v>
      </c>
      <c r="Z50" s="90">
        <v>0.03</v>
      </c>
      <c r="AA50" s="90">
        <v>0.03</v>
      </c>
      <c r="AB50" s="90">
        <v>0.03</v>
      </c>
      <c r="AE50" s="74">
        <v>39</v>
      </c>
      <c r="AF50" s="90">
        <v>2.8000000000000001E-2</v>
      </c>
    </row>
    <row r="51" spans="1:32" x14ac:dyDescent="0.25">
      <c r="A51" s="74">
        <v>44</v>
      </c>
      <c r="B51" s="90">
        <v>3.2000000000000001E-2</v>
      </c>
      <c r="C51" s="90">
        <v>3.2000000000000001E-2</v>
      </c>
      <c r="D51" s="90">
        <v>3.2000000000000001E-2</v>
      </c>
      <c r="E51" s="90">
        <v>3.2000000000000001E-2</v>
      </c>
      <c r="F51" s="90">
        <v>3.2000000000000001E-2</v>
      </c>
      <c r="G51" s="90">
        <v>3.1E-2</v>
      </c>
      <c r="H51" s="90">
        <v>3.1E-2</v>
      </c>
      <c r="I51" s="90">
        <v>3.1E-2</v>
      </c>
      <c r="J51" s="90">
        <v>3.1E-2</v>
      </c>
      <c r="K51" s="90">
        <v>3.1E-2</v>
      </c>
      <c r="L51" s="90">
        <v>3.1E-2</v>
      </c>
      <c r="M51" s="90">
        <v>3.1E-2</v>
      </c>
      <c r="P51" s="74">
        <v>44</v>
      </c>
      <c r="Q51" s="90">
        <v>3.1E-2</v>
      </c>
      <c r="R51" s="90">
        <v>3.1E-2</v>
      </c>
      <c r="S51" s="90">
        <v>3.1E-2</v>
      </c>
      <c r="T51" s="90">
        <v>3.1E-2</v>
      </c>
      <c r="U51" s="90">
        <v>3.1E-2</v>
      </c>
      <c r="V51" s="90">
        <v>3.1E-2</v>
      </c>
      <c r="W51" s="90">
        <v>3.1E-2</v>
      </c>
      <c r="X51" s="90">
        <v>3.1E-2</v>
      </c>
      <c r="Y51" s="90">
        <v>3.1E-2</v>
      </c>
      <c r="Z51" s="90">
        <v>3.1E-2</v>
      </c>
      <c r="AA51" s="90">
        <v>0.03</v>
      </c>
      <c r="AB51" s="90">
        <v>0.03</v>
      </c>
      <c r="AE51" s="74">
        <v>40</v>
      </c>
      <c r="AF51" s="90">
        <v>2.8000000000000001E-2</v>
      </c>
    </row>
    <row r="52" spans="1:32" x14ac:dyDescent="0.25">
      <c r="A52" s="74">
        <v>45</v>
      </c>
      <c r="B52" s="90">
        <v>3.2000000000000001E-2</v>
      </c>
      <c r="C52" s="90">
        <v>3.2000000000000001E-2</v>
      </c>
      <c r="D52" s="90">
        <v>3.2000000000000001E-2</v>
      </c>
      <c r="E52" s="90">
        <v>3.2000000000000001E-2</v>
      </c>
      <c r="F52" s="90">
        <v>3.2000000000000001E-2</v>
      </c>
      <c r="G52" s="90">
        <v>3.2000000000000001E-2</v>
      </c>
      <c r="H52" s="90">
        <v>3.2000000000000001E-2</v>
      </c>
      <c r="I52" s="90">
        <v>3.2000000000000001E-2</v>
      </c>
      <c r="J52" s="90">
        <v>3.2000000000000001E-2</v>
      </c>
      <c r="K52" s="90">
        <v>3.2000000000000001E-2</v>
      </c>
      <c r="L52" s="90">
        <v>3.2000000000000001E-2</v>
      </c>
      <c r="M52" s="90">
        <v>3.2000000000000001E-2</v>
      </c>
      <c r="P52" s="74">
        <v>45</v>
      </c>
      <c r="Q52" s="90">
        <v>3.2000000000000001E-2</v>
      </c>
      <c r="R52" s="90">
        <v>3.2000000000000001E-2</v>
      </c>
      <c r="S52" s="90">
        <v>3.2000000000000001E-2</v>
      </c>
      <c r="T52" s="90">
        <v>3.1E-2</v>
      </c>
      <c r="U52" s="90">
        <v>3.1E-2</v>
      </c>
      <c r="V52" s="90">
        <v>3.1E-2</v>
      </c>
      <c r="W52" s="90">
        <v>3.1E-2</v>
      </c>
      <c r="X52" s="90">
        <v>3.1E-2</v>
      </c>
      <c r="Y52" s="90">
        <v>3.1E-2</v>
      </c>
      <c r="Z52" s="90">
        <v>3.1E-2</v>
      </c>
      <c r="AA52" s="90">
        <v>3.1E-2</v>
      </c>
      <c r="AB52" s="90">
        <v>3.1E-2</v>
      </c>
      <c r="AE52" s="74">
        <v>41</v>
      </c>
      <c r="AF52" s="90">
        <v>2.9000000000000001E-2</v>
      </c>
    </row>
    <row r="53" spans="1:32" x14ac:dyDescent="0.25">
      <c r="A53" s="74">
        <v>46</v>
      </c>
      <c r="B53" s="90">
        <v>3.3000000000000002E-2</v>
      </c>
      <c r="C53" s="90">
        <v>3.3000000000000002E-2</v>
      </c>
      <c r="D53" s="90">
        <v>3.3000000000000002E-2</v>
      </c>
      <c r="E53" s="90">
        <v>3.3000000000000002E-2</v>
      </c>
      <c r="F53" s="90">
        <v>3.3000000000000002E-2</v>
      </c>
      <c r="G53" s="90">
        <v>3.3000000000000002E-2</v>
      </c>
      <c r="H53" s="90">
        <v>3.3000000000000002E-2</v>
      </c>
      <c r="I53" s="90">
        <v>3.2000000000000001E-2</v>
      </c>
      <c r="J53" s="90">
        <v>3.2000000000000001E-2</v>
      </c>
      <c r="K53" s="90">
        <v>3.2000000000000001E-2</v>
      </c>
      <c r="L53" s="90">
        <v>3.2000000000000001E-2</v>
      </c>
      <c r="M53" s="90">
        <v>3.2000000000000001E-2</v>
      </c>
      <c r="P53" s="74">
        <v>46</v>
      </c>
      <c r="Q53" s="90">
        <v>3.2000000000000001E-2</v>
      </c>
      <c r="R53" s="90">
        <v>3.2000000000000001E-2</v>
      </c>
      <c r="S53" s="90">
        <v>3.2000000000000001E-2</v>
      </c>
      <c r="T53" s="90">
        <v>3.2000000000000001E-2</v>
      </c>
      <c r="U53" s="90">
        <v>3.2000000000000001E-2</v>
      </c>
      <c r="V53" s="90">
        <v>3.2000000000000001E-2</v>
      </c>
      <c r="W53" s="90">
        <v>3.2000000000000001E-2</v>
      </c>
      <c r="X53" s="90">
        <v>3.2000000000000001E-2</v>
      </c>
      <c r="Y53" s="90">
        <v>3.2000000000000001E-2</v>
      </c>
      <c r="Z53" s="90">
        <v>3.2000000000000001E-2</v>
      </c>
      <c r="AA53" s="90">
        <v>3.2000000000000001E-2</v>
      </c>
      <c r="AB53" s="90">
        <v>3.2000000000000001E-2</v>
      </c>
      <c r="AE53" s="74">
        <v>42</v>
      </c>
      <c r="AF53" s="90">
        <v>2.9000000000000001E-2</v>
      </c>
    </row>
    <row r="54" spans="1:32" x14ac:dyDescent="0.25">
      <c r="A54" s="74">
        <v>47</v>
      </c>
      <c r="B54" s="90">
        <v>3.4000000000000002E-2</v>
      </c>
      <c r="C54" s="90">
        <v>3.3000000000000002E-2</v>
      </c>
      <c r="D54" s="90">
        <v>3.3000000000000002E-2</v>
      </c>
      <c r="E54" s="90">
        <v>3.3000000000000002E-2</v>
      </c>
      <c r="F54" s="90">
        <v>3.3000000000000002E-2</v>
      </c>
      <c r="G54" s="90">
        <v>3.3000000000000002E-2</v>
      </c>
      <c r="H54" s="90">
        <v>3.3000000000000002E-2</v>
      </c>
      <c r="I54" s="90">
        <v>3.3000000000000002E-2</v>
      </c>
      <c r="J54" s="90">
        <v>3.3000000000000002E-2</v>
      </c>
      <c r="K54" s="90">
        <v>3.3000000000000002E-2</v>
      </c>
      <c r="L54" s="90">
        <v>3.3000000000000002E-2</v>
      </c>
      <c r="M54" s="90">
        <v>3.3000000000000002E-2</v>
      </c>
      <c r="P54" s="74">
        <v>47</v>
      </c>
      <c r="Q54" s="90">
        <v>3.3000000000000002E-2</v>
      </c>
      <c r="R54" s="90">
        <v>3.3000000000000002E-2</v>
      </c>
      <c r="S54" s="90">
        <v>3.3000000000000002E-2</v>
      </c>
      <c r="T54" s="90">
        <v>3.3000000000000002E-2</v>
      </c>
      <c r="U54" s="90">
        <v>3.3000000000000002E-2</v>
      </c>
      <c r="V54" s="90">
        <v>3.2000000000000001E-2</v>
      </c>
      <c r="W54" s="90">
        <v>3.2000000000000001E-2</v>
      </c>
      <c r="X54" s="90">
        <v>3.2000000000000001E-2</v>
      </c>
      <c r="Y54" s="90">
        <v>3.2000000000000001E-2</v>
      </c>
      <c r="Z54" s="90">
        <v>3.2000000000000001E-2</v>
      </c>
      <c r="AA54" s="90">
        <v>3.2000000000000001E-2</v>
      </c>
      <c r="AB54" s="90">
        <v>3.2000000000000001E-2</v>
      </c>
      <c r="AE54" s="74">
        <v>43</v>
      </c>
      <c r="AF54" s="90">
        <v>0.03</v>
      </c>
    </row>
    <row r="55" spans="1:32" x14ac:dyDescent="0.25">
      <c r="A55" s="74">
        <v>48</v>
      </c>
      <c r="B55" s="90">
        <v>3.4000000000000002E-2</v>
      </c>
      <c r="C55" s="90">
        <v>3.4000000000000002E-2</v>
      </c>
      <c r="D55" s="90">
        <v>3.4000000000000002E-2</v>
      </c>
      <c r="E55" s="90">
        <v>3.4000000000000002E-2</v>
      </c>
      <c r="F55" s="90">
        <v>3.4000000000000002E-2</v>
      </c>
      <c r="G55" s="90">
        <v>3.4000000000000002E-2</v>
      </c>
      <c r="H55" s="90">
        <v>3.4000000000000002E-2</v>
      </c>
      <c r="I55" s="90">
        <v>3.4000000000000002E-2</v>
      </c>
      <c r="J55" s="90">
        <v>3.4000000000000002E-2</v>
      </c>
      <c r="K55" s="90">
        <v>3.4000000000000002E-2</v>
      </c>
      <c r="L55" s="90">
        <v>3.3000000000000002E-2</v>
      </c>
      <c r="M55" s="90">
        <v>3.3000000000000002E-2</v>
      </c>
      <c r="P55" s="74">
        <v>48</v>
      </c>
      <c r="Q55" s="90">
        <v>3.3000000000000002E-2</v>
      </c>
      <c r="R55" s="90">
        <v>3.3000000000000002E-2</v>
      </c>
      <c r="S55" s="90">
        <v>3.3000000000000002E-2</v>
      </c>
      <c r="T55" s="90">
        <v>3.3000000000000002E-2</v>
      </c>
      <c r="U55" s="90">
        <v>3.3000000000000002E-2</v>
      </c>
      <c r="V55" s="90">
        <v>3.3000000000000002E-2</v>
      </c>
      <c r="W55" s="90">
        <v>3.3000000000000002E-2</v>
      </c>
      <c r="X55" s="90">
        <v>3.3000000000000002E-2</v>
      </c>
      <c r="Y55" s="90">
        <v>3.3000000000000002E-2</v>
      </c>
      <c r="Z55" s="90">
        <v>3.3000000000000002E-2</v>
      </c>
      <c r="AA55" s="90">
        <v>3.3000000000000002E-2</v>
      </c>
      <c r="AB55" s="90">
        <v>3.3000000000000002E-2</v>
      </c>
      <c r="AE55" s="74">
        <v>44</v>
      </c>
      <c r="AF55" s="90">
        <v>0.03</v>
      </c>
    </row>
    <row r="56" spans="1:32" x14ac:dyDescent="0.25">
      <c r="A56" s="74">
        <v>49</v>
      </c>
      <c r="B56" s="90">
        <v>3.5000000000000003E-2</v>
      </c>
      <c r="C56" s="90">
        <v>3.5000000000000003E-2</v>
      </c>
      <c r="D56" s="90">
        <v>3.5000000000000003E-2</v>
      </c>
      <c r="E56" s="90">
        <v>3.5000000000000003E-2</v>
      </c>
      <c r="F56" s="90">
        <v>3.4000000000000002E-2</v>
      </c>
      <c r="G56" s="90">
        <v>3.4000000000000002E-2</v>
      </c>
      <c r="H56" s="90">
        <v>3.4000000000000002E-2</v>
      </c>
      <c r="I56" s="90">
        <v>3.4000000000000002E-2</v>
      </c>
      <c r="J56" s="90">
        <v>3.4000000000000002E-2</v>
      </c>
      <c r="K56" s="90">
        <v>3.4000000000000002E-2</v>
      </c>
      <c r="L56" s="90">
        <v>3.4000000000000002E-2</v>
      </c>
      <c r="M56" s="90">
        <v>3.4000000000000002E-2</v>
      </c>
      <c r="P56" s="74">
        <v>49</v>
      </c>
      <c r="Q56" s="90">
        <v>3.4000000000000002E-2</v>
      </c>
      <c r="R56" s="90">
        <v>3.4000000000000002E-2</v>
      </c>
      <c r="S56" s="90">
        <v>3.4000000000000002E-2</v>
      </c>
      <c r="T56" s="90">
        <v>3.4000000000000002E-2</v>
      </c>
      <c r="U56" s="90">
        <v>3.4000000000000002E-2</v>
      </c>
      <c r="V56" s="90">
        <v>3.4000000000000002E-2</v>
      </c>
      <c r="W56" s="90">
        <v>3.4000000000000002E-2</v>
      </c>
      <c r="X56" s="90">
        <v>3.3000000000000002E-2</v>
      </c>
      <c r="Y56" s="90">
        <v>3.3000000000000002E-2</v>
      </c>
      <c r="Z56" s="90">
        <v>3.3000000000000002E-2</v>
      </c>
      <c r="AA56" s="90">
        <v>3.3000000000000002E-2</v>
      </c>
      <c r="AB56" s="90">
        <v>3.3000000000000002E-2</v>
      </c>
      <c r="AE56" s="74">
        <v>45</v>
      </c>
      <c r="AF56" s="90">
        <v>3.1E-2</v>
      </c>
    </row>
    <row r="57" spans="1:32" x14ac:dyDescent="0.25">
      <c r="A57" s="74">
        <v>50</v>
      </c>
      <c r="B57" s="90">
        <v>3.5000000000000003E-2</v>
      </c>
      <c r="C57" s="90">
        <v>3.5000000000000003E-2</v>
      </c>
      <c r="D57" s="90">
        <v>3.5000000000000003E-2</v>
      </c>
      <c r="E57" s="90">
        <v>3.5000000000000003E-2</v>
      </c>
      <c r="F57" s="90">
        <v>3.5000000000000003E-2</v>
      </c>
      <c r="G57" s="90">
        <v>3.5000000000000003E-2</v>
      </c>
      <c r="H57" s="90">
        <v>3.5000000000000003E-2</v>
      </c>
      <c r="I57" s="90">
        <v>3.5000000000000003E-2</v>
      </c>
      <c r="J57" s="90">
        <v>3.5000000000000003E-2</v>
      </c>
      <c r="K57" s="90">
        <v>3.5000000000000003E-2</v>
      </c>
      <c r="L57" s="90">
        <v>3.5000000000000003E-2</v>
      </c>
      <c r="M57" s="90">
        <v>3.5000000000000003E-2</v>
      </c>
      <c r="P57" s="74">
        <v>50</v>
      </c>
      <c r="Q57" s="90">
        <v>3.5000000000000003E-2</v>
      </c>
      <c r="R57" s="90">
        <v>3.4000000000000002E-2</v>
      </c>
      <c r="S57" s="90">
        <v>3.4000000000000002E-2</v>
      </c>
      <c r="T57" s="90">
        <v>3.4000000000000002E-2</v>
      </c>
      <c r="U57" s="90">
        <v>3.4000000000000002E-2</v>
      </c>
      <c r="V57" s="90">
        <v>3.4000000000000002E-2</v>
      </c>
      <c r="W57" s="90">
        <v>3.4000000000000002E-2</v>
      </c>
      <c r="X57" s="90">
        <v>3.4000000000000002E-2</v>
      </c>
      <c r="Y57" s="90">
        <v>3.4000000000000002E-2</v>
      </c>
      <c r="Z57" s="90">
        <v>3.4000000000000002E-2</v>
      </c>
      <c r="AA57" s="90">
        <v>3.4000000000000002E-2</v>
      </c>
      <c r="AB57" s="90">
        <v>3.4000000000000002E-2</v>
      </c>
      <c r="AE57" s="74">
        <v>46</v>
      </c>
      <c r="AF57" s="90">
        <v>3.1E-2</v>
      </c>
    </row>
    <row r="58" spans="1:32" x14ac:dyDescent="0.25">
      <c r="A58" s="74">
        <v>51</v>
      </c>
      <c r="B58" s="90">
        <v>3.5999999999999997E-2</v>
      </c>
      <c r="C58" s="90">
        <v>3.5999999999999997E-2</v>
      </c>
      <c r="D58" s="90">
        <v>3.5999999999999997E-2</v>
      </c>
      <c r="E58" s="90">
        <v>3.5999999999999997E-2</v>
      </c>
      <c r="F58" s="90">
        <v>3.5999999999999997E-2</v>
      </c>
      <c r="G58" s="90">
        <v>3.5999999999999997E-2</v>
      </c>
      <c r="H58" s="90">
        <v>3.5999999999999997E-2</v>
      </c>
      <c r="I58" s="90">
        <v>3.5999999999999997E-2</v>
      </c>
      <c r="J58" s="90">
        <v>3.5000000000000003E-2</v>
      </c>
      <c r="K58" s="90">
        <v>3.5000000000000003E-2</v>
      </c>
      <c r="L58" s="90">
        <v>3.5000000000000003E-2</v>
      </c>
      <c r="M58" s="90">
        <v>3.5000000000000003E-2</v>
      </c>
      <c r="P58" s="74">
        <v>51</v>
      </c>
      <c r="Q58" s="90">
        <v>3.5000000000000003E-2</v>
      </c>
      <c r="R58" s="90">
        <v>3.5000000000000003E-2</v>
      </c>
      <c r="S58" s="90">
        <v>3.5000000000000003E-2</v>
      </c>
      <c r="T58" s="90">
        <v>3.5000000000000003E-2</v>
      </c>
      <c r="U58" s="90">
        <v>3.5000000000000003E-2</v>
      </c>
      <c r="V58" s="90">
        <v>3.5000000000000003E-2</v>
      </c>
      <c r="W58" s="90">
        <v>3.5000000000000003E-2</v>
      </c>
      <c r="X58" s="90">
        <v>3.5000000000000003E-2</v>
      </c>
      <c r="Y58" s="90">
        <v>3.5000000000000003E-2</v>
      </c>
      <c r="Z58" s="90">
        <v>3.5000000000000003E-2</v>
      </c>
      <c r="AA58" s="90">
        <v>3.4000000000000002E-2</v>
      </c>
      <c r="AB58" s="90">
        <v>3.4000000000000002E-2</v>
      </c>
      <c r="AE58" s="74">
        <v>47</v>
      </c>
      <c r="AF58" s="90">
        <v>3.2000000000000001E-2</v>
      </c>
    </row>
    <row r="59" spans="1:32" x14ac:dyDescent="0.25">
      <c r="A59" s="74">
        <v>52</v>
      </c>
      <c r="B59" s="90">
        <v>3.6999999999999998E-2</v>
      </c>
      <c r="C59" s="90">
        <v>3.6999999999999998E-2</v>
      </c>
      <c r="D59" s="90">
        <v>3.6999999999999998E-2</v>
      </c>
      <c r="E59" s="90">
        <v>3.5999999999999997E-2</v>
      </c>
      <c r="F59" s="90">
        <v>3.5999999999999997E-2</v>
      </c>
      <c r="G59" s="90">
        <v>3.5999999999999997E-2</v>
      </c>
      <c r="H59" s="90">
        <v>3.5999999999999997E-2</v>
      </c>
      <c r="I59" s="90">
        <v>3.5999999999999997E-2</v>
      </c>
      <c r="J59" s="90">
        <v>3.5999999999999997E-2</v>
      </c>
      <c r="K59" s="90">
        <v>3.5999999999999997E-2</v>
      </c>
      <c r="L59" s="90">
        <v>3.5999999999999997E-2</v>
      </c>
      <c r="M59" s="90">
        <v>3.5999999999999997E-2</v>
      </c>
      <c r="P59" s="74">
        <v>52</v>
      </c>
      <c r="Q59" s="90">
        <v>3.5999999999999997E-2</v>
      </c>
      <c r="R59" s="90">
        <v>3.5999999999999997E-2</v>
      </c>
      <c r="S59" s="90">
        <v>3.5999999999999997E-2</v>
      </c>
      <c r="T59" s="90">
        <v>3.5999999999999997E-2</v>
      </c>
      <c r="U59" s="90">
        <v>3.5999999999999997E-2</v>
      </c>
      <c r="V59" s="90">
        <v>3.5000000000000003E-2</v>
      </c>
      <c r="W59" s="90">
        <v>3.5000000000000003E-2</v>
      </c>
      <c r="X59" s="90">
        <v>3.5000000000000003E-2</v>
      </c>
      <c r="Y59" s="90">
        <v>3.5000000000000003E-2</v>
      </c>
      <c r="Z59" s="90">
        <v>3.5000000000000003E-2</v>
      </c>
      <c r="AA59" s="90">
        <v>3.5000000000000003E-2</v>
      </c>
      <c r="AB59" s="90">
        <v>3.5000000000000003E-2</v>
      </c>
      <c r="AE59" s="74">
        <v>48</v>
      </c>
      <c r="AF59" s="90">
        <v>3.3000000000000002E-2</v>
      </c>
    </row>
    <row r="60" spans="1:32" x14ac:dyDescent="0.25">
      <c r="A60" s="74">
        <v>53</v>
      </c>
      <c r="B60" s="90">
        <v>3.6999999999999998E-2</v>
      </c>
      <c r="C60" s="90">
        <v>3.6999999999999998E-2</v>
      </c>
      <c r="D60" s="90">
        <v>3.6999999999999998E-2</v>
      </c>
      <c r="E60" s="90">
        <v>3.6999999999999998E-2</v>
      </c>
      <c r="F60" s="90">
        <v>3.6999999999999998E-2</v>
      </c>
      <c r="G60" s="90">
        <v>3.6999999999999998E-2</v>
      </c>
      <c r="H60" s="90">
        <v>3.6999999999999998E-2</v>
      </c>
      <c r="I60" s="90">
        <v>3.6999999999999998E-2</v>
      </c>
      <c r="J60" s="90">
        <v>3.6999999999999998E-2</v>
      </c>
      <c r="K60" s="90">
        <v>3.6999999999999998E-2</v>
      </c>
      <c r="L60" s="90">
        <v>3.6999999999999998E-2</v>
      </c>
      <c r="M60" s="90">
        <v>3.6999999999999998E-2</v>
      </c>
      <c r="P60" s="74">
        <v>53</v>
      </c>
      <c r="Q60" s="90">
        <v>3.5999999999999997E-2</v>
      </c>
      <c r="R60" s="90">
        <v>3.5999999999999997E-2</v>
      </c>
      <c r="S60" s="90">
        <v>3.5999999999999997E-2</v>
      </c>
      <c r="T60" s="90">
        <v>3.5999999999999997E-2</v>
      </c>
      <c r="U60" s="90">
        <v>3.5999999999999997E-2</v>
      </c>
      <c r="V60" s="90">
        <v>3.5999999999999997E-2</v>
      </c>
      <c r="W60" s="90">
        <v>3.5999999999999997E-2</v>
      </c>
      <c r="X60" s="90">
        <v>3.5999999999999997E-2</v>
      </c>
      <c r="Y60" s="90">
        <v>3.5999999999999997E-2</v>
      </c>
      <c r="Z60" s="90">
        <v>3.5999999999999997E-2</v>
      </c>
      <c r="AA60" s="90">
        <v>3.5999999999999997E-2</v>
      </c>
      <c r="AB60" s="90">
        <v>3.5999999999999997E-2</v>
      </c>
      <c r="AE60" s="74">
        <v>49</v>
      </c>
      <c r="AF60" s="90">
        <v>3.3000000000000002E-2</v>
      </c>
    </row>
    <row r="61" spans="1:32" x14ac:dyDescent="0.25">
      <c r="A61" s="74">
        <v>54</v>
      </c>
      <c r="B61" s="90">
        <v>3.7999999999999999E-2</v>
      </c>
      <c r="C61" s="90">
        <v>3.7999999999999999E-2</v>
      </c>
      <c r="D61" s="90">
        <v>3.7999999999999999E-2</v>
      </c>
      <c r="E61" s="90">
        <v>3.7999999999999999E-2</v>
      </c>
      <c r="F61" s="90">
        <v>3.7999999999999999E-2</v>
      </c>
      <c r="G61" s="90">
        <v>3.7999999999999999E-2</v>
      </c>
      <c r="H61" s="90">
        <v>3.7999999999999999E-2</v>
      </c>
      <c r="I61" s="90">
        <v>3.7999999999999999E-2</v>
      </c>
      <c r="J61" s="90">
        <v>3.6999999999999998E-2</v>
      </c>
      <c r="K61" s="90">
        <v>3.6999999999999998E-2</v>
      </c>
      <c r="L61" s="90">
        <v>3.6999999999999998E-2</v>
      </c>
      <c r="M61" s="90">
        <v>3.6999999999999998E-2</v>
      </c>
      <c r="P61" s="74">
        <v>54</v>
      </c>
      <c r="Q61" s="90">
        <v>3.6999999999999998E-2</v>
      </c>
      <c r="R61" s="90">
        <v>3.6999999999999998E-2</v>
      </c>
      <c r="S61" s="90">
        <v>3.6999999999999998E-2</v>
      </c>
      <c r="T61" s="90">
        <v>3.6999999999999998E-2</v>
      </c>
      <c r="U61" s="90">
        <v>3.6999999999999998E-2</v>
      </c>
      <c r="V61" s="90">
        <v>3.6999999999999998E-2</v>
      </c>
      <c r="W61" s="90">
        <v>3.6999999999999998E-2</v>
      </c>
      <c r="X61" s="90">
        <v>3.6999999999999998E-2</v>
      </c>
      <c r="Y61" s="90">
        <v>3.6999999999999998E-2</v>
      </c>
      <c r="Z61" s="90">
        <v>3.6999999999999998E-2</v>
      </c>
      <c r="AA61" s="90">
        <v>3.5999999999999997E-2</v>
      </c>
      <c r="AB61" s="90">
        <v>3.5999999999999997E-2</v>
      </c>
      <c r="AE61" s="74">
        <v>50</v>
      </c>
      <c r="AF61" s="90">
        <v>3.4000000000000002E-2</v>
      </c>
    </row>
    <row r="62" spans="1:32" x14ac:dyDescent="0.25">
      <c r="A62" s="74">
        <v>55</v>
      </c>
      <c r="B62" s="90">
        <v>3.9E-2</v>
      </c>
      <c r="C62" s="90">
        <v>3.9E-2</v>
      </c>
      <c r="D62" s="90">
        <v>3.9E-2</v>
      </c>
      <c r="E62" s="90">
        <v>3.9E-2</v>
      </c>
      <c r="F62" s="90">
        <v>3.7999999999999999E-2</v>
      </c>
      <c r="G62" s="90">
        <v>3.7999999999999999E-2</v>
      </c>
      <c r="H62" s="90">
        <v>3.7999999999999999E-2</v>
      </c>
      <c r="I62" s="90">
        <v>3.7999999999999999E-2</v>
      </c>
      <c r="J62" s="90">
        <v>3.7999999999999999E-2</v>
      </c>
      <c r="K62" s="90">
        <v>3.7999999999999999E-2</v>
      </c>
      <c r="L62" s="90">
        <v>3.7999999999999999E-2</v>
      </c>
      <c r="M62" s="90">
        <v>3.7999999999999999E-2</v>
      </c>
      <c r="P62" s="74">
        <v>55</v>
      </c>
      <c r="Q62" s="90">
        <v>3.7999999999999999E-2</v>
      </c>
      <c r="R62" s="90">
        <v>3.7999999999999999E-2</v>
      </c>
      <c r="S62" s="90">
        <v>3.7999999999999999E-2</v>
      </c>
      <c r="T62" s="90">
        <v>3.7999999999999999E-2</v>
      </c>
      <c r="U62" s="90">
        <v>3.7999999999999999E-2</v>
      </c>
      <c r="V62" s="90">
        <v>3.6999999999999998E-2</v>
      </c>
      <c r="W62" s="90">
        <v>3.6999999999999998E-2</v>
      </c>
      <c r="X62" s="90">
        <v>3.6999999999999998E-2</v>
      </c>
      <c r="Y62" s="90">
        <v>3.6999999999999998E-2</v>
      </c>
      <c r="Z62" s="90">
        <v>3.6999999999999998E-2</v>
      </c>
      <c r="AA62" s="90">
        <v>3.6999999999999998E-2</v>
      </c>
      <c r="AB62" s="90">
        <v>3.6999999999999998E-2</v>
      </c>
      <c r="AE62" s="74">
        <v>51</v>
      </c>
      <c r="AF62" s="90">
        <v>3.4000000000000002E-2</v>
      </c>
    </row>
    <row r="63" spans="1:32" x14ac:dyDescent="0.25">
      <c r="A63" s="74">
        <v>56</v>
      </c>
      <c r="B63" s="90">
        <v>3.9E-2</v>
      </c>
      <c r="C63" s="90">
        <v>3.9E-2</v>
      </c>
      <c r="D63" s="90">
        <v>3.9E-2</v>
      </c>
      <c r="E63" s="90">
        <v>3.9E-2</v>
      </c>
      <c r="F63" s="90">
        <v>3.9E-2</v>
      </c>
      <c r="G63" s="90">
        <v>3.9E-2</v>
      </c>
      <c r="H63" s="90">
        <v>3.9E-2</v>
      </c>
      <c r="I63" s="90">
        <v>3.9E-2</v>
      </c>
      <c r="J63" s="90">
        <v>3.9E-2</v>
      </c>
      <c r="K63" s="90">
        <v>3.9E-2</v>
      </c>
      <c r="L63" s="90">
        <v>3.9E-2</v>
      </c>
      <c r="M63" s="90">
        <v>3.9E-2</v>
      </c>
      <c r="P63" s="74">
        <v>56</v>
      </c>
      <c r="Q63" s="90">
        <v>3.9E-2</v>
      </c>
      <c r="R63" s="90">
        <v>3.9E-2</v>
      </c>
      <c r="S63" s="90">
        <v>3.7999999999999999E-2</v>
      </c>
      <c r="T63" s="90">
        <v>3.7999999999999999E-2</v>
      </c>
      <c r="U63" s="90">
        <v>3.7999999999999999E-2</v>
      </c>
      <c r="V63" s="90">
        <v>3.7999999999999999E-2</v>
      </c>
      <c r="W63" s="90">
        <v>3.7999999999999999E-2</v>
      </c>
      <c r="X63" s="90">
        <v>3.7999999999999999E-2</v>
      </c>
      <c r="Y63" s="90">
        <v>3.7999999999999999E-2</v>
      </c>
      <c r="Z63" s="90">
        <v>3.7999999999999999E-2</v>
      </c>
      <c r="AA63" s="90">
        <v>3.7999999999999999E-2</v>
      </c>
      <c r="AB63" s="90">
        <v>3.7999999999999999E-2</v>
      </c>
      <c r="AE63" s="74">
        <v>52</v>
      </c>
      <c r="AF63" s="90">
        <v>3.5000000000000003E-2</v>
      </c>
    </row>
    <row r="64" spans="1:32" x14ac:dyDescent="0.25">
      <c r="A64" s="74">
        <v>57</v>
      </c>
      <c r="B64" s="90">
        <v>0.04</v>
      </c>
      <c r="C64" s="90">
        <v>0.04</v>
      </c>
      <c r="D64" s="90">
        <v>0.04</v>
      </c>
      <c r="E64" s="90">
        <v>0.04</v>
      </c>
      <c r="F64" s="90">
        <v>0.04</v>
      </c>
      <c r="G64" s="90">
        <v>0.04</v>
      </c>
      <c r="H64" s="90">
        <v>0.04</v>
      </c>
      <c r="I64" s="90">
        <v>0.04</v>
      </c>
      <c r="J64" s="90">
        <v>0.04</v>
      </c>
      <c r="K64" s="90">
        <v>0.04</v>
      </c>
      <c r="L64" s="90">
        <v>3.9E-2</v>
      </c>
      <c r="M64" s="90">
        <v>3.9E-2</v>
      </c>
      <c r="P64" s="74">
        <v>57</v>
      </c>
      <c r="Q64" s="90">
        <v>3.9E-2</v>
      </c>
      <c r="R64" s="90">
        <v>3.9E-2</v>
      </c>
      <c r="S64" s="90">
        <v>3.9E-2</v>
      </c>
      <c r="T64" s="90">
        <v>3.9E-2</v>
      </c>
      <c r="U64" s="90">
        <v>3.9E-2</v>
      </c>
      <c r="V64" s="90">
        <v>3.9E-2</v>
      </c>
      <c r="W64" s="90">
        <v>3.9E-2</v>
      </c>
      <c r="X64" s="90">
        <v>3.9E-2</v>
      </c>
      <c r="Y64" s="90">
        <v>3.9E-2</v>
      </c>
      <c r="Z64" s="90">
        <v>3.9E-2</v>
      </c>
      <c r="AA64" s="90">
        <v>3.9E-2</v>
      </c>
      <c r="AB64" s="90">
        <v>3.7999999999999999E-2</v>
      </c>
      <c r="AE64" s="74">
        <v>53</v>
      </c>
      <c r="AF64" s="90">
        <v>3.5999999999999997E-2</v>
      </c>
    </row>
    <row r="65" spans="1:32" x14ac:dyDescent="0.25">
      <c r="A65" s="74">
        <v>58</v>
      </c>
      <c r="B65" s="90">
        <v>4.1000000000000002E-2</v>
      </c>
      <c r="C65" s="90">
        <v>4.1000000000000002E-2</v>
      </c>
      <c r="D65" s="90">
        <v>4.1000000000000002E-2</v>
      </c>
      <c r="E65" s="90">
        <v>4.1000000000000002E-2</v>
      </c>
      <c r="F65" s="90">
        <v>4.1000000000000002E-2</v>
      </c>
      <c r="G65" s="90">
        <v>4.1000000000000002E-2</v>
      </c>
      <c r="H65" s="90">
        <v>4.1000000000000002E-2</v>
      </c>
      <c r="I65" s="90">
        <v>0.04</v>
      </c>
      <c r="J65" s="90">
        <v>0.04</v>
      </c>
      <c r="K65" s="90">
        <v>0.04</v>
      </c>
      <c r="L65" s="90">
        <v>0.04</v>
      </c>
      <c r="M65" s="90">
        <v>0.04</v>
      </c>
      <c r="P65" s="74">
        <v>58</v>
      </c>
      <c r="Q65" s="90">
        <v>0.04</v>
      </c>
      <c r="R65" s="90">
        <v>0.04</v>
      </c>
      <c r="S65" s="90">
        <v>0.04</v>
      </c>
      <c r="T65" s="90">
        <v>0.04</v>
      </c>
      <c r="U65" s="90">
        <v>0.04</v>
      </c>
      <c r="V65" s="90">
        <v>0.04</v>
      </c>
      <c r="W65" s="90">
        <v>0.04</v>
      </c>
      <c r="X65" s="90">
        <v>0.04</v>
      </c>
      <c r="Y65" s="90">
        <v>3.9E-2</v>
      </c>
      <c r="Z65" s="90">
        <v>3.9E-2</v>
      </c>
      <c r="AA65" s="90">
        <v>3.9E-2</v>
      </c>
      <c r="AB65" s="90">
        <v>3.9E-2</v>
      </c>
      <c r="AE65" s="74">
        <v>54</v>
      </c>
      <c r="AF65" s="90">
        <v>3.5999999999999997E-2</v>
      </c>
    </row>
    <row r="66" spans="1:32" x14ac:dyDescent="0.25">
      <c r="A66" s="74">
        <v>59</v>
      </c>
      <c r="B66" s="90">
        <v>4.2000000000000003E-2</v>
      </c>
      <c r="C66" s="90">
        <v>4.2000000000000003E-2</v>
      </c>
      <c r="D66" s="90">
        <v>4.2000000000000003E-2</v>
      </c>
      <c r="E66" s="90">
        <v>4.2000000000000003E-2</v>
      </c>
      <c r="F66" s="90">
        <v>4.2000000000000003E-2</v>
      </c>
      <c r="G66" s="90">
        <v>4.1000000000000002E-2</v>
      </c>
      <c r="H66" s="90">
        <v>4.1000000000000002E-2</v>
      </c>
      <c r="I66" s="90">
        <v>4.1000000000000002E-2</v>
      </c>
      <c r="J66" s="90">
        <v>4.1000000000000002E-2</v>
      </c>
      <c r="K66" s="90">
        <v>4.1000000000000002E-2</v>
      </c>
      <c r="L66" s="90">
        <v>4.1000000000000002E-2</v>
      </c>
      <c r="M66" s="90">
        <v>4.1000000000000002E-2</v>
      </c>
      <c r="P66" s="74">
        <v>59</v>
      </c>
      <c r="Q66" s="90">
        <v>4.1000000000000002E-2</v>
      </c>
      <c r="R66" s="90">
        <v>4.1000000000000002E-2</v>
      </c>
      <c r="S66" s="90">
        <v>4.1000000000000002E-2</v>
      </c>
      <c r="T66" s="90">
        <v>4.1000000000000002E-2</v>
      </c>
      <c r="U66" s="90">
        <v>4.1000000000000002E-2</v>
      </c>
      <c r="V66" s="90">
        <v>0.04</v>
      </c>
      <c r="W66" s="90">
        <v>0.04</v>
      </c>
      <c r="X66" s="90">
        <v>0.04</v>
      </c>
      <c r="Y66" s="90">
        <v>0.04</v>
      </c>
      <c r="Z66" s="90">
        <v>0.04</v>
      </c>
      <c r="AA66" s="90">
        <v>0.04</v>
      </c>
      <c r="AB66" s="90">
        <v>0.04</v>
      </c>
      <c r="AE66" s="74">
        <v>55</v>
      </c>
      <c r="AF66" s="90">
        <v>3.6999999999999998E-2</v>
      </c>
    </row>
    <row r="67" spans="1:32" x14ac:dyDescent="0.25">
      <c r="A67" s="74">
        <v>60</v>
      </c>
      <c r="B67" s="90">
        <v>4.2999999999999997E-2</v>
      </c>
      <c r="C67" s="90">
        <v>4.2999999999999997E-2</v>
      </c>
      <c r="D67" s="90">
        <v>4.2999999999999997E-2</v>
      </c>
      <c r="E67" s="90">
        <v>4.2000000000000003E-2</v>
      </c>
      <c r="F67" s="90">
        <v>4.2000000000000003E-2</v>
      </c>
      <c r="G67" s="90">
        <v>4.2000000000000003E-2</v>
      </c>
      <c r="H67" s="90">
        <v>4.2000000000000003E-2</v>
      </c>
      <c r="I67" s="90">
        <v>4.2000000000000003E-2</v>
      </c>
      <c r="J67" s="90">
        <v>4.2000000000000003E-2</v>
      </c>
      <c r="K67" s="90">
        <v>4.2000000000000003E-2</v>
      </c>
      <c r="L67" s="90">
        <v>4.2000000000000003E-2</v>
      </c>
      <c r="M67" s="90">
        <v>4.2000000000000003E-2</v>
      </c>
      <c r="P67" s="74">
        <v>60</v>
      </c>
      <c r="Q67" s="90">
        <v>4.2000000000000003E-2</v>
      </c>
      <c r="R67" s="90">
        <v>4.2000000000000003E-2</v>
      </c>
      <c r="S67" s="90">
        <v>4.2000000000000003E-2</v>
      </c>
      <c r="T67" s="90">
        <v>4.1000000000000002E-2</v>
      </c>
      <c r="U67" s="90">
        <v>4.1000000000000002E-2</v>
      </c>
      <c r="V67" s="90">
        <v>4.1000000000000002E-2</v>
      </c>
      <c r="W67" s="90">
        <v>4.1000000000000002E-2</v>
      </c>
      <c r="X67" s="90">
        <v>4.1000000000000002E-2</v>
      </c>
      <c r="Y67" s="90">
        <v>4.1000000000000002E-2</v>
      </c>
      <c r="Z67" s="90">
        <v>4.1000000000000002E-2</v>
      </c>
      <c r="AA67" s="90">
        <v>4.1000000000000002E-2</v>
      </c>
      <c r="AB67" s="90">
        <v>4.1000000000000002E-2</v>
      </c>
      <c r="AE67" s="74">
        <v>56</v>
      </c>
      <c r="AF67" s="90">
        <v>3.7999999999999999E-2</v>
      </c>
    </row>
    <row r="68" spans="1:32" x14ac:dyDescent="0.25">
      <c r="A68" s="74">
        <v>61</v>
      </c>
      <c r="B68" s="90">
        <v>4.3999999999999997E-2</v>
      </c>
      <c r="C68" s="90">
        <v>4.3999999999999997E-2</v>
      </c>
      <c r="D68" s="90">
        <v>4.2999999999999997E-2</v>
      </c>
      <c r="E68" s="90">
        <v>4.2999999999999997E-2</v>
      </c>
      <c r="F68" s="90">
        <v>4.2999999999999997E-2</v>
      </c>
      <c r="G68" s="90">
        <v>4.2999999999999997E-2</v>
      </c>
      <c r="H68" s="90">
        <v>4.2999999999999997E-2</v>
      </c>
      <c r="I68" s="90">
        <v>4.2999999999999997E-2</v>
      </c>
      <c r="J68" s="90">
        <v>4.2999999999999997E-2</v>
      </c>
      <c r="K68" s="90">
        <v>4.2999999999999997E-2</v>
      </c>
      <c r="L68" s="90">
        <v>4.2999999999999997E-2</v>
      </c>
      <c r="M68" s="90">
        <v>4.2999999999999997E-2</v>
      </c>
      <c r="P68" s="74">
        <v>61</v>
      </c>
      <c r="Q68" s="90">
        <v>4.2999999999999997E-2</v>
      </c>
      <c r="R68" s="90">
        <v>4.2999999999999997E-2</v>
      </c>
      <c r="S68" s="90">
        <v>4.2000000000000003E-2</v>
      </c>
      <c r="T68" s="90">
        <v>4.2000000000000003E-2</v>
      </c>
      <c r="U68" s="90">
        <v>4.2000000000000003E-2</v>
      </c>
      <c r="V68" s="90">
        <v>4.2000000000000003E-2</v>
      </c>
      <c r="W68" s="90">
        <v>4.2000000000000003E-2</v>
      </c>
      <c r="X68" s="90">
        <v>4.2000000000000003E-2</v>
      </c>
      <c r="Y68" s="90">
        <v>4.2000000000000003E-2</v>
      </c>
      <c r="Z68" s="90">
        <v>4.2000000000000003E-2</v>
      </c>
      <c r="AA68" s="90">
        <v>4.2000000000000003E-2</v>
      </c>
      <c r="AB68" s="90">
        <v>4.2000000000000003E-2</v>
      </c>
      <c r="AE68" s="74">
        <v>57</v>
      </c>
      <c r="AF68" s="90">
        <v>3.7999999999999999E-2</v>
      </c>
    </row>
    <row r="69" spans="1:32" x14ac:dyDescent="0.25">
      <c r="A69" s="74">
        <v>62</v>
      </c>
      <c r="B69" s="90">
        <v>4.4999999999999998E-2</v>
      </c>
      <c r="C69" s="90">
        <v>4.3999999999999997E-2</v>
      </c>
      <c r="D69" s="90">
        <v>4.3999999999999997E-2</v>
      </c>
      <c r="E69" s="90">
        <v>4.3999999999999997E-2</v>
      </c>
      <c r="F69" s="90">
        <v>4.3999999999999997E-2</v>
      </c>
      <c r="G69" s="90">
        <v>4.3999999999999997E-2</v>
      </c>
      <c r="H69" s="90">
        <v>4.3999999999999997E-2</v>
      </c>
      <c r="I69" s="90">
        <v>4.3999999999999997E-2</v>
      </c>
      <c r="J69" s="90">
        <v>4.3999999999999997E-2</v>
      </c>
      <c r="K69" s="90">
        <v>4.3999999999999997E-2</v>
      </c>
      <c r="L69" s="90">
        <v>4.3999999999999997E-2</v>
      </c>
      <c r="M69" s="90">
        <v>4.3999999999999997E-2</v>
      </c>
      <c r="P69" s="74">
        <v>62</v>
      </c>
      <c r="Q69" s="90">
        <v>4.3999999999999997E-2</v>
      </c>
      <c r="R69" s="90">
        <v>4.2999999999999997E-2</v>
      </c>
      <c r="S69" s="90">
        <v>4.2999999999999997E-2</v>
      </c>
      <c r="T69" s="90">
        <v>4.2999999999999997E-2</v>
      </c>
      <c r="U69" s="90">
        <v>4.2999999999999997E-2</v>
      </c>
      <c r="V69" s="90">
        <v>4.2999999999999997E-2</v>
      </c>
      <c r="W69" s="90">
        <v>4.2999999999999997E-2</v>
      </c>
      <c r="X69" s="90">
        <v>4.2999999999999997E-2</v>
      </c>
      <c r="Y69" s="90">
        <v>4.2999999999999997E-2</v>
      </c>
      <c r="Z69" s="90">
        <v>4.2999999999999997E-2</v>
      </c>
      <c r="AA69" s="90">
        <v>4.2999999999999997E-2</v>
      </c>
      <c r="AB69" s="90">
        <v>4.2999999999999997E-2</v>
      </c>
      <c r="AE69" s="74">
        <v>58</v>
      </c>
      <c r="AF69" s="90">
        <v>3.9E-2</v>
      </c>
    </row>
    <row r="70" spans="1:32" x14ac:dyDescent="0.25">
      <c r="A70" s="74">
        <v>63</v>
      </c>
      <c r="B70" s="90">
        <v>4.5999999999999999E-2</v>
      </c>
      <c r="C70" s="90">
        <v>4.4999999999999998E-2</v>
      </c>
      <c r="D70" s="90">
        <v>4.4999999999999998E-2</v>
      </c>
      <c r="E70" s="90">
        <v>4.4999999999999998E-2</v>
      </c>
      <c r="F70" s="90">
        <v>4.4999999999999998E-2</v>
      </c>
      <c r="G70" s="90">
        <v>4.4999999999999998E-2</v>
      </c>
      <c r="H70" s="90">
        <v>4.4999999999999998E-2</v>
      </c>
      <c r="I70" s="90">
        <v>4.4999999999999998E-2</v>
      </c>
      <c r="J70" s="90">
        <v>4.4999999999999998E-2</v>
      </c>
      <c r="K70" s="90">
        <v>4.4999999999999998E-2</v>
      </c>
      <c r="L70" s="90">
        <v>4.4999999999999998E-2</v>
      </c>
      <c r="M70" s="90">
        <v>4.4999999999999998E-2</v>
      </c>
      <c r="P70" s="74">
        <v>63</v>
      </c>
      <c r="Q70" s="90">
        <v>4.3999999999999997E-2</v>
      </c>
      <c r="R70" s="90">
        <v>4.3999999999999997E-2</v>
      </c>
      <c r="S70" s="90">
        <v>4.3999999999999997E-2</v>
      </c>
      <c r="T70" s="90">
        <v>4.3999999999999997E-2</v>
      </c>
      <c r="U70" s="90">
        <v>4.3999999999999997E-2</v>
      </c>
      <c r="V70" s="90">
        <v>4.3999999999999997E-2</v>
      </c>
      <c r="W70" s="90">
        <v>4.3999999999999997E-2</v>
      </c>
      <c r="X70" s="90">
        <v>4.3999999999999997E-2</v>
      </c>
      <c r="Y70" s="90">
        <v>4.3999999999999997E-2</v>
      </c>
      <c r="Z70" s="90">
        <v>4.3999999999999997E-2</v>
      </c>
      <c r="AA70" s="90">
        <v>4.3999999999999997E-2</v>
      </c>
      <c r="AB70" s="90">
        <v>4.2999999999999997E-2</v>
      </c>
      <c r="AE70" s="74">
        <v>59</v>
      </c>
      <c r="AF70" s="90">
        <v>0.04</v>
      </c>
    </row>
    <row r="71" spans="1:32" x14ac:dyDescent="0.25">
      <c r="A71" s="74">
        <v>64</v>
      </c>
      <c r="B71" s="90">
        <v>4.5999999999999999E-2</v>
      </c>
      <c r="C71" s="90">
        <v>4.5999999999999999E-2</v>
      </c>
      <c r="D71" s="90">
        <v>4.5999999999999999E-2</v>
      </c>
      <c r="E71" s="90">
        <v>4.5999999999999999E-2</v>
      </c>
      <c r="F71" s="90">
        <v>4.5999999999999999E-2</v>
      </c>
      <c r="G71" s="90">
        <v>4.5999999999999999E-2</v>
      </c>
      <c r="H71" s="90">
        <v>4.5999999999999999E-2</v>
      </c>
      <c r="I71" s="90">
        <v>4.5999999999999999E-2</v>
      </c>
      <c r="J71" s="90">
        <v>4.5999999999999999E-2</v>
      </c>
      <c r="K71" s="90">
        <v>4.5999999999999999E-2</v>
      </c>
      <c r="L71" s="90">
        <v>4.5999999999999999E-2</v>
      </c>
      <c r="M71" s="90">
        <v>4.4999999999999998E-2</v>
      </c>
      <c r="P71" s="74">
        <v>64</v>
      </c>
      <c r="Q71" s="90">
        <v>4.4999999999999998E-2</v>
      </c>
      <c r="R71" s="90">
        <v>4.4999999999999998E-2</v>
      </c>
      <c r="S71" s="90">
        <v>4.4999999999999998E-2</v>
      </c>
      <c r="T71" s="90">
        <v>4.4999999999999998E-2</v>
      </c>
      <c r="U71" s="90">
        <v>4.4999999999999998E-2</v>
      </c>
      <c r="V71" s="90">
        <v>4.4999999999999998E-2</v>
      </c>
      <c r="W71" s="90">
        <v>4.4999999999999998E-2</v>
      </c>
      <c r="X71" s="90">
        <v>4.4999999999999998E-2</v>
      </c>
      <c r="Y71" s="90">
        <v>4.4999999999999998E-2</v>
      </c>
      <c r="Z71" s="90">
        <v>4.4999999999999998E-2</v>
      </c>
      <c r="AA71" s="90">
        <v>4.4999999999999998E-2</v>
      </c>
      <c r="AB71" s="90">
        <v>4.3999999999999997E-2</v>
      </c>
      <c r="AE71" s="74">
        <v>60</v>
      </c>
      <c r="AF71" s="90">
        <v>4.1000000000000002E-2</v>
      </c>
    </row>
    <row r="72" spans="1:32" x14ac:dyDescent="0.25">
      <c r="P72" s="74">
        <v>65</v>
      </c>
      <c r="Q72" s="90">
        <v>4.5999999999999999E-2</v>
      </c>
      <c r="R72" s="90">
        <v>4.5999999999999999E-2</v>
      </c>
      <c r="S72" s="90">
        <v>4.5999999999999999E-2</v>
      </c>
      <c r="T72" s="90">
        <v>4.5999999999999999E-2</v>
      </c>
      <c r="U72" s="90">
        <v>4.5999999999999999E-2</v>
      </c>
      <c r="V72" s="90">
        <v>4.5999999999999999E-2</v>
      </c>
      <c r="W72" s="90">
        <v>4.5999999999999999E-2</v>
      </c>
      <c r="X72" s="90">
        <v>4.5999999999999999E-2</v>
      </c>
      <c r="Y72" s="90">
        <v>4.5999999999999999E-2</v>
      </c>
      <c r="Z72" s="90">
        <v>4.5999999999999999E-2</v>
      </c>
      <c r="AA72" s="90">
        <v>4.4999999999999998E-2</v>
      </c>
      <c r="AB72" s="90">
        <v>4.4999999999999998E-2</v>
      </c>
      <c r="AE72" s="74">
        <v>61</v>
      </c>
      <c r="AF72" s="90">
        <v>4.2000000000000003E-2</v>
      </c>
    </row>
    <row r="73" spans="1:32" x14ac:dyDescent="0.25">
      <c r="AE73" s="74">
        <v>62</v>
      </c>
      <c r="AF73" s="90">
        <v>4.2000000000000003E-2</v>
      </c>
    </row>
    <row r="74" spans="1:32" x14ac:dyDescent="0.25">
      <c r="AE74" s="74">
        <v>63</v>
      </c>
      <c r="AF74" s="90">
        <v>4.2999999999999997E-2</v>
      </c>
    </row>
    <row r="75" spans="1:32" x14ac:dyDescent="0.25">
      <c r="AE75" s="74">
        <v>64</v>
      </c>
      <c r="AF75" s="90">
        <v>4.3999999999999997E-2</v>
      </c>
    </row>
    <row r="76" spans="1:32" x14ac:dyDescent="0.25">
      <c r="AE76" s="74">
        <v>65</v>
      </c>
      <c r="AF76" s="90">
        <v>4.4999999999999998E-2</v>
      </c>
    </row>
  </sheetData>
  <sheetProtection algorithmName="SHA-512" hashValue="tQP7QmU6kO+vEXGi9YQfqRe8vxzHXyoWvNdzlfkIy7SEPXgGSxE9RgLwu3/L79cMa8SkxEu2RwjBAe/4ss9hIg==" saltValue="0qeYO9lPOV34HB2fyy92zA==" spinCount="100000" sheet="1" objects="1" scenarios="1"/>
  <conditionalFormatting sqref="A6:A21">
    <cfRule type="expression" dxfId="317" priority="3" stopIfTrue="1">
      <formula>MOD(ROW(),2)=0</formula>
    </cfRule>
    <cfRule type="expression" dxfId="316" priority="4" stopIfTrue="1">
      <formula>MOD(ROW(),2)&lt;&gt;0</formula>
    </cfRule>
  </conditionalFormatting>
  <conditionalFormatting sqref="A26:A71 P26:P72">
    <cfRule type="expression" dxfId="315" priority="56" stopIfTrue="1">
      <formula>MOD(ROW(),2)&lt;&gt;0</formula>
    </cfRule>
    <cfRule type="expression" dxfId="314" priority="55" stopIfTrue="1">
      <formula>MOD(ROW(),2)=0</formula>
    </cfRule>
  </conditionalFormatting>
  <conditionalFormatting sqref="B12">
    <cfRule type="expression" dxfId="313" priority="37" stopIfTrue="1">
      <formula>MOD(ROW(),2)=0</formula>
    </cfRule>
    <cfRule type="expression" dxfId="312" priority="38" stopIfTrue="1">
      <formula>MOD(ROW(),2)&lt;&gt;0</formula>
    </cfRule>
  </conditionalFormatting>
  <conditionalFormatting sqref="B17:B21">
    <cfRule type="expression" dxfId="311" priority="15" stopIfTrue="1">
      <formula>MOD(ROW(),2)=0</formula>
    </cfRule>
    <cfRule type="expression" dxfId="310" priority="16" stopIfTrue="1">
      <formula>MOD(ROW(),2)&lt;&gt;0</formula>
    </cfRule>
  </conditionalFormatting>
  <conditionalFormatting sqref="B6:M21">
    <cfRule type="expression" dxfId="309" priority="62" stopIfTrue="1">
      <formula>MOD(ROW(),2)&lt;&gt;0</formula>
    </cfRule>
    <cfRule type="expression" dxfId="308" priority="61" stopIfTrue="1">
      <formula>MOD(ROW(),2)=0</formula>
    </cfRule>
  </conditionalFormatting>
  <conditionalFormatting sqref="B26:M71 Q26:AB72">
    <cfRule type="expression" dxfId="307" priority="58" stopIfTrue="1">
      <formula>MOD(ROW(),2)&lt;&gt;0</formula>
    </cfRule>
    <cfRule type="expression" dxfId="306" priority="57" stopIfTrue="1">
      <formula>MOD(ROW(),2)=0</formula>
    </cfRule>
  </conditionalFormatting>
  <conditionalFormatting sqref="P6:P22">
    <cfRule type="expression" dxfId="305" priority="44" stopIfTrue="1">
      <formula>MOD(ROW(),2)&lt;&gt;0</formula>
    </cfRule>
    <cfRule type="expression" dxfId="304" priority="43" stopIfTrue="1">
      <formula>MOD(ROW(),2)=0</formula>
    </cfRule>
  </conditionalFormatting>
  <conditionalFormatting sqref="Q22">
    <cfRule type="expression" dxfId="303" priority="2" stopIfTrue="1">
      <formula>MOD(ROW(),2)&lt;&gt;0</formula>
    </cfRule>
    <cfRule type="expression" dxfId="302" priority="1" stopIfTrue="1">
      <formula>MOD(ROW(),2)=0</formula>
    </cfRule>
  </conditionalFormatting>
  <conditionalFormatting sqref="Q6:AB21">
    <cfRule type="expression" dxfId="301" priority="11" stopIfTrue="1">
      <formula>MOD(ROW(),2)=0</formula>
    </cfRule>
    <cfRule type="expression" dxfId="300" priority="12" stopIfTrue="1">
      <formula>MOD(ROW(),2)&lt;&gt;0</formula>
    </cfRule>
  </conditionalFormatting>
  <conditionalFormatting sqref="AE6:AE21">
    <cfRule type="expression" dxfId="299" priority="41" stopIfTrue="1">
      <formula>MOD(ROW(),2)=0</formula>
    </cfRule>
    <cfRule type="expression" dxfId="298" priority="42" stopIfTrue="1">
      <formula>MOD(ROW(),2)&lt;&gt;0</formula>
    </cfRule>
  </conditionalFormatting>
  <conditionalFormatting sqref="AE26:AE76">
    <cfRule type="expression" dxfId="297" priority="47" stopIfTrue="1">
      <formula>MOD(ROW(),2)=0</formula>
    </cfRule>
    <cfRule type="expression" dxfId="296" priority="48" stopIfTrue="1">
      <formula>MOD(ROW(),2)&lt;&gt;0</formula>
    </cfRule>
  </conditionalFormatting>
  <conditionalFormatting sqref="AF6:AF21">
    <cfRule type="expression" dxfId="295" priority="7" stopIfTrue="1">
      <formula>MOD(ROW(),2)=0</formula>
    </cfRule>
    <cfRule type="expression" dxfId="294" priority="8" stopIfTrue="1">
      <formula>MOD(ROW(),2)&lt;&gt;0</formula>
    </cfRule>
  </conditionalFormatting>
  <conditionalFormatting sqref="AF26:AF76">
    <cfRule type="expression" dxfId="293" priority="49" stopIfTrue="1">
      <formula>MOD(ROW(),2)=0</formula>
    </cfRule>
    <cfRule type="expression" dxfId="292" priority="50" stopIfTrue="1">
      <formula>MOD(ROW(),2)&lt;&gt;0</formula>
    </cfRule>
  </conditionalFormatting>
  <hyperlinks>
    <hyperlink ref="B24" location="Sheet1!A1" display="Assumptions" xr:uid="{1F82050F-F95A-4A73-BEAC-FEA219D479E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10"/>
  <dimension ref="A1:Q75"/>
  <sheetViews>
    <sheetView showGridLines="0" topLeftCell="D1" zoomScale="85" zoomScaleNormal="85" workbookViewId="0">
      <selection activeCell="A4" sqref="A4"/>
    </sheetView>
  </sheetViews>
  <sheetFormatPr defaultColWidth="10" defaultRowHeight="13.2" x14ac:dyDescent="0.25"/>
  <cols>
    <col min="1" max="1" width="31.5546875" style="27" customWidth="1"/>
    <col min="2" max="13" width="22.5546875" style="27" customWidth="1"/>
    <col min="14" max="15" width="10" style="27"/>
    <col min="16" max="16" width="31.5546875" style="27" customWidth="1"/>
    <col min="17" max="17" width="69.5546875" style="27" customWidth="1"/>
    <col min="18" max="16384" width="10" style="27"/>
  </cols>
  <sheetData>
    <row r="1" spans="1:17" ht="21" x14ac:dyDescent="0.4">
      <c r="A1" s="39" t="s">
        <v>0</v>
      </c>
      <c r="B1" s="40"/>
      <c r="C1" s="40"/>
      <c r="D1" s="40"/>
      <c r="E1" s="40"/>
      <c r="F1" s="40"/>
      <c r="G1" s="40"/>
      <c r="H1" s="40"/>
      <c r="I1" s="40"/>
    </row>
    <row r="2" spans="1:17"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7" ht="15.6" x14ac:dyDescent="0.3">
      <c r="A3" s="43" t="str">
        <f>TABLE_FACTOR_TYPE_1&amp;" - x-"&amp;TABLE_SERIES_NUMBER_1</f>
        <v>EPA - x-732</v>
      </c>
      <c r="B3" s="42"/>
      <c r="C3" s="42"/>
      <c r="D3" s="42"/>
      <c r="E3" s="42"/>
      <c r="F3" s="42"/>
      <c r="G3" s="42"/>
      <c r="H3" s="42"/>
      <c r="I3" s="42"/>
    </row>
    <row r="4" spans="1:17" x14ac:dyDescent="0.25">
      <c r="A4" s="44"/>
    </row>
    <row r="6" spans="1:17" x14ac:dyDescent="0.25">
      <c r="A6" s="76" t="s">
        <v>290</v>
      </c>
      <c r="B6" s="129" t="s">
        <v>291</v>
      </c>
      <c r="C6" s="129"/>
      <c r="D6" s="129"/>
      <c r="E6" s="129"/>
      <c r="F6" s="129"/>
      <c r="G6" s="129"/>
      <c r="H6" s="129"/>
      <c r="I6" s="129"/>
      <c r="J6" s="129"/>
      <c r="K6" s="129"/>
      <c r="L6" s="129"/>
      <c r="M6" s="129"/>
      <c r="P6" s="76" t="s">
        <v>290</v>
      </c>
      <c r="Q6" s="183" t="s">
        <v>291</v>
      </c>
    </row>
    <row r="7" spans="1:17" x14ac:dyDescent="0.25">
      <c r="A7" s="77" t="s">
        <v>804</v>
      </c>
      <c r="B7" s="129" t="s">
        <v>324</v>
      </c>
      <c r="C7" s="129"/>
      <c r="D7" s="129"/>
      <c r="E7" s="129"/>
      <c r="F7" s="129"/>
      <c r="G7" s="129"/>
      <c r="H7" s="129"/>
      <c r="I7" s="129"/>
      <c r="J7" s="129"/>
      <c r="K7" s="129"/>
      <c r="L7" s="129"/>
      <c r="M7" s="129"/>
      <c r="P7" s="77" t="s">
        <v>804</v>
      </c>
      <c r="Q7" s="129" t="s">
        <v>324</v>
      </c>
    </row>
    <row r="8" spans="1:17" x14ac:dyDescent="0.25">
      <c r="A8" s="77" t="s">
        <v>805</v>
      </c>
      <c r="B8" s="129" t="s">
        <v>85</v>
      </c>
      <c r="C8" s="129"/>
      <c r="D8" s="129"/>
      <c r="E8" s="129"/>
      <c r="F8" s="129"/>
      <c r="G8" s="129"/>
      <c r="H8" s="129"/>
      <c r="I8" s="129"/>
      <c r="J8" s="129"/>
      <c r="K8" s="129"/>
      <c r="L8" s="129"/>
      <c r="M8" s="129"/>
      <c r="P8" s="77" t="s">
        <v>805</v>
      </c>
      <c r="Q8" s="129" t="s">
        <v>85</v>
      </c>
    </row>
    <row r="9" spans="1:17" x14ac:dyDescent="0.25">
      <c r="A9" s="77" t="s">
        <v>296</v>
      </c>
      <c r="B9" s="129" t="s">
        <v>647</v>
      </c>
      <c r="C9" s="129"/>
      <c r="D9" s="129"/>
      <c r="E9" s="129"/>
      <c r="F9" s="129"/>
      <c r="G9" s="129"/>
      <c r="H9" s="129"/>
      <c r="I9" s="129"/>
      <c r="J9" s="129"/>
      <c r="K9" s="129"/>
      <c r="L9" s="129"/>
      <c r="M9" s="129"/>
      <c r="P9" s="77" t="s">
        <v>296</v>
      </c>
      <c r="Q9" s="129" t="s">
        <v>647</v>
      </c>
    </row>
    <row r="10" spans="1:17" x14ac:dyDescent="0.25">
      <c r="A10" s="77" t="s">
        <v>6</v>
      </c>
      <c r="B10" s="129" t="s">
        <v>663</v>
      </c>
      <c r="C10" s="129"/>
      <c r="D10" s="129"/>
      <c r="E10" s="129"/>
      <c r="F10" s="129"/>
      <c r="G10" s="129"/>
      <c r="H10" s="129"/>
      <c r="I10" s="129"/>
      <c r="J10" s="129"/>
      <c r="K10" s="129"/>
      <c r="L10" s="129"/>
      <c r="M10" s="129"/>
      <c r="P10" s="77" t="s">
        <v>6</v>
      </c>
      <c r="Q10" s="129" t="s">
        <v>968</v>
      </c>
    </row>
    <row r="11" spans="1:17" x14ac:dyDescent="0.25">
      <c r="A11" s="77" t="s">
        <v>299</v>
      </c>
      <c r="B11" s="129" t="s">
        <v>364</v>
      </c>
      <c r="C11" s="129"/>
      <c r="D11" s="129"/>
      <c r="E11" s="129"/>
      <c r="F11" s="129"/>
      <c r="G11" s="129"/>
      <c r="H11" s="129"/>
      <c r="I11" s="129"/>
      <c r="J11" s="129"/>
      <c r="K11" s="129"/>
      <c r="L11" s="129"/>
      <c r="M11" s="129"/>
      <c r="P11" s="77" t="s">
        <v>299</v>
      </c>
      <c r="Q11" s="129" t="s">
        <v>364</v>
      </c>
    </row>
    <row r="12" spans="1:17" x14ac:dyDescent="0.25">
      <c r="A12" s="77" t="s">
        <v>301</v>
      </c>
      <c r="B12" s="129" t="s">
        <v>649</v>
      </c>
      <c r="C12" s="129"/>
      <c r="D12" s="129"/>
      <c r="E12" s="129"/>
      <c r="F12" s="129"/>
      <c r="G12" s="129"/>
      <c r="H12" s="129"/>
      <c r="I12" s="129"/>
      <c r="J12" s="129"/>
      <c r="K12" s="129"/>
      <c r="L12" s="129"/>
      <c r="M12" s="129"/>
      <c r="P12" s="77" t="s">
        <v>301</v>
      </c>
      <c r="Q12" s="129" t="s">
        <v>658</v>
      </c>
    </row>
    <row r="13" spans="1:17" x14ac:dyDescent="0.25">
      <c r="A13" s="77" t="s">
        <v>806</v>
      </c>
      <c r="B13" s="129">
        <v>0</v>
      </c>
      <c r="C13" s="129"/>
      <c r="D13" s="129"/>
      <c r="E13" s="129"/>
      <c r="F13" s="129"/>
      <c r="G13" s="129"/>
      <c r="H13" s="129"/>
      <c r="I13" s="129"/>
      <c r="J13" s="129"/>
      <c r="K13" s="129"/>
      <c r="L13" s="129"/>
      <c r="M13" s="129"/>
      <c r="P13" s="77" t="s">
        <v>806</v>
      </c>
      <c r="Q13" s="129">
        <v>0</v>
      </c>
    </row>
    <row r="14" spans="1:17" x14ac:dyDescent="0.25">
      <c r="A14" s="77" t="s">
        <v>305</v>
      </c>
      <c r="B14" s="129">
        <v>732</v>
      </c>
      <c r="C14" s="129"/>
      <c r="D14" s="129"/>
      <c r="E14" s="129"/>
      <c r="F14" s="129"/>
      <c r="G14" s="129"/>
      <c r="H14" s="129"/>
      <c r="I14" s="129"/>
      <c r="J14" s="129"/>
      <c r="K14" s="129"/>
      <c r="L14" s="129"/>
      <c r="M14" s="129"/>
      <c r="P14" s="77" t="s">
        <v>305</v>
      </c>
      <c r="Q14" s="129">
        <v>732</v>
      </c>
    </row>
    <row r="15" spans="1:17" x14ac:dyDescent="0.25">
      <c r="A15" s="77" t="s">
        <v>307</v>
      </c>
      <c r="B15" s="129" t="s">
        <v>664</v>
      </c>
      <c r="C15" s="129"/>
      <c r="D15" s="129"/>
      <c r="E15" s="129"/>
      <c r="F15" s="129"/>
      <c r="G15" s="129"/>
      <c r="H15" s="129"/>
      <c r="I15" s="129"/>
      <c r="J15" s="129"/>
      <c r="K15" s="129"/>
      <c r="L15" s="129"/>
      <c r="M15" s="129"/>
      <c r="P15" s="77" t="s">
        <v>307</v>
      </c>
      <c r="Q15" s="129" t="s">
        <v>969</v>
      </c>
    </row>
    <row r="16" spans="1:17" x14ac:dyDescent="0.25">
      <c r="A16" s="77" t="s">
        <v>309</v>
      </c>
      <c r="B16" s="129" t="s">
        <v>665</v>
      </c>
      <c r="C16" s="129"/>
      <c r="D16" s="129"/>
      <c r="E16" s="129"/>
      <c r="F16" s="129"/>
      <c r="G16" s="129"/>
      <c r="H16" s="129"/>
      <c r="I16" s="129"/>
      <c r="J16" s="129"/>
      <c r="K16" s="129"/>
      <c r="L16" s="129"/>
      <c r="M16" s="129"/>
      <c r="P16" s="77" t="s">
        <v>309</v>
      </c>
      <c r="Q16" s="129" t="s">
        <v>665</v>
      </c>
    </row>
    <row r="17" spans="1:17" x14ac:dyDescent="0.25">
      <c r="A17" s="77" t="s">
        <v>803</v>
      </c>
      <c r="B17" s="129"/>
      <c r="C17" s="129"/>
      <c r="D17" s="129"/>
      <c r="E17" s="129"/>
      <c r="F17" s="129"/>
      <c r="G17" s="129"/>
      <c r="H17" s="129"/>
      <c r="I17" s="129"/>
      <c r="J17" s="129"/>
      <c r="K17" s="129"/>
      <c r="L17" s="129"/>
      <c r="M17" s="129"/>
      <c r="P17" s="77" t="s">
        <v>803</v>
      </c>
      <c r="Q17" s="129" t="s">
        <v>652</v>
      </c>
    </row>
    <row r="18" spans="1:17" x14ac:dyDescent="0.25">
      <c r="A18" s="77" t="s">
        <v>313</v>
      </c>
      <c r="B18" s="187">
        <v>45184</v>
      </c>
      <c r="C18" s="129"/>
      <c r="D18" s="129"/>
      <c r="E18" s="129"/>
      <c r="F18" s="129"/>
      <c r="G18" s="129"/>
      <c r="H18" s="129"/>
      <c r="I18" s="129"/>
      <c r="J18" s="129"/>
      <c r="K18" s="129"/>
      <c r="L18" s="129"/>
      <c r="M18" s="129"/>
      <c r="P18" s="77" t="s">
        <v>313</v>
      </c>
      <c r="Q18" s="184">
        <v>45184</v>
      </c>
    </row>
    <row r="19" spans="1:17" x14ac:dyDescent="0.25">
      <c r="A19" s="77" t="s">
        <v>315</v>
      </c>
      <c r="B19" s="187"/>
      <c r="C19" s="129"/>
      <c r="D19" s="129"/>
      <c r="E19" s="129"/>
      <c r="F19" s="129"/>
      <c r="G19" s="129"/>
      <c r="H19" s="129"/>
      <c r="I19" s="129"/>
      <c r="J19" s="129"/>
      <c r="K19" s="129"/>
      <c r="L19" s="129"/>
      <c r="M19" s="129"/>
      <c r="P19" s="77" t="s">
        <v>315</v>
      </c>
      <c r="Q19" s="185"/>
    </row>
    <row r="20" spans="1:17" x14ac:dyDescent="0.25">
      <c r="A20" s="77" t="s">
        <v>317</v>
      </c>
      <c r="B20" s="129" t="s">
        <v>331</v>
      </c>
      <c r="C20" s="129"/>
      <c r="D20" s="129"/>
      <c r="E20" s="129"/>
      <c r="F20" s="129"/>
      <c r="G20" s="129"/>
      <c r="H20" s="129"/>
      <c r="I20" s="129"/>
      <c r="J20" s="129"/>
      <c r="K20" s="129"/>
      <c r="L20" s="129"/>
      <c r="M20" s="129"/>
      <c r="P20" s="77" t="s">
        <v>317</v>
      </c>
      <c r="Q20" s="185" t="s">
        <v>331</v>
      </c>
    </row>
    <row r="21" spans="1:17" x14ac:dyDescent="0.25">
      <c r="A21" s="77" t="s">
        <v>323</v>
      </c>
      <c r="B21" s="129" t="s">
        <v>332</v>
      </c>
      <c r="C21" s="129"/>
      <c r="D21" s="129"/>
      <c r="E21" s="129"/>
      <c r="F21" s="129"/>
      <c r="G21" s="129"/>
      <c r="H21" s="129"/>
      <c r="I21" s="129"/>
      <c r="J21" s="129"/>
      <c r="K21" s="129"/>
      <c r="L21" s="129"/>
      <c r="M21" s="129"/>
      <c r="P21" s="77" t="s">
        <v>966</v>
      </c>
      <c r="Q21" s="185" t="s">
        <v>332</v>
      </c>
    </row>
    <row r="22" spans="1:17" x14ac:dyDescent="0.25">
      <c r="P22" s="77" t="s">
        <v>323</v>
      </c>
      <c r="Q22" s="129"/>
    </row>
    <row r="23" spans="1:17" x14ac:dyDescent="0.25">
      <c r="B23" s="102" t="str">
        <f>HYPERLINK("#'Factor List'!A1","Back to Factor List")</f>
        <v>Back to Factor List</v>
      </c>
    </row>
    <row r="24" spans="1:17" x14ac:dyDescent="0.25">
      <c r="B24" s="102" t="s">
        <v>13</v>
      </c>
    </row>
    <row r="25" spans="1:17" x14ac:dyDescent="0.25">
      <c r="B25" s="102"/>
    </row>
    <row r="26" spans="1:17" ht="26.4" x14ac:dyDescent="0.25">
      <c r="A26" s="73" t="s">
        <v>960</v>
      </c>
      <c r="B26" s="73">
        <v>0</v>
      </c>
      <c r="C26" s="73">
        <v>1</v>
      </c>
      <c r="D26" s="73">
        <v>2</v>
      </c>
      <c r="E26" s="73">
        <v>3</v>
      </c>
      <c r="F26" s="73">
        <v>4</v>
      </c>
      <c r="G26" s="73">
        <v>5</v>
      </c>
      <c r="H26" s="73">
        <v>6</v>
      </c>
      <c r="I26" s="73">
        <v>7</v>
      </c>
      <c r="J26" s="73">
        <v>8</v>
      </c>
      <c r="K26" s="73">
        <v>9</v>
      </c>
      <c r="L26" s="73">
        <v>10</v>
      </c>
      <c r="M26" s="73">
        <v>11</v>
      </c>
      <c r="P26" s="73" t="s">
        <v>373</v>
      </c>
      <c r="Q26" s="73" t="s">
        <v>970</v>
      </c>
    </row>
    <row r="27" spans="1:17" x14ac:dyDescent="0.25">
      <c r="A27" s="74">
        <v>20</v>
      </c>
      <c r="B27" s="90">
        <v>3.2000000000000001E-2</v>
      </c>
      <c r="C27" s="90">
        <v>3.1E-2</v>
      </c>
      <c r="D27" s="90">
        <v>3.1E-2</v>
      </c>
      <c r="E27" s="90">
        <v>3.1E-2</v>
      </c>
      <c r="F27" s="90">
        <v>3.1E-2</v>
      </c>
      <c r="G27" s="90">
        <v>3.1E-2</v>
      </c>
      <c r="H27" s="90">
        <v>3.1E-2</v>
      </c>
      <c r="I27" s="90">
        <v>3.1E-2</v>
      </c>
      <c r="J27" s="90">
        <v>3.1E-2</v>
      </c>
      <c r="K27" s="90">
        <v>3.1E-2</v>
      </c>
      <c r="L27" s="90">
        <v>3.1E-2</v>
      </c>
      <c r="M27" s="90">
        <v>3.1E-2</v>
      </c>
      <c r="P27" s="74">
        <v>16</v>
      </c>
      <c r="Q27" s="90">
        <v>2.9000000000000001E-2</v>
      </c>
    </row>
    <row r="28" spans="1:17" x14ac:dyDescent="0.25">
      <c r="A28" s="74">
        <v>21</v>
      </c>
      <c r="B28" s="90">
        <v>3.2000000000000001E-2</v>
      </c>
      <c r="C28" s="90">
        <v>3.2000000000000001E-2</v>
      </c>
      <c r="D28" s="90">
        <v>3.2000000000000001E-2</v>
      </c>
      <c r="E28" s="90">
        <v>3.2000000000000001E-2</v>
      </c>
      <c r="F28" s="90">
        <v>3.2000000000000001E-2</v>
      </c>
      <c r="G28" s="90">
        <v>3.2000000000000001E-2</v>
      </c>
      <c r="H28" s="90">
        <v>3.2000000000000001E-2</v>
      </c>
      <c r="I28" s="90">
        <v>3.2000000000000001E-2</v>
      </c>
      <c r="J28" s="90">
        <v>3.2000000000000001E-2</v>
      </c>
      <c r="K28" s="90">
        <v>3.2000000000000001E-2</v>
      </c>
      <c r="L28" s="90">
        <v>3.1E-2</v>
      </c>
      <c r="M28" s="90">
        <v>3.1E-2</v>
      </c>
      <c r="P28" s="74">
        <v>17</v>
      </c>
      <c r="Q28" s="90">
        <v>2.9000000000000001E-2</v>
      </c>
    </row>
    <row r="29" spans="1:17" x14ac:dyDescent="0.25">
      <c r="A29" s="74">
        <v>22</v>
      </c>
      <c r="B29" s="90">
        <v>3.3000000000000002E-2</v>
      </c>
      <c r="C29" s="90">
        <v>3.3000000000000002E-2</v>
      </c>
      <c r="D29" s="90">
        <v>3.2000000000000001E-2</v>
      </c>
      <c r="E29" s="90">
        <v>3.2000000000000001E-2</v>
      </c>
      <c r="F29" s="90">
        <v>3.2000000000000001E-2</v>
      </c>
      <c r="G29" s="90">
        <v>3.2000000000000001E-2</v>
      </c>
      <c r="H29" s="90">
        <v>3.2000000000000001E-2</v>
      </c>
      <c r="I29" s="90">
        <v>3.2000000000000001E-2</v>
      </c>
      <c r="J29" s="90">
        <v>3.2000000000000001E-2</v>
      </c>
      <c r="K29" s="90">
        <v>3.2000000000000001E-2</v>
      </c>
      <c r="L29" s="90">
        <v>3.2000000000000001E-2</v>
      </c>
      <c r="M29" s="90">
        <v>3.2000000000000001E-2</v>
      </c>
      <c r="P29" s="74">
        <v>18</v>
      </c>
      <c r="Q29" s="90">
        <v>0.03</v>
      </c>
    </row>
    <row r="30" spans="1:17" x14ac:dyDescent="0.25">
      <c r="A30" s="74">
        <v>23</v>
      </c>
      <c r="B30" s="90">
        <v>3.3000000000000002E-2</v>
      </c>
      <c r="C30" s="90">
        <v>3.3000000000000002E-2</v>
      </c>
      <c r="D30" s="90">
        <v>3.3000000000000002E-2</v>
      </c>
      <c r="E30" s="90">
        <v>3.3000000000000002E-2</v>
      </c>
      <c r="F30" s="90">
        <v>3.3000000000000002E-2</v>
      </c>
      <c r="G30" s="90">
        <v>3.3000000000000002E-2</v>
      </c>
      <c r="H30" s="90">
        <v>3.3000000000000002E-2</v>
      </c>
      <c r="I30" s="90">
        <v>3.3000000000000002E-2</v>
      </c>
      <c r="J30" s="90">
        <v>3.3000000000000002E-2</v>
      </c>
      <c r="K30" s="90">
        <v>3.3000000000000002E-2</v>
      </c>
      <c r="L30" s="90">
        <v>3.3000000000000002E-2</v>
      </c>
      <c r="M30" s="90">
        <v>3.2000000000000001E-2</v>
      </c>
      <c r="P30" s="74">
        <v>19</v>
      </c>
      <c r="Q30" s="90">
        <v>0.03</v>
      </c>
    </row>
    <row r="31" spans="1:17" x14ac:dyDescent="0.25">
      <c r="A31" s="74">
        <v>24</v>
      </c>
      <c r="B31" s="90">
        <v>3.4000000000000002E-2</v>
      </c>
      <c r="C31" s="90">
        <v>3.4000000000000002E-2</v>
      </c>
      <c r="D31" s="90">
        <v>3.4000000000000002E-2</v>
      </c>
      <c r="E31" s="90">
        <v>3.3000000000000002E-2</v>
      </c>
      <c r="F31" s="90">
        <v>3.3000000000000002E-2</v>
      </c>
      <c r="G31" s="90">
        <v>3.3000000000000002E-2</v>
      </c>
      <c r="H31" s="90">
        <v>3.3000000000000002E-2</v>
      </c>
      <c r="I31" s="90">
        <v>3.3000000000000002E-2</v>
      </c>
      <c r="J31" s="90">
        <v>3.3000000000000002E-2</v>
      </c>
      <c r="K31" s="90">
        <v>3.3000000000000002E-2</v>
      </c>
      <c r="L31" s="90">
        <v>3.3000000000000002E-2</v>
      </c>
      <c r="M31" s="90">
        <v>3.3000000000000002E-2</v>
      </c>
      <c r="P31" s="74">
        <v>20</v>
      </c>
      <c r="Q31" s="90">
        <v>3.1E-2</v>
      </c>
    </row>
    <row r="32" spans="1:17" x14ac:dyDescent="0.25">
      <c r="A32" s="74">
        <v>25</v>
      </c>
      <c r="B32" s="90">
        <v>3.4000000000000002E-2</v>
      </c>
      <c r="C32" s="90">
        <v>3.4000000000000002E-2</v>
      </c>
      <c r="D32" s="90">
        <v>3.4000000000000002E-2</v>
      </c>
      <c r="E32" s="90">
        <v>3.4000000000000002E-2</v>
      </c>
      <c r="F32" s="90">
        <v>3.4000000000000002E-2</v>
      </c>
      <c r="G32" s="90">
        <v>3.4000000000000002E-2</v>
      </c>
      <c r="H32" s="90">
        <v>3.4000000000000002E-2</v>
      </c>
      <c r="I32" s="90">
        <v>3.4000000000000002E-2</v>
      </c>
      <c r="J32" s="90">
        <v>3.4000000000000002E-2</v>
      </c>
      <c r="K32" s="90">
        <v>3.4000000000000002E-2</v>
      </c>
      <c r="L32" s="90">
        <v>3.4000000000000002E-2</v>
      </c>
      <c r="M32" s="90">
        <v>3.4000000000000002E-2</v>
      </c>
      <c r="P32" s="74">
        <v>21</v>
      </c>
      <c r="Q32" s="90">
        <v>3.1E-2</v>
      </c>
    </row>
    <row r="33" spans="1:17" x14ac:dyDescent="0.25">
      <c r="A33" s="74">
        <v>26</v>
      </c>
      <c r="B33" s="90">
        <v>3.5000000000000003E-2</v>
      </c>
      <c r="C33" s="90">
        <v>3.5000000000000003E-2</v>
      </c>
      <c r="D33" s="90">
        <v>3.5000000000000003E-2</v>
      </c>
      <c r="E33" s="90">
        <v>3.5000000000000003E-2</v>
      </c>
      <c r="F33" s="90">
        <v>3.5000000000000003E-2</v>
      </c>
      <c r="G33" s="90">
        <v>3.4000000000000002E-2</v>
      </c>
      <c r="H33" s="90">
        <v>3.4000000000000002E-2</v>
      </c>
      <c r="I33" s="90">
        <v>3.4000000000000002E-2</v>
      </c>
      <c r="J33" s="90">
        <v>3.4000000000000002E-2</v>
      </c>
      <c r="K33" s="90">
        <v>3.4000000000000002E-2</v>
      </c>
      <c r="L33" s="90">
        <v>3.4000000000000002E-2</v>
      </c>
      <c r="M33" s="90">
        <v>3.4000000000000002E-2</v>
      </c>
      <c r="P33" s="74">
        <v>22</v>
      </c>
      <c r="Q33" s="90">
        <v>3.2000000000000001E-2</v>
      </c>
    </row>
    <row r="34" spans="1:17" x14ac:dyDescent="0.25">
      <c r="A34" s="74">
        <v>27</v>
      </c>
      <c r="B34" s="90">
        <v>3.5000000000000003E-2</v>
      </c>
      <c r="C34" s="90">
        <v>3.5000000000000003E-2</v>
      </c>
      <c r="D34" s="90">
        <v>3.5000000000000003E-2</v>
      </c>
      <c r="E34" s="90">
        <v>3.5000000000000003E-2</v>
      </c>
      <c r="F34" s="90">
        <v>3.5000000000000003E-2</v>
      </c>
      <c r="G34" s="90">
        <v>3.5000000000000003E-2</v>
      </c>
      <c r="H34" s="90">
        <v>3.5000000000000003E-2</v>
      </c>
      <c r="I34" s="90">
        <v>3.5000000000000003E-2</v>
      </c>
      <c r="J34" s="90">
        <v>3.5000000000000003E-2</v>
      </c>
      <c r="K34" s="90">
        <v>3.5000000000000003E-2</v>
      </c>
      <c r="L34" s="90">
        <v>3.5000000000000003E-2</v>
      </c>
      <c r="M34" s="90">
        <v>3.5000000000000003E-2</v>
      </c>
      <c r="P34" s="74">
        <v>23</v>
      </c>
      <c r="Q34" s="90">
        <v>3.2000000000000001E-2</v>
      </c>
    </row>
    <row r="35" spans="1:17" x14ac:dyDescent="0.25">
      <c r="A35" s="74">
        <v>28</v>
      </c>
      <c r="B35" s="90">
        <v>3.5999999999999997E-2</v>
      </c>
      <c r="C35" s="90">
        <v>3.5999999999999997E-2</v>
      </c>
      <c r="D35" s="90">
        <v>3.5999999999999997E-2</v>
      </c>
      <c r="E35" s="90">
        <v>3.5999999999999997E-2</v>
      </c>
      <c r="F35" s="90">
        <v>3.5999999999999997E-2</v>
      </c>
      <c r="G35" s="90">
        <v>3.5999999999999997E-2</v>
      </c>
      <c r="H35" s="90">
        <v>3.5999999999999997E-2</v>
      </c>
      <c r="I35" s="90">
        <v>3.5999999999999997E-2</v>
      </c>
      <c r="J35" s="90">
        <v>3.5000000000000003E-2</v>
      </c>
      <c r="K35" s="90">
        <v>3.5000000000000003E-2</v>
      </c>
      <c r="L35" s="90">
        <v>3.5000000000000003E-2</v>
      </c>
      <c r="M35" s="90">
        <v>3.5000000000000003E-2</v>
      </c>
      <c r="P35" s="74">
        <v>24</v>
      </c>
      <c r="Q35" s="90">
        <v>3.3000000000000002E-2</v>
      </c>
    </row>
    <row r="36" spans="1:17" x14ac:dyDescent="0.25">
      <c r="A36" s="74">
        <v>29</v>
      </c>
      <c r="B36" s="90">
        <v>3.6999999999999998E-2</v>
      </c>
      <c r="C36" s="90">
        <v>3.6999999999999998E-2</v>
      </c>
      <c r="D36" s="90">
        <v>3.5999999999999997E-2</v>
      </c>
      <c r="E36" s="90">
        <v>3.5999999999999997E-2</v>
      </c>
      <c r="F36" s="90">
        <v>3.5999999999999997E-2</v>
      </c>
      <c r="G36" s="90">
        <v>3.5999999999999997E-2</v>
      </c>
      <c r="H36" s="90">
        <v>3.5999999999999997E-2</v>
      </c>
      <c r="I36" s="90">
        <v>3.5999999999999997E-2</v>
      </c>
      <c r="J36" s="90">
        <v>3.5999999999999997E-2</v>
      </c>
      <c r="K36" s="90">
        <v>3.5999999999999997E-2</v>
      </c>
      <c r="L36" s="90">
        <v>3.5999999999999997E-2</v>
      </c>
      <c r="M36" s="90">
        <v>3.5999999999999997E-2</v>
      </c>
      <c r="P36" s="74">
        <v>25</v>
      </c>
      <c r="Q36" s="90">
        <v>3.4000000000000002E-2</v>
      </c>
    </row>
    <row r="37" spans="1:17" x14ac:dyDescent="0.25">
      <c r="A37" s="74">
        <v>30</v>
      </c>
      <c r="B37" s="90">
        <v>3.6999999999999998E-2</v>
      </c>
      <c r="C37" s="90">
        <v>3.6999999999999998E-2</v>
      </c>
      <c r="D37" s="90">
        <v>3.6999999999999998E-2</v>
      </c>
      <c r="E37" s="90">
        <v>3.6999999999999998E-2</v>
      </c>
      <c r="F37" s="90">
        <v>3.6999999999999998E-2</v>
      </c>
      <c r="G37" s="90">
        <v>3.6999999999999998E-2</v>
      </c>
      <c r="H37" s="90">
        <v>3.6999999999999998E-2</v>
      </c>
      <c r="I37" s="90">
        <v>3.6999999999999998E-2</v>
      </c>
      <c r="J37" s="90">
        <v>3.6999999999999998E-2</v>
      </c>
      <c r="K37" s="90">
        <v>3.6999999999999998E-2</v>
      </c>
      <c r="L37" s="90">
        <v>3.6999999999999998E-2</v>
      </c>
      <c r="M37" s="90">
        <v>3.5999999999999997E-2</v>
      </c>
      <c r="P37" s="74">
        <v>26</v>
      </c>
      <c r="Q37" s="90">
        <v>3.4000000000000002E-2</v>
      </c>
    </row>
    <row r="38" spans="1:17" x14ac:dyDescent="0.25">
      <c r="A38" s="74">
        <v>31</v>
      </c>
      <c r="B38" s="90">
        <v>3.7999999999999999E-2</v>
      </c>
      <c r="C38" s="90">
        <v>3.7999999999999999E-2</v>
      </c>
      <c r="D38" s="90">
        <v>3.7999999999999999E-2</v>
      </c>
      <c r="E38" s="90">
        <v>3.7999999999999999E-2</v>
      </c>
      <c r="F38" s="90">
        <v>3.7999999999999999E-2</v>
      </c>
      <c r="G38" s="90">
        <v>3.6999999999999998E-2</v>
      </c>
      <c r="H38" s="90">
        <v>3.6999999999999998E-2</v>
      </c>
      <c r="I38" s="90">
        <v>3.6999999999999998E-2</v>
      </c>
      <c r="J38" s="90">
        <v>3.6999999999999998E-2</v>
      </c>
      <c r="K38" s="90">
        <v>3.6999999999999998E-2</v>
      </c>
      <c r="L38" s="90">
        <v>3.6999999999999998E-2</v>
      </c>
      <c r="M38" s="90">
        <v>3.6999999999999998E-2</v>
      </c>
      <c r="P38" s="74">
        <v>27</v>
      </c>
      <c r="Q38" s="90">
        <v>3.5000000000000003E-2</v>
      </c>
    </row>
    <row r="39" spans="1:17" x14ac:dyDescent="0.25">
      <c r="A39" s="74">
        <v>32</v>
      </c>
      <c r="B39" s="90">
        <v>3.7999999999999999E-2</v>
      </c>
      <c r="C39" s="90">
        <v>3.7999999999999999E-2</v>
      </c>
      <c r="D39" s="90">
        <v>3.7999999999999999E-2</v>
      </c>
      <c r="E39" s="90">
        <v>3.7999999999999999E-2</v>
      </c>
      <c r="F39" s="90">
        <v>3.7999999999999999E-2</v>
      </c>
      <c r="G39" s="90">
        <v>3.7999999999999999E-2</v>
      </c>
      <c r="H39" s="90">
        <v>3.7999999999999999E-2</v>
      </c>
      <c r="I39" s="90">
        <v>3.7999999999999999E-2</v>
      </c>
      <c r="J39" s="90">
        <v>3.7999999999999999E-2</v>
      </c>
      <c r="K39" s="90">
        <v>3.7999999999999999E-2</v>
      </c>
      <c r="L39" s="90">
        <v>3.7999999999999999E-2</v>
      </c>
      <c r="M39" s="90">
        <v>3.7999999999999999E-2</v>
      </c>
      <c r="P39" s="74">
        <v>28</v>
      </c>
      <c r="Q39" s="90">
        <v>3.5000000000000003E-2</v>
      </c>
    </row>
    <row r="40" spans="1:17" x14ac:dyDescent="0.25">
      <c r="A40" s="74">
        <v>33</v>
      </c>
      <c r="B40" s="90">
        <v>3.9E-2</v>
      </c>
      <c r="C40" s="90">
        <v>3.9E-2</v>
      </c>
      <c r="D40" s="90">
        <v>3.9E-2</v>
      </c>
      <c r="E40" s="90">
        <v>3.9E-2</v>
      </c>
      <c r="F40" s="90">
        <v>3.9E-2</v>
      </c>
      <c r="G40" s="90">
        <v>3.9E-2</v>
      </c>
      <c r="H40" s="90">
        <v>3.9E-2</v>
      </c>
      <c r="I40" s="90">
        <v>3.9E-2</v>
      </c>
      <c r="J40" s="90">
        <v>3.9E-2</v>
      </c>
      <c r="K40" s="90">
        <v>3.7999999999999999E-2</v>
      </c>
      <c r="L40" s="90">
        <v>3.7999999999999999E-2</v>
      </c>
      <c r="M40" s="90">
        <v>3.7999999999999999E-2</v>
      </c>
      <c r="P40" s="74">
        <v>29</v>
      </c>
      <c r="Q40" s="90">
        <v>3.5999999999999997E-2</v>
      </c>
    </row>
    <row r="41" spans="1:17" x14ac:dyDescent="0.25">
      <c r="A41" s="74">
        <v>34</v>
      </c>
      <c r="B41" s="90">
        <v>0.04</v>
      </c>
      <c r="C41" s="90">
        <v>0.04</v>
      </c>
      <c r="D41" s="90">
        <v>0.04</v>
      </c>
      <c r="E41" s="90">
        <v>0.04</v>
      </c>
      <c r="F41" s="90">
        <v>3.9E-2</v>
      </c>
      <c r="G41" s="90">
        <v>3.9E-2</v>
      </c>
      <c r="H41" s="90">
        <v>3.9E-2</v>
      </c>
      <c r="I41" s="90">
        <v>3.9E-2</v>
      </c>
      <c r="J41" s="90">
        <v>3.9E-2</v>
      </c>
      <c r="K41" s="90">
        <v>3.9E-2</v>
      </c>
      <c r="L41" s="90">
        <v>3.9E-2</v>
      </c>
      <c r="M41" s="90">
        <v>3.9E-2</v>
      </c>
      <c r="P41" s="74">
        <v>30</v>
      </c>
      <c r="Q41" s="90">
        <v>3.5999999999999997E-2</v>
      </c>
    </row>
    <row r="42" spans="1:17" x14ac:dyDescent="0.25">
      <c r="A42" s="74">
        <v>35</v>
      </c>
      <c r="B42" s="90">
        <v>0.04</v>
      </c>
      <c r="C42" s="90">
        <v>0.04</v>
      </c>
      <c r="D42" s="90">
        <v>0.04</v>
      </c>
      <c r="E42" s="90">
        <v>0.04</v>
      </c>
      <c r="F42" s="90">
        <v>0.04</v>
      </c>
      <c r="G42" s="90">
        <v>0.04</v>
      </c>
      <c r="H42" s="90">
        <v>0.04</v>
      </c>
      <c r="I42" s="90">
        <v>0.04</v>
      </c>
      <c r="J42" s="90">
        <v>0.04</v>
      </c>
      <c r="K42" s="90">
        <v>0.04</v>
      </c>
      <c r="L42" s="90">
        <v>0.04</v>
      </c>
      <c r="M42" s="90">
        <v>0.04</v>
      </c>
      <c r="P42" s="74">
        <v>31</v>
      </c>
      <c r="Q42" s="90">
        <v>3.6999999999999998E-2</v>
      </c>
    </row>
    <row r="43" spans="1:17" x14ac:dyDescent="0.25">
      <c r="A43" s="74">
        <v>36</v>
      </c>
      <c r="B43" s="90">
        <v>4.1000000000000002E-2</v>
      </c>
      <c r="C43" s="90">
        <v>4.1000000000000002E-2</v>
      </c>
      <c r="D43" s="90">
        <v>4.1000000000000002E-2</v>
      </c>
      <c r="E43" s="90">
        <v>4.1000000000000002E-2</v>
      </c>
      <c r="F43" s="90">
        <v>4.1000000000000002E-2</v>
      </c>
      <c r="G43" s="90">
        <v>4.1000000000000002E-2</v>
      </c>
      <c r="H43" s="90">
        <v>4.1000000000000002E-2</v>
      </c>
      <c r="I43" s="90">
        <v>4.1000000000000002E-2</v>
      </c>
      <c r="J43" s="90">
        <v>4.1000000000000002E-2</v>
      </c>
      <c r="K43" s="90">
        <v>0.04</v>
      </c>
      <c r="L43" s="90">
        <v>0.04</v>
      </c>
      <c r="M43" s="90">
        <v>0.04</v>
      </c>
      <c r="P43" s="74">
        <v>32</v>
      </c>
      <c r="Q43" s="90">
        <v>3.7999999999999999E-2</v>
      </c>
    </row>
    <row r="44" spans="1:17" x14ac:dyDescent="0.25">
      <c r="A44" s="74">
        <v>37</v>
      </c>
      <c r="B44" s="90">
        <v>4.2000000000000003E-2</v>
      </c>
      <c r="C44" s="90">
        <v>4.2000000000000003E-2</v>
      </c>
      <c r="D44" s="90">
        <v>4.2000000000000003E-2</v>
      </c>
      <c r="E44" s="90">
        <v>4.2000000000000003E-2</v>
      </c>
      <c r="F44" s="90">
        <v>4.2000000000000003E-2</v>
      </c>
      <c r="G44" s="90">
        <v>4.1000000000000002E-2</v>
      </c>
      <c r="H44" s="90">
        <v>4.1000000000000002E-2</v>
      </c>
      <c r="I44" s="90">
        <v>4.1000000000000002E-2</v>
      </c>
      <c r="J44" s="90">
        <v>4.1000000000000002E-2</v>
      </c>
      <c r="K44" s="90">
        <v>4.1000000000000002E-2</v>
      </c>
      <c r="L44" s="90">
        <v>4.1000000000000002E-2</v>
      </c>
      <c r="M44" s="90">
        <v>4.1000000000000002E-2</v>
      </c>
      <c r="P44" s="74">
        <v>33</v>
      </c>
      <c r="Q44" s="90">
        <v>3.7999999999999999E-2</v>
      </c>
    </row>
    <row r="45" spans="1:17" x14ac:dyDescent="0.25">
      <c r="A45" s="74">
        <v>38</v>
      </c>
      <c r="B45" s="90">
        <v>4.2999999999999997E-2</v>
      </c>
      <c r="C45" s="90">
        <v>4.2000000000000003E-2</v>
      </c>
      <c r="D45" s="90">
        <v>4.2000000000000003E-2</v>
      </c>
      <c r="E45" s="90">
        <v>4.2000000000000003E-2</v>
      </c>
      <c r="F45" s="90">
        <v>4.2000000000000003E-2</v>
      </c>
      <c r="G45" s="90">
        <v>4.2000000000000003E-2</v>
      </c>
      <c r="H45" s="90">
        <v>4.2000000000000003E-2</v>
      </c>
      <c r="I45" s="90">
        <v>4.2000000000000003E-2</v>
      </c>
      <c r="J45" s="90">
        <v>4.2000000000000003E-2</v>
      </c>
      <c r="K45" s="90">
        <v>4.2000000000000003E-2</v>
      </c>
      <c r="L45" s="90">
        <v>4.2000000000000003E-2</v>
      </c>
      <c r="M45" s="90">
        <v>4.2000000000000003E-2</v>
      </c>
      <c r="P45" s="74">
        <v>34</v>
      </c>
      <c r="Q45" s="90">
        <v>3.9E-2</v>
      </c>
    </row>
    <row r="46" spans="1:17" x14ac:dyDescent="0.25">
      <c r="A46" s="74">
        <v>39</v>
      </c>
      <c r="B46" s="90">
        <v>4.2999999999999997E-2</v>
      </c>
      <c r="C46" s="90">
        <v>4.2999999999999997E-2</v>
      </c>
      <c r="D46" s="90">
        <v>4.2999999999999997E-2</v>
      </c>
      <c r="E46" s="90">
        <v>4.2999999999999997E-2</v>
      </c>
      <c r="F46" s="90">
        <v>4.2999999999999997E-2</v>
      </c>
      <c r="G46" s="90">
        <v>4.2999999999999997E-2</v>
      </c>
      <c r="H46" s="90">
        <v>4.2999999999999997E-2</v>
      </c>
      <c r="I46" s="90">
        <v>4.2999999999999997E-2</v>
      </c>
      <c r="J46" s="90">
        <v>4.2999999999999997E-2</v>
      </c>
      <c r="K46" s="90">
        <v>4.2999999999999997E-2</v>
      </c>
      <c r="L46" s="90">
        <v>4.2000000000000003E-2</v>
      </c>
      <c r="M46" s="90">
        <v>4.2000000000000003E-2</v>
      </c>
      <c r="P46" s="74">
        <v>35</v>
      </c>
      <c r="Q46" s="90">
        <v>0.04</v>
      </c>
    </row>
    <row r="47" spans="1:17" x14ac:dyDescent="0.25">
      <c r="A47" s="74">
        <v>40</v>
      </c>
      <c r="B47" s="90">
        <v>4.3999999999999997E-2</v>
      </c>
      <c r="C47" s="90">
        <v>4.3999999999999997E-2</v>
      </c>
      <c r="D47" s="90">
        <v>4.3999999999999997E-2</v>
      </c>
      <c r="E47" s="90">
        <v>4.3999999999999997E-2</v>
      </c>
      <c r="F47" s="90">
        <v>4.3999999999999997E-2</v>
      </c>
      <c r="G47" s="90">
        <v>4.3999999999999997E-2</v>
      </c>
      <c r="H47" s="90">
        <v>4.3999999999999997E-2</v>
      </c>
      <c r="I47" s="90">
        <v>4.2999999999999997E-2</v>
      </c>
      <c r="J47" s="90">
        <v>4.2999999999999997E-2</v>
      </c>
      <c r="K47" s="90">
        <v>4.2999999999999997E-2</v>
      </c>
      <c r="L47" s="90">
        <v>4.2999999999999997E-2</v>
      </c>
      <c r="M47" s="90">
        <v>4.2999999999999997E-2</v>
      </c>
      <c r="P47" s="74">
        <v>36</v>
      </c>
      <c r="Q47" s="90">
        <v>0.04</v>
      </c>
    </row>
    <row r="48" spans="1:17" x14ac:dyDescent="0.25">
      <c r="A48" s="74">
        <v>41</v>
      </c>
      <c r="B48" s="90">
        <v>4.4999999999999998E-2</v>
      </c>
      <c r="C48" s="90">
        <v>4.4999999999999998E-2</v>
      </c>
      <c r="D48" s="90">
        <v>4.4999999999999998E-2</v>
      </c>
      <c r="E48" s="90">
        <v>4.4999999999999998E-2</v>
      </c>
      <c r="F48" s="90">
        <v>4.3999999999999997E-2</v>
      </c>
      <c r="G48" s="90">
        <v>4.3999999999999997E-2</v>
      </c>
      <c r="H48" s="90">
        <v>4.3999999999999997E-2</v>
      </c>
      <c r="I48" s="90">
        <v>4.3999999999999997E-2</v>
      </c>
      <c r="J48" s="90">
        <v>4.3999999999999997E-2</v>
      </c>
      <c r="K48" s="90">
        <v>4.3999999999999997E-2</v>
      </c>
      <c r="L48" s="90">
        <v>4.3999999999999997E-2</v>
      </c>
      <c r="M48" s="90">
        <v>4.3999999999999997E-2</v>
      </c>
      <c r="P48" s="74">
        <v>37</v>
      </c>
      <c r="Q48" s="90">
        <v>4.1000000000000002E-2</v>
      </c>
    </row>
    <row r="49" spans="1:17" x14ac:dyDescent="0.25">
      <c r="A49" s="74">
        <v>42</v>
      </c>
      <c r="B49" s="90">
        <v>4.5999999999999999E-2</v>
      </c>
      <c r="C49" s="90">
        <v>4.4999999999999998E-2</v>
      </c>
      <c r="D49" s="90">
        <v>4.4999999999999998E-2</v>
      </c>
      <c r="E49" s="90">
        <v>4.4999999999999998E-2</v>
      </c>
      <c r="F49" s="90">
        <v>4.4999999999999998E-2</v>
      </c>
      <c r="G49" s="90">
        <v>4.4999999999999998E-2</v>
      </c>
      <c r="H49" s="90">
        <v>4.4999999999999998E-2</v>
      </c>
      <c r="I49" s="90">
        <v>4.4999999999999998E-2</v>
      </c>
      <c r="J49" s="90">
        <v>4.4999999999999998E-2</v>
      </c>
      <c r="K49" s="90">
        <v>4.4999999999999998E-2</v>
      </c>
      <c r="L49" s="90">
        <v>4.4999999999999998E-2</v>
      </c>
      <c r="M49" s="90">
        <v>4.4999999999999998E-2</v>
      </c>
      <c r="P49" s="74">
        <v>38</v>
      </c>
      <c r="Q49" s="90">
        <v>4.2000000000000003E-2</v>
      </c>
    </row>
    <row r="50" spans="1:17" x14ac:dyDescent="0.25">
      <c r="A50" s="74">
        <v>43</v>
      </c>
      <c r="B50" s="90">
        <v>4.5999999999999999E-2</v>
      </c>
      <c r="C50" s="90">
        <v>4.5999999999999999E-2</v>
      </c>
      <c r="D50" s="90">
        <v>4.5999999999999999E-2</v>
      </c>
      <c r="E50" s="90">
        <v>4.5999999999999999E-2</v>
      </c>
      <c r="F50" s="90">
        <v>4.5999999999999999E-2</v>
      </c>
      <c r="G50" s="90">
        <v>4.5999999999999999E-2</v>
      </c>
      <c r="H50" s="90">
        <v>4.5999999999999999E-2</v>
      </c>
      <c r="I50" s="90">
        <v>4.5999999999999999E-2</v>
      </c>
      <c r="J50" s="90">
        <v>4.5999999999999999E-2</v>
      </c>
      <c r="K50" s="90">
        <v>4.5999999999999999E-2</v>
      </c>
      <c r="L50" s="90">
        <v>4.4999999999999998E-2</v>
      </c>
      <c r="M50" s="90">
        <v>4.4999999999999998E-2</v>
      </c>
      <c r="P50" s="74">
        <v>39</v>
      </c>
      <c r="Q50" s="90">
        <v>4.2000000000000003E-2</v>
      </c>
    </row>
    <row r="51" spans="1:17" x14ac:dyDescent="0.25">
      <c r="A51" s="74">
        <v>44</v>
      </c>
      <c r="B51" s="90">
        <v>4.7E-2</v>
      </c>
      <c r="C51" s="90">
        <v>4.7E-2</v>
      </c>
      <c r="D51" s="90">
        <v>4.7E-2</v>
      </c>
      <c r="E51" s="90">
        <v>4.7E-2</v>
      </c>
      <c r="F51" s="90">
        <v>4.7E-2</v>
      </c>
      <c r="G51" s="90">
        <v>4.7E-2</v>
      </c>
      <c r="H51" s="90">
        <v>4.7E-2</v>
      </c>
      <c r="I51" s="90">
        <v>4.7E-2</v>
      </c>
      <c r="J51" s="90">
        <v>4.5999999999999999E-2</v>
      </c>
      <c r="K51" s="90">
        <v>4.5999999999999999E-2</v>
      </c>
      <c r="L51" s="90">
        <v>4.5999999999999999E-2</v>
      </c>
      <c r="M51" s="90">
        <v>4.5999999999999999E-2</v>
      </c>
      <c r="P51" s="74">
        <v>40</v>
      </c>
      <c r="Q51" s="90">
        <v>4.2999999999999997E-2</v>
      </c>
    </row>
    <row r="52" spans="1:17" x14ac:dyDescent="0.25">
      <c r="A52" s="74">
        <v>45</v>
      </c>
      <c r="B52" s="90">
        <v>4.8000000000000001E-2</v>
      </c>
      <c r="C52" s="90">
        <v>4.8000000000000001E-2</v>
      </c>
      <c r="D52" s="90">
        <v>4.8000000000000001E-2</v>
      </c>
      <c r="E52" s="90">
        <v>4.8000000000000001E-2</v>
      </c>
      <c r="F52" s="90">
        <v>4.8000000000000001E-2</v>
      </c>
      <c r="G52" s="90">
        <v>4.8000000000000001E-2</v>
      </c>
      <c r="H52" s="90">
        <v>4.7E-2</v>
      </c>
      <c r="I52" s="90">
        <v>4.7E-2</v>
      </c>
      <c r="J52" s="90">
        <v>4.7E-2</v>
      </c>
      <c r="K52" s="90">
        <v>4.7E-2</v>
      </c>
      <c r="L52" s="90">
        <v>4.7E-2</v>
      </c>
      <c r="M52" s="90">
        <v>4.7E-2</v>
      </c>
      <c r="P52" s="74">
        <v>41</v>
      </c>
      <c r="Q52" s="90">
        <v>4.3999999999999997E-2</v>
      </c>
    </row>
    <row r="53" spans="1:17" x14ac:dyDescent="0.25">
      <c r="A53" s="74">
        <v>46</v>
      </c>
      <c r="B53" s="90">
        <v>4.9000000000000002E-2</v>
      </c>
      <c r="C53" s="90">
        <v>4.9000000000000002E-2</v>
      </c>
      <c r="D53" s="90">
        <v>4.9000000000000002E-2</v>
      </c>
      <c r="E53" s="90">
        <v>4.9000000000000002E-2</v>
      </c>
      <c r="F53" s="90">
        <v>4.8000000000000001E-2</v>
      </c>
      <c r="G53" s="90">
        <v>4.8000000000000001E-2</v>
      </c>
      <c r="H53" s="90">
        <v>4.8000000000000001E-2</v>
      </c>
      <c r="I53" s="90">
        <v>4.8000000000000001E-2</v>
      </c>
      <c r="J53" s="90">
        <v>4.8000000000000001E-2</v>
      </c>
      <c r="K53" s="90">
        <v>4.8000000000000001E-2</v>
      </c>
      <c r="L53" s="90">
        <v>4.8000000000000001E-2</v>
      </c>
      <c r="M53" s="90">
        <v>4.8000000000000001E-2</v>
      </c>
      <c r="P53" s="74">
        <v>42</v>
      </c>
      <c r="Q53" s="90">
        <v>4.4999999999999998E-2</v>
      </c>
    </row>
    <row r="54" spans="1:17" x14ac:dyDescent="0.25">
      <c r="A54" s="74">
        <v>47</v>
      </c>
      <c r="B54" s="90">
        <v>0.05</v>
      </c>
      <c r="C54" s="90">
        <v>0.05</v>
      </c>
      <c r="D54" s="90">
        <v>0.05</v>
      </c>
      <c r="E54" s="90">
        <v>4.9000000000000002E-2</v>
      </c>
      <c r="F54" s="90">
        <v>4.9000000000000002E-2</v>
      </c>
      <c r="G54" s="90">
        <v>4.9000000000000002E-2</v>
      </c>
      <c r="H54" s="90">
        <v>4.9000000000000002E-2</v>
      </c>
      <c r="I54" s="90">
        <v>4.9000000000000002E-2</v>
      </c>
      <c r="J54" s="90">
        <v>4.9000000000000002E-2</v>
      </c>
      <c r="K54" s="90">
        <v>4.9000000000000002E-2</v>
      </c>
      <c r="L54" s="90">
        <v>4.9000000000000002E-2</v>
      </c>
      <c r="M54" s="90">
        <v>4.9000000000000002E-2</v>
      </c>
      <c r="P54" s="74">
        <v>43</v>
      </c>
      <c r="Q54" s="90">
        <v>4.4999999999999998E-2</v>
      </c>
    </row>
    <row r="55" spans="1:17" x14ac:dyDescent="0.25">
      <c r="A55" s="74">
        <v>48</v>
      </c>
      <c r="B55" s="90">
        <v>5.0999999999999997E-2</v>
      </c>
      <c r="C55" s="90">
        <v>0.05</v>
      </c>
      <c r="D55" s="90">
        <v>0.05</v>
      </c>
      <c r="E55" s="90">
        <v>0.05</v>
      </c>
      <c r="F55" s="90">
        <v>0.05</v>
      </c>
      <c r="G55" s="90">
        <v>0.05</v>
      </c>
      <c r="H55" s="90">
        <v>0.05</v>
      </c>
      <c r="I55" s="90">
        <v>0.05</v>
      </c>
      <c r="J55" s="90">
        <v>0.05</v>
      </c>
      <c r="K55" s="90">
        <v>0.05</v>
      </c>
      <c r="L55" s="90">
        <v>0.05</v>
      </c>
      <c r="M55" s="90">
        <v>0.05</v>
      </c>
      <c r="P55" s="74">
        <v>44</v>
      </c>
      <c r="Q55" s="90">
        <v>4.5999999999999999E-2</v>
      </c>
    </row>
    <row r="56" spans="1:17" x14ac:dyDescent="0.25">
      <c r="A56" s="74">
        <v>49</v>
      </c>
      <c r="B56" s="90">
        <v>5.0999999999999997E-2</v>
      </c>
      <c r="C56" s="90">
        <v>5.0999999999999997E-2</v>
      </c>
      <c r="D56" s="90">
        <v>5.0999999999999997E-2</v>
      </c>
      <c r="E56" s="90">
        <v>5.0999999999999997E-2</v>
      </c>
      <c r="F56" s="90">
        <v>5.0999999999999997E-2</v>
      </c>
      <c r="G56" s="90">
        <v>5.0999999999999997E-2</v>
      </c>
      <c r="H56" s="90">
        <v>5.0999999999999997E-2</v>
      </c>
      <c r="I56" s="90">
        <v>5.0999999999999997E-2</v>
      </c>
      <c r="J56" s="90">
        <v>5.0999999999999997E-2</v>
      </c>
      <c r="K56" s="90">
        <v>5.0999999999999997E-2</v>
      </c>
      <c r="L56" s="90">
        <v>5.0999999999999997E-2</v>
      </c>
      <c r="M56" s="90">
        <v>0.05</v>
      </c>
      <c r="P56" s="74">
        <v>45</v>
      </c>
      <c r="Q56" s="90">
        <v>4.7E-2</v>
      </c>
    </row>
    <row r="57" spans="1:17" x14ac:dyDescent="0.25">
      <c r="A57" s="74">
        <v>50</v>
      </c>
      <c r="B57" s="90">
        <v>5.1999999999999998E-2</v>
      </c>
      <c r="C57" s="90">
        <v>5.1999999999999998E-2</v>
      </c>
      <c r="D57" s="90">
        <v>5.1999999999999998E-2</v>
      </c>
      <c r="E57" s="90">
        <v>5.1999999999999998E-2</v>
      </c>
      <c r="F57" s="90">
        <v>5.1999999999999998E-2</v>
      </c>
      <c r="G57" s="90">
        <v>5.1999999999999998E-2</v>
      </c>
      <c r="H57" s="90">
        <v>5.1999999999999998E-2</v>
      </c>
      <c r="I57" s="90">
        <v>5.1999999999999998E-2</v>
      </c>
      <c r="J57" s="90">
        <v>5.1999999999999998E-2</v>
      </c>
      <c r="K57" s="90">
        <v>5.1999999999999998E-2</v>
      </c>
      <c r="L57" s="90">
        <v>5.0999999999999997E-2</v>
      </c>
      <c r="M57" s="90">
        <v>5.0999999999999997E-2</v>
      </c>
      <c r="P57" s="74">
        <v>46</v>
      </c>
      <c r="Q57" s="90">
        <v>4.8000000000000001E-2</v>
      </c>
    </row>
    <row r="58" spans="1:17" x14ac:dyDescent="0.25">
      <c r="A58" s="74">
        <v>51</v>
      </c>
      <c r="B58" s="90">
        <v>5.2999999999999999E-2</v>
      </c>
      <c r="C58" s="90">
        <v>5.2999999999999999E-2</v>
      </c>
      <c r="D58" s="90">
        <v>5.2999999999999999E-2</v>
      </c>
      <c r="E58" s="90">
        <v>5.2999999999999999E-2</v>
      </c>
      <c r="F58" s="90">
        <v>5.2999999999999999E-2</v>
      </c>
      <c r="G58" s="90">
        <v>5.2999999999999999E-2</v>
      </c>
      <c r="H58" s="90">
        <v>5.2999999999999999E-2</v>
      </c>
      <c r="I58" s="90">
        <v>5.2999999999999999E-2</v>
      </c>
      <c r="J58" s="90">
        <v>5.2999999999999999E-2</v>
      </c>
      <c r="K58" s="90">
        <v>5.1999999999999998E-2</v>
      </c>
      <c r="L58" s="90">
        <v>5.1999999999999998E-2</v>
      </c>
      <c r="M58" s="90">
        <v>5.1999999999999998E-2</v>
      </c>
      <c r="P58" s="74">
        <v>47</v>
      </c>
      <c r="Q58" s="90">
        <v>4.9000000000000002E-2</v>
      </c>
    </row>
    <row r="59" spans="1:17" x14ac:dyDescent="0.25">
      <c r="A59" s="74">
        <v>52</v>
      </c>
      <c r="B59" s="90">
        <v>5.3999999999999999E-2</v>
      </c>
      <c r="C59" s="90">
        <v>5.3999999999999999E-2</v>
      </c>
      <c r="D59" s="90">
        <v>5.3999999999999999E-2</v>
      </c>
      <c r="E59" s="90">
        <v>5.3999999999999999E-2</v>
      </c>
      <c r="F59" s="90">
        <v>5.3999999999999999E-2</v>
      </c>
      <c r="G59" s="90">
        <v>5.3999999999999999E-2</v>
      </c>
      <c r="H59" s="90">
        <v>5.3999999999999999E-2</v>
      </c>
      <c r="I59" s="90">
        <v>5.3999999999999999E-2</v>
      </c>
      <c r="J59" s="90">
        <v>5.3999999999999999E-2</v>
      </c>
      <c r="K59" s="90">
        <v>5.2999999999999999E-2</v>
      </c>
      <c r="L59" s="90">
        <v>5.2999999999999999E-2</v>
      </c>
      <c r="M59" s="90">
        <v>5.2999999999999999E-2</v>
      </c>
      <c r="P59" s="74">
        <v>48</v>
      </c>
      <c r="Q59" s="90">
        <v>4.9000000000000002E-2</v>
      </c>
    </row>
    <row r="60" spans="1:17" x14ac:dyDescent="0.25">
      <c r="A60" s="74">
        <v>53</v>
      </c>
      <c r="B60" s="90">
        <v>5.5E-2</v>
      </c>
      <c r="C60" s="90">
        <v>5.5E-2</v>
      </c>
      <c r="D60" s="90">
        <v>5.5E-2</v>
      </c>
      <c r="E60" s="90">
        <v>5.5E-2</v>
      </c>
      <c r="F60" s="90">
        <v>5.5E-2</v>
      </c>
      <c r="G60" s="90">
        <v>5.5E-2</v>
      </c>
      <c r="H60" s="90">
        <v>5.5E-2</v>
      </c>
      <c r="I60" s="90">
        <v>5.5E-2</v>
      </c>
      <c r="J60" s="90">
        <v>5.5E-2</v>
      </c>
      <c r="K60" s="90">
        <v>5.3999999999999999E-2</v>
      </c>
      <c r="L60" s="90">
        <v>5.3999999999999999E-2</v>
      </c>
      <c r="M60" s="90">
        <v>5.3999999999999999E-2</v>
      </c>
      <c r="P60" s="74">
        <v>49</v>
      </c>
      <c r="Q60" s="90">
        <v>0.05</v>
      </c>
    </row>
    <row r="61" spans="1:17" x14ac:dyDescent="0.25">
      <c r="A61" s="74">
        <v>54</v>
      </c>
      <c r="B61" s="90">
        <v>5.6000000000000001E-2</v>
      </c>
      <c r="C61" s="90">
        <v>5.6000000000000001E-2</v>
      </c>
      <c r="D61" s="90">
        <v>5.6000000000000001E-2</v>
      </c>
      <c r="E61" s="90">
        <v>5.6000000000000001E-2</v>
      </c>
      <c r="F61" s="90">
        <v>5.6000000000000001E-2</v>
      </c>
      <c r="G61" s="90">
        <v>5.6000000000000001E-2</v>
      </c>
      <c r="H61" s="90">
        <v>5.6000000000000001E-2</v>
      </c>
      <c r="I61" s="90">
        <v>5.6000000000000001E-2</v>
      </c>
      <c r="J61" s="90">
        <v>5.6000000000000001E-2</v>
      </c>
      <c r="K61" s="90">
        <v>5.5E-2</v>
      </c>
      <c r="L61" s="90">
        <v>5.5E-2</v>
      </c>
      <c r="M61" s="90">
        <v>5.5E-2</v>
      </c>
      <c r="P61" s="74">
        <v>50</v>
      </c>
      <c r="Q61" s="90">
        <v>5.0999999999999997E-2</v>
      </c>
    </row>
    <row r="62" spans="1:17" x14ac:dyDescent="0.25">
      <c r="A62" s="74">
        <v>55</v>
      </c>
      <c r="B62" s="90">
        <v>5.7000000000000002E-2</v>
      </c>
      <c r="C62" s="90">
        <v>5.7000000000000002E-2</v>
      </c>
      <c r="D62" s="90">
        <v>5.7000000000000002E-2</v>
      </c>
      <c r="E62" s="90">
        <v>5.7000000000000002E-2</v>
      </c>
      <c r="F62" s="90">
        <v>5.7000000000000002E-2</v>
      </c>
      <c r="G62" s="90">
        <v>5.7000000000000002E-2</v>
      </c>
      <c r="H62" s="90">
        <v>5.7000000000000002E-2</v>
      </c>
      <c r="I62" s="90">
        <v>5.7000000000000002E-2</v>
      </c>
      <c r="J62" s="90">
        <v>5.7000000000000002E-2</v>
      </c>
      <c r="K62" s="90">
        <v>5.6000000000000001E-2</v>
      </c>
      <c r="L62" s="90">
        <v>5.6000000000000001E-2</v>
      </c>
      <c r="M62" s="90">
        <v>5.6000000000000001E-2</v>
      </c>
      <c r="P62" s="74">
        <v>51</v>
      </c>
      <c r="Q62" s="90">
        <v>5.1999999999999998E-2</v>
      </c>
    </row>
    <row r="63" spans="1:17" x14ac:dyDescent="0.25">
      <c r="A63" s="74">
        <v>56</v>
      </c>
      <c r="B63" s="90">
        <v>5.8999999999999997E-2</v>
      </c>
      <c r="C63" s="90">
        <v>5.8000000000000003E-2</v>
      </c>
      <c r="D63" s="90">
        <v>5.8000000000000003E-2</v>
      </c>
      <c r="E63" s="90">
        <v>5.8000000000000003E-2</v>
      </c>
      <c r="F63" s="90">
        <v>5.8000000000000003E-2</v>
      </c>
      <c r="G63" s="90">
        <v>5.8000000000000003E-2</v>
      </c>
      <c r="H63" s="90">
        <v>5.8000000000000003E-2</v>
      </c>
      <c r="I63" s="90">
        <v>5.8000000000000003E-2</v>
      </c>
      <c r="J63" s="90">
        <v>5.8000000000000003E-2</v>
      </c>
      <c r="K63" s="90">
        <v>5.8000000000000003E-2</v>
      </c>
      <c r="L63" s="90">
        <v>5.7000000000000002E-2</v>
      </c>
      <c r="M63" s="90">
        <v>5.7000000000000002E-2</v>
      </c>
      <c r="P63" s="74">
        <v>52</v>
      </c>
      <c r="Q63" s="90">
        <v>5.2999999999999999E-2</v>
      </c>
    </row>
    <row r="64" spans="1:17" x14ac:dyDescent="0.25">
      <c r="A64" s="74">
        <v>57</v>
      </c>
      <c r="B64" s="90">
        <v>0.06</v>
      </c>
      <c r="C64" s="90">
        <v>0.06</v>
      </c>
      <c r="D64" s="90">
        <v>5.8999999999999997E-2</v>
      </c>
      <c r="E64" s="90">
        <v>5.8999999999999997E-2</v>
      </c>
      <c r="F64" s="90">
        <v>5.8999999999999997E-2</v>
      </c>
      <c r="G64" s="90">
        <v>5.8999999999999997E-2</v>
      </c>
      <c r="H64" s="90">
        <v>5.8999999999999997E-2</v>
      </c>
      <c r="I64" s="90">
        <v>5.8999999999999997E-2</v>
      </c>
      <c r="J64" s="90">
        <v>5.8999999999999997E-2</v>
      </c>
      <c r="K64" s="90">
        <v>5.8999999999999997E-2</v>
      </c>
      <c r="L64" s="90">
        <v>5.8999999999999997E-2</v>
      </c>
      <c r="M64" s="90">
        <v>5.8000000000000003E-2</v>
      </c>
      <c r="P64" s="74">
        <v>53</v>
      </c>
      <c r="Q64" s="90">
        <v>5.3999999999999999E-2</v>
      </c>
    </row>
    <row r="65" spans="1:17" x14ac:dyDescent="0.25">
      <c r="A65" s="74">
        <v>58</v>
      </c>
      <c r="B65" s="90">
        <v>6.0999999999999999E-2</v>
      </c>
      <c r="C65" s="90">
        <v>6.0999999999999999E-2</v>
      </c>
      <c r="D65" s="90">
        <v>6.0999999999999999E-2</v>
      </c>
      <c r="E65" s="90">
        <v>6.0999999999999999E-2</v>
      </c>
      <c r="F65" s="90">
        <v>0.06</v>
      </c>
      <c r="G65" s="90">
        <v>0.06</v>
      </c>
      <c r="H65" s="90">
        <v>0.06</v>
      </c>
      <c r="I65" s="90">
        <v>0.06</v>
      </c>
      <c r="J65" s="90">
        <v>0.06</v>
      </c>
      <c r="K65" s="90">
        <v>0.06</v>
      </c>
      <c r="L65" s="90">
        <v>0.06</v>
      </c>
      <c r="M65" s="90">
        <v>0.06</v>
      </c>
      <c r="P65" s="74">
        <v>54</v>
      </c>
      <c r="Q65" s="90">
        <v>5.5E-2</v>
      </c>
    </row>
    <row r="66" spans="1:17" x14ac:dyDescent="0.25">
      <c r="A66" s="74">
        <v>59</v>
      </c>
      <c r="B66" s="90">
        <v>6.2E-2</v>
      </c>
      <c r="C66" s="90">
        <v>6.2E-2</v>
      </c>
      <c r="D66" s="90">
        <v>6.2E-2</v>
      </c>
      <c r="E66" s="90">
        <v>6.2E-2</v>
      </c>
      <c r="F66" s="90">
        <v>6.2E-2</v>
      </c>
      <c r="G66" s="90">
        <v>6.0999999999999999E-2</v>
      </c>
      <c r="H66" s="90">
        <v>6.0999999999999999E-2</v>
      </c>
      <c r="I66" s="90">
        <v>6.0999999999999999E-2</v>
      </c>
      <c r="J66" s="90">
        <v>6.0999999999999999E-2</v>
      </c>
      <c r="K66" s="90">
        <v>6.0999999999999999E-2</v>
      </c>
      <c r="L66" s="90">
        <v>6.0999999999999999E-2</v>
      </c>
      <c r="M66" s="90">
        <v>6.0999999999999999E-2</v>
      </c>
      <c r="P66" s="74">
        <v>55</v>
      </c>
      <c r="Q66" s="90">
        <v>5.6000000000000001E-2</v>
      </c>
    </row>
    <row r="67" spans="1:17" x14ac:dyDescent="0.25">
      <c r="A67" s="74">
        <v>60</v>
      </c>
      <c r="B67" s="90">
        <v>6.3E-2</v>
      </c>
      <c r="C67" s="90">
        <v>6.3E-2</v>
      </c>
      <c r="D67" s="90">
        <v>6.3E-2</v>
      </c>
      <c r="E67" s="90">
        <v>6.3E-2</v>
      </c>
      <c r="F67" s="90">
        <v>6.3E-2</v>
      </c>
      <c r="G67" s="90">
        <v>6.3E-2</v>
      </c>
      <c r="H67" s="90">
        <v>6.3E-2</v>
      </c>
      <c r="I67" s="90">
        <v>6.2E-2</v>
      </c>
      <c r="J67" s="90">
        <v>6.2E-2</v>
      </c>
      <c r="K67" s="90">
        <v>6.2E-2</v>
      </c>
      <c r="L67" s="90">
        <v>6.2E-2</v>
      </c>
      <c r="M67" s="90">
        <v>6.2E-2</v>
      </c>
      <c r="P67" s="74">
        <v>56</v>
      </c>
      <c r="Q67" s="90">
        <v>5.7000000000000002E-2</v>
      </c>
    </row>
    <row r="68" spans="1:17" x14ac:dyDescent="0.25">
      <c r="A68" s="74">
        <v>61</v>
      </c>
      <c r="B68" s="90">
        <v>6.5000000000000002E-2</v>
      </c>
      <c r="C68" s="90">
        <v>6.5000000000000002E-2</v>
      </c>
      <c r="D68" s="90">
        <v>6.4000000000000001E-2</v>
      </c>
      <c r="E68" s="90">
        <v>6.4000000000000001E-2</v>
      </c>
      <c r="F68" s="90">
        <v>6.4000000000000001E-2</v>
      </c>
      <c r="G68" s="90">
        <v>6.4000000000000001E-2</v>
      </c>
      <c r="H68" s="90">
        <v>6.4000000000000001E-2</v>
      </c>
      <c r="I68" s="90">
        <v>6.4000000000000001E-2</v>
      </c>
      <c r="J68" s="90">
        <v>6.4000000000000001E-2</v>
      </c>
      <c r="K68" s="90">
        <v>6.4000000000000001E-2</v>
      </c>
      <c r="L68" s="90">
        <v>6.3E-2</v>
      </c>
      <c r="M68" s="90">
        <v>6.3E-2</v>
      </c>
      <c r="P68" s="74">
        <v>57</v>
      </c>
      <c r="Q68" s="90">
        <v>5.8000000000000003E-2</v>
      </c>
    </row>
    <row r="69" spans="1:17" x14ac:dyDescent="0.25">
      <c r="A69" s="74">
        <v>62</v>
      </c>
      <c r="B69" s="90">
        <v>6.6000000000000003E-2</v>
      </c>
      <c r="C69" s="90">
        <v>6.6000000000000003E-2</v>
      </c>
      <c r="D69" s="90">
        <v>6.6000000000000003E-2</v>
      </c>
      <c r="E69" s="90">
        <v>6.6000000000000003E-2</v>
      </c>
      <c r="F69" s="90">
        <v>6.6000000000000003E-2</v>
      </c>
      <c r="G69" s="90">
        <v>6.5000000000000002E-2</v>
      </c>
      <c r="H69" s="90">
        <v>6.5000000000000002E-2</v>
      </c>
      <c r="I69" s="90">
        <v>6.5000000000000002E-2</v>
      </c>
      <c r="J69" s="90">
        <v>6.5000000000000002E-2</v>
      </c>
      <c r="K69" s="90">
        <v>6.5000000000000002E-2</v>
      </c>
      <c r="L69" s="90">
        <v>6.5000000000000002E-2</v>
      </c>
      <c r="M69" s="90">
        <v>6.5000000000000002E-2</v>
      </c>
      <c r="P69" s="74">
        <v>58</v>
      </c>
      <c r="Q69" s="90">
        <v>5.8999999999999997E-2</v>
      </c>
    </row>
    <row r="70" spans="1:17" x14ac:dyDescent="0.25">
      <c r="A70" s="74">
        <v>63</v>
      </c>
      <c r="B70" s="90">
        <v>6.7000000000000004E-2</v>
      </c>
      <c r="C70" s="90">
        <v>6.7000000000000004E-2</v>
      </c>
      <c r="D70" s="90">
        <v>6.7000000000000004E-2</v>
      </c>
      <c r="E70" s="90">
        <v>6.7000000000000004E-2</v>
      </c>
      <c r="F70" s="90">
        <v>6.7000000000000004E-2</v>
      </c>
      <c r="G70" s="90">
        <v>6.7000000000000004E-2</v>
      </c>
      <c r="H70" s="90">
        <v>6.7000000000000004E-2</v>
      </c>
      <c r="I70" s="90">
        <v>6.7000000000000004E-2</v>
      </c>
      <c r="J70" s="90">
        <v>6.6000000000000003E-2</v>
      </c>
      <c r="K70" s="90">
        <v>6.6000000000000003E-2</v>
      </c>
      <c r="L70" s="90">
        <v>6.6000000000000003E-2</v>
      </c>
      <c r="M70" s="90">
        <v>6.6000000000000003E-2</v>
      </c>
      <c r="P70" s="74">
        <v>59</v>
      </c>
      <c r="Q70" s="90">
        <v>6.0999999999999999E-2</v>
      </c>
    </row>
    <row r="71" spans="1:17" x14ac:dyDescent="0.25">
      <c r="A71" s="74">
        <v>64</v>
      </c>
      <c r="B71" s="90">
        <v>6.8000000000000005E-2</v>
      </c>
      <c r="C71" s="90">
        <v>6.8000000000000005E-2</v>
      </c>
      <c r="D71" s="90">
        <v>6.8000000000000005E-2</v>
      </c>
      <c r="E71" s="90">
        <v>6.8000000000000005E-2</v>
      </c>
      <c r="F71" s="90">
        <v>6.8000000000000005E-2</v>
      </c>
      <c r="G71" s="90">
        <v>6.8000000000000005E-2</v>
      </c>
      <c r="H71" s="90">
        <v>6.8000000000000005E-2</v>
      </c>
      <c r="I71" s="90">
        <v>6.8000000000000005E-2</v>
      </c>
      <c r="J71" s="90">
        <v>6.8000000000000005E-2</v>
      </c>
      <c r="K71" s="90">
        <v>6.8000000000000005E-2</v>
      </c>
      <c r="L71" s="90">
        <v>6.7000000000000004E-2</v>
      </c>
      <c r="M71" s="90">
        <v>6.7000000000000004E-2</v>
      </c>
      <c r="P71" s="74">
        <v>60</v>
      </c>
      <c r="Q71" s="90">
        <v>6.2E-2</v>
      </c>
    </row>
    <row r="72" spans="1:17" x14ac:dyDescent="0.25">
      <c r="P72" s="74">
        <v>61</v>
      </c>
      <c r="Q72" s="90">
        <v>6.3E-2</v>
      </c>
    </row>
    <row r="73" spans="1:17" x14ac:dyDescent="0.25">
      <c r="P73" s="74">
        <v>62</v>
      </c>
      <c r="Q73" s="90">
        <v>6.4000000000000001E-2</v>
      </c>
    </row>
    <row r="74" spans="1:17" x14ac:dyDescent="0.25">
      <c r="P74" s="74">
        <v>63</v>
      </c>
      <c r="Q74" s="90">
        <v>6.6000000000000003E-2</v>
      </c>
    </row>
    <row r="75" spans="1:17" x14ac:dyDescent="0.25">
      <c r="P75" s="74">
        <v>64</v>
      </c>
      <c r="Q75" s="90">
        <v>6.7000000000000004E-2</v>
      </c>
    </row>
  </sheetData>
  <sheetProtection algorithmName="SHA-512" hashValue="Q00AxmhhlCLIiyEmn9ZyFbEHZY5enLsZn4F4pevYXygoFDK/GDhi624xMFsTOB4hmPkzgEugSoAGBqpBwkUgiA==" saltValue="67jsdzvJ/FCQWnoG1Dr1CQ==" spinCount="100000" sheet="1" objects="1" scenarios="1"/>
  <conditionalFormatting sqref="A6:A21">
    <cfRule type="expression" dxfId="291" priority="3" stopIfTrue="1">
      <formula>MOD(ROW(),2)=0</formula>
    </cfRule>
    <cfRule type="expression" dxfId="290" priority="4" stopIfTrue="1">
      <formula>MOD(ROW(),2)&lt;&gt;0</formula>
    </cfRule>
  </conditionalFormatting>
  <conditionalFormatting sqref="A26:A71">
    <cfRule type="expression" dxfId="289" priority="44" stopIfTrue="1">
      <formula>MOD(ROW(),2)&lt;&gt;0</formula>
    </cfRule>
    <cfRule type="expression" dxfId="288" priority="43" stopIfTrue="1">
      <formula>MOD(ROW(),2)=0</formula>
    </cfRule>
  </conditionalFormatting>
  <conditionalFormatting sqref="B12">
    <cfRule type="expression" dxfId="287" priority="27" stopIfTrue="1">
      <formula>MOD(ROW(),2)=0</formula>
    </cfRule>
    <cfRule type="expression" dxfId="286" priority="28" stopIfTrue="1">
      <formula>MOD(ROW(),2)&lt;&gt;0</formula>
    </cfRule>
  </conditionalFormatting>
  <conditionalFormatting sqref="B17:B21">
    <cfRule type="expression" dxfId="285" priority="11" stopIfTrue="1">
      <formula>MOD(ROW(),2)=0</formula>
    </cfRule>
    <cfRule type="expression" dxfId="284" priority="12" stopIfTrue="1">
      <formula>MOD(ROW(),2)&lt;&gt;0</formula>
    </cfRule>
  </conditionalFormatting>
  <conditionalFormatting sqref="B6:M21">
    <cfRule type="expression" dxfId="283" priority="50" stopIfTrue="1">
      <formula>MOD(ROW(),2)&lt;&gt;0</formula>
    </cfRule>
    <cfRule type="expression" dxfId="282" priority="49" stopIfTrue="1">
      <formula>MOD(ROW(),2)=0</formula>
    </cfRule>
  </conditionalFormatting>
  <conditionalFormatting sqref="B26:M71">
    <cfRule type="expression" dxfId="281" priority="46" stopIfTrue="1">
      <formula>MOD(ROW(),2)&lt;&gt;0</formula>
    </cfRule>
    <cfRule type="expression" dxfId="280" priority="45" stopIfTrue="1">
      <formula>MOD(ROW(),2)=0</formula>
    </cfRule>
  </conditionalFormatting>
  <conditionalFormatting sqref="P6:P22">
    <cfRule type="expression" dxfId="279" priority="40" stopIfTrue="1">
      <formula>MOD(ROW(),2)&lt;&gt;0</formula>
    </cfRule>
    <cfRule type="expression" dxfId="278" priority="39" stopIfTrue="1">
      <formula>MOD(ROW(),2)=0</formula>
    </cfRule>
  </conditionalFormatting>
  <conditionalFormatting sqref="P26:P75">
    <cfRule type="expression" dxfId="277" priority="30" stopIfTrue="1">
      <formula>MOD(ROW(),2)&lt;&gt;0</formula>
    </cfRule>
    <cfRule type="expression" dxfId="276" priority="29" stopIfTrue="1">
      <formula>MOD(ROW(),2)=0</formula>
    </cfRule>
  </conditionalFormatting>
  <conditionalFormatting sqref="Q6:Q22">
    <cfRule type="expression" dxfId="275" priority="2" stopIfTrue="1">
      <formula>MOD(ROW(),2)&lt;&gt;0</formula>
    </cfRule>
    <cfRule type="expression" dxfId="274" priority="1" stopIfTrue="1">
      <formula>MOD(ROW(),2)=0</formula>
    </cfRule>
  </conditionalFormatting>
  <conditionalFormatting sqref="Q26:Q75">
    <cfRule type="expression" dxfId="273" priority="31" stopIfTrue="1">
      <formula>MOD(ROW(),2)=0</formula>
    </cfRule>
    <cfRule type="expression" dxfId="272" priority="32" stopIfTrue="1">
      <formula>MOD(ROW(),2)&lt;&gt;0</formula>
    </cfRule>
  </conditionalFormatting>
  <hyperlinks>
    <hyperlink ref="B24" location="Sheet1!A1" display="Assumptions" xr:uid="{DA773E43-1218-41E1-A812-DBA42BBB824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11"/>
  <dimension ref="A1:AT70"/>
  <sheetViews>
    <sheetView showGridLines="0" zoomScale="85" zoomScaleNormal="85" workbookViewId="0">
      <selection activeCell="A17" sqref="A17"/>
    </sheetView>
  </sheetViews>
  <sheetFormatPr defaultColWidth="10" defaultRowHeight="13.2" x14ac:dyDescent="0.25"/>
  <cols>
    <col min="1" max="1" width="31.5546875" style="27" customWidth="1"/>
    <col min="2" max="12" width="22.5546875" style="27" customWidth="1"/>
    <col min="13" max="14" width="10" style="27"/>
    <col min="15" max="15" width="31.5546875" style="27" customWidth="1"/>
    <col min="16" max="27" width="22.5546875" style="27" customWidth="1"/>
    <col min="28" max="29" width="10" style="27"/>
    <col min="30" max="30" width="31.5546875" style="27" customWidth="1"/>
    <col min="31" max="42" width="22.5546875" style="27" customWidth="1"/>
    <col min="43" max="44" width="10" style="27"/>
    <col min="45" max="45" width="31.5546875" style="27" customWidth="1"/>
    <col min="46" max="46" width="69.77734375" style="27" customWidth="1"/>
    <col min="47" max="16384" width="10" style="27"/>
  </cols>
  <sheetData>
    <row r="1" spans="1:46" ht="21" x14ac:dyDescent="0.4">
      <c r="A1" s="39" t="s">
        <v>0</v>
      </c>
      <c r="B1" s="40"/>
      <c r="C1" s="40"/>
      <c r="D1" s="40"/>
      <c r="E1" s="40"/>
      <c r="F1" s="40"/>
      <c r="G1" s="40"/>
      <c r="H1" s="40"/>
      <c r="I1" s="40"/>
    </row>
    <row r="2" spans="1:46"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46" ht="15.6" x14ac:dyDescent="0.3">
      <c r="A3" s="43" t="str">
        <f>TABLE_FACTOR_TYPE_1&amp;" - x-"&amp;TABLE_SERIES_NUMBER_1</f>
        <v>EEPA - x-733</v>
      </c>
      <c r="B3" s="42"/>
      <c r="C3" s="42"/>
      <c r="D3" s="42"/>
      <c r="E3" s="42"/>
      <c r="F3" s="42"/>
      <c r="G3" s="42"/>
      <c r="H3" s="42"/>
      <c r="I3" s="42"/>
    </row>
    <row r="4" spans="1:46" x14ac:dyDescent="0.25">
      <c r="A4" s="44"/>
    </row>
    <row r="6" spans="1:46" x14ac:dyDescent="0.25">
      <c r="A6" s="76" t="s">
        <v>290</v>
      </c>
      <c r="B6" s="129" t="s">
        <v>291</v>
      </c>
      <c r="C6" s="129"/>
      <c r="D6" s="129"/>
      <c r="E6" s="129"/>
      <c r="F6" s="129"/>
      <c r="G6" s="129"/>
      <c r="H6" s="129"/>
      <c r="I6" s="129"/>
      <c r="J6" s="129"/>
      <c r="K6" s="129"/>
      <c r="L6" s="129"/>
      <c r="O6" s="76" t="s">
        <v>290</v>
      </c>
      <c r="P6" s="129" t="s">
        <v>291</v>
      </c>
      <c r="Q6" s="129"/>
      <c r="R6" s="129"/>
      <c r="S6" s="129"/>
      <c r="T6" s="129"/>
      <c r="U6" s="129"/>
      <c r="V6" s="129"/>
      <c r="W6" s="129"/>
      <c r="X6" s="129"/>
      <c r="Y6" s="129"/>
      <c r="Z6" s="129"/>
      <c r="AA6" s="129"/>
      <c r="AD6" s="76" t="s">
        <v>290</v>
      </c>
      <c r="AE6" s="129" t="s">
        <v>291</v>
      </c>
      <c r="AF6" s="129"/>
      <c r="AG6" s="129"/>
      <c r="AH6" s="129"/>
      <c r="AI6" s="129"/>
      <c r="AJ6" s="129"/>
      <c r="AK6" s="129"/>
      <c r="AL6" s="129"/>
      <c r="AM6" s="129"/>
      <c r="AN6" s="129"/>
      <c r="AO6" s="129"/>
      <c r="AP6" s="129"/>
      <c r="AS6" s="76" t="s">
        <v>290</v>
      </c>
      <c r="AT6" s="129" t="s">
        <v>291</v>
      </c>
    </row>
    <row r="7" spans="1:46" x14ac:dyDescent="0.25">
      <c r="A7" s="77" t="s">
        <v>804</v>
      </c>
      <c r="B7" s="129" t="s">
        <v>324</v>
      </c>
      <c r="C7" s="129"/>
      <c r="D7" s="129"/>
      <c r="E7" s="129"/>
      <c r="F7" s="129"/>
      <c r="G7" s="129"/>
      <c r="H7" s="129"/>
      <c r="I7" s="129"/>
      <c r="J7" s="129"/>
      <c r="K7" s="129"/>
      <c r="L7" s="129"/>
      <c r="O7" s="77" t="s">
        <v>804</v>
      </c>
      <c r="P7" s="129" t="s">
        <v>324</v>
      </c>
      <c r="Q7" s="129"/>
      <c r="R7" s="129"/>
      <c r="S7" s="129"/>
      <c r="T7" s="129"/>
      <c r="U7" s="129"/>
      <c r="V7" s="129"/>
      <c r="W7" s="129"/>
      <c r="X7" s="129"/>
      <c r="Y7" s="129"/>
      <c r="Z7" s="129"/>
      <c r="AA7" s="129"/>
      <c r="AD7" s="77" t="s">
        <v>804</v>
      </c>
      <c r="AE7" s="129" t="s">
        <v>324</v>
      </c>
      <c r="AF7" s="129"/>
      <c r="AG7" s="129"/>
      <c r="AH7" s="129"/>
      <c r="AI7" s="129"/>
      <c r="AJ7" s="129"/>
      <c r="AK7" s="129"/>
      <c r="AL7" s="129"/>
      <c r="AM7" s="129"/>
      <c r="AN7" s="129"/>
      <c r="AO7" s="129"/>
      <c r="AP7" s="129"/>
      <c r="AS7" s="77" t="s">
        <v>804</v>
      </c>
      <c r="AT7" s="129" t="s">
        <v>324</v>
      </c>
    </row>
    <row r="8" spans="1:46" x14ac:dyDescent="0.25">
      <c r="A8" s="77" t="s">
        <v>805</v>
      </c>
      <c r="B8" s="129" t="s">
        <v>85</v>
      </c>
      <c r="C8" s="129"/>
      <c r="D8" s="129"/>
      <c r="E8" s="129"/>
      <c r="F8" s="129"/>
      <c r="G8" s="129"/>
      <c r="H8" s="129"/>
      <c r="I8" s="129"/>
      <c r="J8" s="129"/>
      <c r="K8" s="129"/>
      <c r="L8" s="129"/>
      <c r="O8" s="77" t="s">
        <v>805</v>
      </c>
      <c r="P8" s="129" t="s">
        <v>85</v>
      </c>
      <c r="Q8" s="129"/>
      <c r="R8" s="129"/>
      <c r="S8" s="129"/>
      <c r="T8" s="129"/>
      <c r="U8" s="129"/>
      <c r="V8" s="129"/>
      <c r="W8" s="129"/>
      <c r="X8" s="129"/>
      <c r="Y8" s="129"/>
      <c r="Z8" s="129"/>
      <c r="AA8" s="129"/>
      <c r="AD8" s="77" t="s">
        <v>805</v>
      </c>
      <c r="AE8" s="129" t="s">
        <v>85</v>
      </c>
      <c r="AF8" s="129"/>
      <c r="AG8" s="129"/>
      <c r="AH8" s="129"/>
      <c r="AI8" s="129"/>
      <c r="AJ8" s="129"/>
      <c r="AK8" s="129"/>
      <c r="AL8" s="129"/>
      <c r="AM8" s="129"/>
      <c r="AN8" s="129"/>
      <c r="AO8" s="129"/>
      <c r="AP8" s="129"/>
      <c r="AS8" s="77" t="s">
        <v>805</v>
      </c>
      <c r="AT8" s="129" t="s">
        <v>85</v>
      </c>
    </row>
    <row r="9" spans="1:46" x14ac:dyDescent="0.25">
      <c r="A9" s="77" t="s">
        <v>296</v>
      </c>
      <c r="B9" s="129" t="s">
        <v>666</v>
      </c>
      <c r="C9" s="129"/>
      <c r="D9" s="129"/>
      <c r="E9" s="129"/>
      <c r="F9" s="129"/>
      <c r="G9" s="129"/>
      <c r="H9" s="129"/>
      <c r="I9" s="129"/>
      <c r="J9" s="129"/>
      <c r="K9" s="129"/>
      <c r="L9" s="129"/>
      <c r="O9" s="77" t="s">
        <v>296</v>
      </c>
      <c r="P9" s="129" t="s">
        <v>666</v>
      </c>
      <c r="Q9" s="129"/>
      <c r="R9" s="129"/>
      <c r="S9" s="129"/>
      <c r="T9" s="129"/>
      <c r="U9" s="129"/>
      <c r="V9" s="129"/>
      <c r="W9" s="129"/>
      <c r="X9" s="129"/>
      <c r="Y9" s="129"/>
      <c r="Z9" s="129"/>
      <c r="AA9" s="129"/>
      <c r="AD9" s="77" t="s">
        <v>296</v>
      </c>
      <c r="AE9" s="129" t="s">
        <v>666</v>
      </c>
      <c r="AF9" s="129"/>
      <c r="AG9" s="129"/>
      <c r="AH9" s="129"/>
      <c r="AI9" s="129"/>
      <c r="AJ9" s="129"/>
      <c r="AK9" s="129"/>
      <c r="AL9" s="129"/>
      <c r="AM9" s="129"/>
      <c r="AN9" s="129"/>
      <c r="AO9" s="129"/>
      <c r="AP9" s="129"/>
      <c r="AS9" s="77" t="s">
        <v>296</v>
      </c>
      <c r="AT9" s="129" t="s">
        <v>666</v>
      </c>
    </row>
    <row r="10" spans="1:46" x14ac:dyDescent="0.25">
      <c r="A10" s="77" t="s">
        <v>6</v>
      </c>
      <c r="B10" s="129" t="s">
        <v>667</v>
      </c>
      <c r="C10" s="129"/>
      <c r="D10" s="129"/>
      <c r="E10" s="129"/>
      <c r="F10" s="129"/>
      <c r="G10" s="129"/>
      <c r="H10" s="129"/>
      <c r="I10" s="129"/>
      <c r="J10" s="129"/>
      <c r="K10" s="129"/>
      <c r="L10" s="129"/>
      <c r="O10" s="77" t="s">
        <v>6</v>
      </c>
      <c r="P10" s="129" t="s">
        <v>670</v>
      </c>
      <c r="Q10" s="129"/>
      <c r="R10" s="129"/>
      <c r="S10" s="129"/>
      <c r="T10" s="129"/>
      <c r="U10" s="129"/>
      <c r="V10" s="129"/>
      <c r="W10" s="129"/>
      <c r="X10" s="129"/>
      <c r="Y10" s="129"/>
      <c r="Z10" s="129"/>
      <c r="AA10" s="129"/>
      <c r="AD10" s="77" t="s">
        <v>6</v>
      </c>
      <c r="AE10" s="129" t="s">
        <v>672</v>
      </c>
      <c r="AF10" s="129"/>
      <c r="AG10" s="129"/>
      <c r="AH10" s="129"/>
      <c r="AI10" s="129"/>
      <c r="AJ10" s="129"/>
      <c r="AK10" s="129"/>
      <c r="AL10" s="129"/>
      <c r="AM10" s="129"/>
      <c r="AN10" s="129"/>
      <c r="AO10" s="129"/>
      <c r="AP10" s="129"/>
      <c r="AS10" s="77" t="s">
        <v>6</v>
      </c>
      <c r="AT10" s="129" t="s">
        <v>674</v>
      </c>
    </row>
    <row r="11" spans="1:46" x14ac:dyDescent="0.25">
      <c r="A11" s="77" t="s">
        <v>299</v>
      </c>
      <c r="B11" s="129" t="s">
        <v>364</v>
      </c>
      <c r="C11" s="129"/>
      <c r="D11" s="129"/>
      <c r="E11" s="129"/>
      <c r="F11" s="129"/>
      <c r="G11" s="129"/>
      <c r="H11" s="129"/>
      <c r="I11" s="129"/>
      <c r="J11" s="129"/>
      <c r="K11" s="129"/>
      <c r="L11" s="129"/>
      <c r="O11" s="77" t="s">
        <v>299</v>
      </c>
      <c r="P11" s="129" t="s">
        <v>364</v>
      </c>
      <c r="Q11" s="129"/>
      <c r="R11" s="129"/>
      <c r="S11" s="129"/>
      <c r="T11" s="129"/>
      <c r="U11" s="129"/>
      <c r="V11" s="129"/>
      <c r="W11" s="129"/>
      <c r="X11" s="129"/>
      <c r="Y11" s="129"/>
      <c r="Z11" s="129"/>
      <c r="AA11" s="129"/>
      <c r="AD11" s="77" t="s">
        <v>299</v>
      </c>
      <c r="AE11" s="129" t="s">
        <v>364</v>
      </c>
      <c r="AF11" s="129"/>
      <c r="AG11" s="129"/>
      <c r="AH11" s="129"/>
      <c r="AI11" s="129"/>
      <c r="AJ11" s="129"/>
      <c r="AK11" s="129"/>
      <c r="AL11" s="129"/>
      <c r="AM11" s="129"/>
      <c r="AN11" s="129"/>
      <c r="AO11" s="129"/>
      <c r="AP11" s="129"/>
      <c r="AS11" s="77" t="s">
        <v>299</v>
      </c>
      <c r="AT11" s="129" t="s">
        <v>364</v>
      </c>
    </row>
    <row r="12" spans="1:46" x14ac:dyDescent="0.25">
      <c r="A12" s="77" t="s">
        <v>301</v>
      </c>
      <c r="B12" s="129" t="s">
        <v>649</v>
      </c>
      <c r="C12" s="129"/>
      <c r="D12" s="129"/>
      <c r="E12" s="129"/>
      <c r="F12" s="129"/>
      <c r="G12" s="129"/>
      <c r="H12" s="129"/>
      <c r="I12" s="129"/>
      <c r="J12" s="129"/>
      <c r="K12" s="129"/>
      <c r="L12" s="129"/>
      <c r="O12" s="77" t="s">
        <v>301</v>
      </c>
      <c r="P12" s="129" t="s">
        <v>649</v>
      </c>
      <c r="Q12" s="129"/>
      <c r="R12" s="129"/>
      <c r="S12" s="129"/>
      <c r="T12" s="129"/>
      <c r="U12" s="129"/>
      <c r="V12" s="129"/>
      <c r="W12" s="129"/>
      <c r="X12" s="129"/>
      <c r="Y12" s="129"/>
      <c r="Z12" s="129"/>
      <c r="AA12" s="129"/>
      <c r="AD12" s="77" t="s">
        <v>301</v>
      </c>
      <c r="AE12" s="129" t="s">
        <v>649</v>
      </c>
      <c r="AF12" s="129"/>
      <c r="AG12" s="129"/>
      <c r="AH12" s="129"/>
      <c r="AI12" s="129"/>
      <c r="AJ12" s="129"/>
      <c r="AK12" s="129"/>
      <c r="AL12" s="129"/>
      <c r="AM12" s="129"/>
      <c r="AN12" s="129"/>
      <c r="AO12" s="129"/>
      <c r="AP12" s="129"/>
      <c r="AS12" s="77" t="s">
        <v>301</v>
      </c>
      <c r="AT12" s="129" t="s">
        <v>658</v>
      </c>
    </row>
    <row r="13" spans="1:46" x14ac:dyDescent="0.25">
      <c r="A13" s="77" t="s">
        <v>806</v>
      </c>
      <c r="B13" s="129">
        <v>0</v>
      </c>
      <c r="C13" s="129"/>
      <c r="D13" s="129"/>
      <c r="E13" s="129"/>
      <c r="F13" s="129"/>
      <c r="G13" s="129"/>
      <c r="H13" s="129"/>
      <c r="I13" s="129"/>
      <c r="J13" s="129"/>
      <c r="K13" s="129"/>
      <c r="L13" s="129"/>
      <c r="O13" s="77" t="s">
        <v>806</v>
      </c>
      <c r="P13" s="129">
        <v>0</v>
      </c>
      <c r="Q13" s="129"/>
      <c r="R13" s="129"/>
      <c r="S13" s="129"/>
      <c r="T13" s="129"/>
      <c r="U13" s="129"/>
      <c r="V13" s="129"/>
      <c r="W13" s="129"/>
      <c r="X13" s="129"/>
      <c r="Y13" s="129"/>
      <c r="Z13" s="129"/>
      <c r="AA13" s="129"/>
      <c r="AD13" s="77" t="s">
        <v>806</v>
      </c>
      <c r="AE13" s="129">
        <v>0</v>
      </c>
      <c r="AF13" s="129"/>
      <c r="AG13" s="129"/>
      <c r="AH13" s="129"/>
      <c r="AI13" s="129"/>
      <c r="AJ13" s="129"/>
      <c r="AK13" s="129"/>
      <c r="AL13" s="129"/>
      <c r="AM13" s="129"/>
      <c r="AN13" s="129"/>
      <c r="AO13" s="129"/>
      <c r="AP13" s="129"/>
      <c r="AS13" s="77" t="s">
        <v>806</v>
      </c>
      <c r="AT13" s="129">
        <v>0</v>
      </c>
    </row>
    <row r="14" spans="1:46" x14ac:dyDescent="0.25">
      <c r="A14" s="77" t="s">
        <v>305</v>
      </c>
      <c r="B14" s="129">
        <v>733</v>
      </c>
      <c r="C14" s="129"/>
      <c r="D14" s="129"/>
      <c r="E14" s="129"/>
      <c r="F14" s="129"/>
      <c r="G14" s="129"/>
      <c r="H14" s="129"/>
      <c r="I14" s="129"/>
      <c r="J14" s="129"/>
      <c r="K14" s="129"/>
      <c r="L14" s="129"/>
      <c r="O14" s="77" t="s">
        <v>305</v>
      </c>
      <c r="P14" s="129">
        <v>733</v>
      </c>
      <c r="Q14" s="129"/>
      <c r="R14" s="129"/>
      <c r="S14" s="129"/>
      <c r="T14" s="129"/>
      <c r="U14" s="129"/>
      <c r="V14" s="129"/>
      <c r="W14" s="129"/>
      <c r="X14" s="129"/>
      <c r="Y14" s="129"/>
      <c r="Z14" s="129"/>
      <c r="AA14" s="129"/>
      <c r="AD14" s="77" t="s">
        <v>305</v>
      </c>
      <c r="AE14" s="129">
        <v>733</v>
      </c>
      <c r="AF14" s="129"/>
      <c r="AG14" s="129"/>
      <c r="AH14" s="129"/>
      <c r="AI14" s="129"/>
      <c r="AJ14" s="129"/>
      <c r="AK14" s="129"/>
      <c r="AL14" s="129"/>
      <c r="AM14" s="129"/>
      <c r="AN14" s="129"/>
      <c r="AO14" s="129"/>
      <c r="AP14" s="129"/>
      <c r="AS14" s="77" t="s">
        <v>305</v>
      </c>
      <c r="AT14" s="129">
        <v>733</v>
      </c>
    </row>
    <row r="15" spans="1:46" x14ac:dyDescent="0.25">
      <c r="A15" s="77" t="s">
        <v>307</v>
      </c>
      <c r="B15" s="129" t="s">
        <v>668</v>
      </c>
      <c r="C15" s="129"/>
      <c r="D15" s="129"/>
      <c r="E15" s="129"/>
      <c r="F15" s="129"/>
      <c r="G15" s="129"/>
      <c r="H15" s="129"/>
      <c r="I15" s="129"/>
      <c r="J15" s="129"/>
      <c r="K15" s="129"/>
      <c r="L15" s="129"/>
      <c r="O15" s="77" t="s">
        <v>307</v>
      </c>
      <c r="P15" s="129" t="s">
        <v>671</v>
      </c>
      <c r="Q15" s="129"/>
      <c r="R15" s="129"/>
      <c r="S15" s="129"/>
      <c r="T15" s="129"/>
      <c r="U15" s="129"/>
      <c r="V15" s="129"/>
      <c r="W15" s="129"/>
      <c r="X15" s="129"/>
      <c r="Y15" s="129"/>
      <c r="Z15" s="129"/>
      <c r="AA15" s="129"/>
      <c r="AD15" s="77" t="s">
        <v>307</v>
      </c>
      <c r="AE15" s="129" t="s">
        <v>673</v>
      </c>
      <c r="AF15" s="129"/>
      <c r="AG15" s="129"/>
      <c r="AH15" s="129"/>
      <c r="AI15" s="129"/>
      <c r="AJ15" s="129"/>
      <c r="AK15" s="129"/>
      <c r="AL15" s="129"/>
      <c r="AM15" s="129"/>
      <c r="AN15" s="129"/>
      <c r="AO15" s="129"/>
      <c r="AP15" s="129"/>
      <c r="AS15" s="77" t="s">
        <v>307</v>
      </c>
      <c r="AT15" s="129" t="s">
        <v>675</v>
      </c>
    </row>
    <row r="16" spans="1:46" x14ac:dyDescent="0.25">
      <c r="A16" s="77" t="s">
        <v>309</v>
      </c>
      <c r="B16" s="129" t="s">
        <v>669</v>
      </c>
      <c r="C16" s="129"/>
      <c r="D16" s="129"/>
      <c r="E16" s="129"/>
      <c r="F16" s="129"/>
      <c r="G16" s="129"/>
      <c r="H16" s="129"/>
      <c r="I16" s="129"/>
      <c r="J16" s="129"/>
      <c r="K16" s="129"/>
      <c r="L16" s="129"/>
      <c r="O16" s="77" t="s">
        <v>309</v>
      </c>
      <c r="P16" s="129" t="s">
        <v>669</v>
      </c>
      <c r="Q16" s="129"/>
      <c r="R16" s="129"/>
      <c r="S16" s="129"/>
      <c r="T16" s="129"/>
      <c r="U16" s="129"/>
      <c r="V16" s="129"/>
      <c r="W16" s="129"/>
      <c r="X16" s="129"/>
      <c r="Y16" s="129"/>
      <c r="Z16" s="129"/>
      <c r="AA16" s="129"/>
      <c r="AD16" s="77" t="s">
        <v>309</v>
      </c>
      <c r="AE16" s="129" t="s">
        <v>669</v>
      </c>
      <c r="AF16" s="129"/>
      <c r="AG16" s="129"/>
      <c r="AH16" s="129"/>
      <c r="AI16" s="129"/>
      <c r="AJ16" s="129"/>
      <c r="AK16" s="129"/>
      <c r="AL16" s="129"/>
      <c r="AM16" s="129"/>
      <c r="AN16" s="129"/>
      <c r="AO16" s="129"/>
      <c r="AP16" s="129"/>
      <c r="AS16" s="77" t="s">
        <v>309</v>
      </c>
      <c r="AT16" s="129" t="s">
        <v>669</v>
      </c>
    </row>
    <row r="17" spans="1:46" x14ac:dyDescent="0.25">
      <c r="A17" s="77" t="s">
        <v>803</v>
      </c>
      <c r="B17" s="129"/>
      <c r="C17" s="129"/>
      <c r="D17" s="129"/>
      <c r="E17" s="129"/>
      <c r="F17" s="129"/>
      <c r="G17" s="129"/>
      <c r="H17" s="129"/>
      <c r="I17" s="129"/>
      <c r="J17" s="129"/>
      <c r="K17" s="129"/>
      <c r="L17" s="129"/>
      <c r="O17" s="77" t="s">
        <v>803</v>
      </c>
      <c r="P17" s="129"/>
      <c r="Q17" s="129"/>
      <c r="R17" s="129"/>
      <c r="S17" s="129"/>
      <c r="T17" s="129"/>
      <c r="U17" s="129"/>
      <c r="V17" s="129"/>
      <c r="W17" s="129"/>
      <c r="X17" s="129"/>
      <c r="Y17" s="129"/>
      <c r="Z17" s="129"/>
      <c r="AA17" s="129"/>
      <c r="AD17" s="77" t="s">
        <v>803</v>
      </c>
      <c r="AE17" s="129"/>
      <c r="AF17" s="129"/>
      <c r="AG17" s="129"/>
      <c r="AH17" s="129"/>
      <c r="AI17" s="129"/>
      <c r="AJ17" s="129"/>
      <c r="AK17" s="129"/>
      <c r="AL17" s="129"/>
      <c r="AM17" s="129"/>
      <c r="AN17" s="129"/>
      <c r="AO17" s="129"/>
      <c r="AP17" s="129"/>
      <c r="AS17" s="77" t="s">
        <v>803</v>
      </c>
      <c r="AT17" s="129"/>
    </row>
    <row r="18" spans="1:46" x14ac:dyDescent="0.25">
      <c r="A18" s="77" t="s">
        <v>313</v>
      </c>
      <c r="B18" s="187">
        <v>45184</v>
      </c>
      <c r="C18" s="129"/>
      <c r="D18" s="129"/>
      <c r="E18" s="129"/>
      <c r="F18" s="129"/>
      <c r="G18" s="129"/>
      <c r="H18" s="129"/>
      <c r="I18" s="129"/>
      <c r="J18" s="129"/>
      <c r="K18" s="129"/>
      <c r="L18" s="129"/>
      <c r="O18" s="77" t="s">
        <v>313</v>
      </c>
      <c r="P18" s="187">
        <v>45184</v>
      </c>
      <c r="Q18" s="129"/>
      <c r="R18" s="129"/>
      <c r="S18" s="129"/>
      <c r="T18" s="129"/>
      <c r="U18" s="129"/>
      <c r="V18" s="129"/>
      <c r="W18" s="129"/>
      <c r="X18" s="129"/>
      <c r="Y18" s="129"/>
      <c r="Z18" s="129"/>
      <c r="AA18" s="129"/>
      <c r="AD18" s="77" t="s">
        <v>313</v>
      </c>
      <c r="AE18" s="187">
        <v>45184</v>
      </c>
      <c r="AF18" s="129"/>
      <c r="AG18" s="129"/>
      <c r="AH18" s="129"/>
      <c r="AI18" s="129"/>
      <c r="AJ18" s="129"/>
      <c r="AK18" s="129"/>
      <c r="AL18" s="129"/>
      <c r="AM18" s="129"/>
      <c r="AN18" s="129"/>
      <c r="AO18" s="129"/>
      <c r="AP18" s="129"/>
      <c r="AS18" s="77" t="s">
        <v>313</v>
      </c>
      <c r="AT18" s="187">
        <v>45184</v>
      </c>
    </row>
    <row r="19" spans="1:46" x14ac:dyDescent="0.25">
      <c r="A19" s="77" t="s">
        <v>315</v>
      </c>
      <c r="B19" s="187"/>
      <c r="C19" s="129"/>
      <c r="D19" s="129"/>
      <c r="E19" s="129"/>
      <c r="F19" s="129"/>
      <c r="G19" s="129"/>
      <c r="H19" s="129"/>
      <c r="I19" s="129"/>
      <c r="J19" s="129"/>
      <c r="K19" s="129"/>
      <c r="L19" s="129"/>
      <c r="O19" s="77" t="s">
        <v>315</v>
      </c>
      <c r="P19" s="187"/>
      <c r="Q19" s="129"/>
      <c r="R19" s="129"/>
      <c r="S19" s="129"/>
      <c r="T19" s="129"/>
      <c r="U19" s="129"/>
      <c r="V19" s="129"/>
      <c r="W19" s="129"/>
      <c r="X19" s="129"/>
      <c r="Y19" s="129"/>
      <c r="Z19" s="129"/>
      <c r="AA19" s="129"/>
      <c r="AD19" s="77" t="s">
        <v>315</v>
      </c>
      <c r="AE19" s="187"/>
      <c r="AF19" s="129"/>
      <c r="AG19" s="129"/>
      <c r="AH19" s="129"/>
      <c r="AI19" s="129"/>
      <c r="AJ19" s="129"/>
      <c r="AK19" s="129"/>
      <c r="AL19" s="129"/>
      <c r="AM19" s="129"/>
      <c r="AN19" s="129"/>
      <c r="AO19" s="129"/>
      <c r="AP19" s="129"/>
      <c r="AS19" s="77" t="s">
        <v>315</v>
      </c>
      <c r="AT19" s="187"/>
    </row>
    <row r="20" spans="1:46" x14ac:dyDescent="0.25">
      <c r="A20" s="77" t="s">
        <v>317</v>
      </c>
      <c r="B20" s="129" t="s">
        <v>331</v>
      </c>
      <c r="C20" s="129"/>
      <c r="D20" s="129"/>
      <c r="E20" s="129"/>
      <c r="F20" s="129"/>
      <c r="G20" s="129"/>
      <c r="H20" s="129"/>
      <c r="I20" s="129"/>
      <c r="J20" s="129"/>
      <c r="K20" s="129"/>
      <c r="L20" s="129"/>
      <c r="O20" s="77" t="s">
        <v>317</v>
      </c>
      <c r="P20" s="129" t="s">
        <v>331</v>
      </c>
      <c r="Q20" s="129"/>
      <c r="R20" s="129"/>
      <c r="S20" s="129"/>
      <c r="T20" s="129"/>
      <c r="U20" s="129"/>
      <c r="V20" s="129"/>
      <c r="W20" s="129"/>
      <c r="X20" s="129"/>
      <c r="Y20" s="129"/>
      <c r="Z20" s="129"/>
      <c r="AA20" s="129"/>
      <c r="AD20" s="77" t="s">
        <v>317</v>
      </c>
      <c r="AE20" s="129" t="s">
        <v>331</v>
      </c>
      <c r="AF20" s="129"/>
      <c r="AG20" s="129"/>
      <c r="AH20" s="129"/>
      <c r="AI20" s="129"/>
      <c r="AJ20" s="129"/>
      <c r="AK20" s="129"/>
      <c r="AL20" s="129"/>
      <c r="AM20" s="129"/>
      <c r="AN20" s="129"/>
      <c r="AO20" s="129"/>
      <c r="AP20" s="129"/>
      <c r="AS20" s="77" t="s">
        <v>317</v>
      </c>
      <c r="AT20" s="129" t="s">
        <v>331</v>
      </c>
    </row>
    <row r="21" spans="1:46" x14ac:dyDescent="0.25">
      <c r="A21" s="77" t="s">
        <v>323</v>
      </c>
      <c r="B21" s="129" t="s">
        <v>332</v>
      </c>
      <c r="C21" s="129"/>
      <c r="D21" s="129"/>
      <c r="E21" s="129"/>
      <c r="F21" s="129"/>
      <c r="G21" s="129"/>
      <c r="H21" s="129"/>
      <c r="I21" s="129"/>
      <c r="J21" s="129"/>
      <c r="K21" s="129"/>
      <c r="L21" s="129"/>
      <c r="O21" s="77" t="s">
        <v>323</v>
      </c>
      <c r="P21" s="129" t="s">
        <v>332</v>
      </c>
      <c r="Q21" s="129"/>
      <c r="R21" s="129"/>
      <c r="S21" s="129"/>
      <c r="T21" s="129"/>
      <c r="U21" s="129"/>
      <c r="V21" s="129"/>
      <c r="W21" s="129"/>
      <c r="X21" s="129"/>
      <c r="Y21" s="129"/>
      <c r="Z21" s="129"/>
      <c r="AA21" s="129"/>
      <c r="AD21" s="77" t="s">
        <v>323</v>
      </c>
      <c r="AE21" s="129" t="s">
        <v>332</v>
      </c>
      <c r="AF21" s="129"/>
      <c r="AG21" s="129"/>
      <c r="AH21" s="129"/>
      <c r="AI21" s="129"/>
      <c r="AJ21" s="129"/>
      <c r="AK21" s="129"/>
      <c r="AL21" s="129"/>
      <c r="AM21" s="129"/>
      <c r="AN21" s="129"/>
      <c r="AO21" s="129"/>
      <c r="AP21" s="129"/>
      <c r="AS21" s="77" t="s">
        <v>323</v>
      </c>
      <c r="AT21" s="129" t="s">
        <v>332</v>
      </c>
    </row>
    <row r="23" spans="1:46" x14ac:dyDescent="0.25">
      <c r="B23" s="102" t="str">
        <f>HYPERLINK("#'Factor List'!A1","Back to Factor List")</f>
        <v>Back to Factor List</v>
      </c>
    </row>
    <row r="24" spans="1:46" x14ac:dyDescent="0.25">
      <c r="B24" s="102" t="s">
        <v>13</v>
      </c>
    </row>
    <row r="25" spans="1:46" x14ac:dyDescent="0.25">
      <c r="A25" s="73" t="s">
        <v>960</v>
      </c>
      <c r="B25" s="73">
        <v>1</v>
      </c>
      <c r="C25" s="73">
        <v>2</v>
      </c>
      <c r="D25" s="73">
        <v>3</v>
      </c>
      <c r="E25" s="73">
        <v>4</v>
      </c>
      <c r="F25" s="73">
        <v>5</v>
      </c>
      <c r="G25" s="73">
        <v>6</v>
      </c>
      <c r="H25" s="73">
        <v>7</v>
      </c>
      <c r="I25" s="73">
        <v>8</v>
      </c>
      <c r="J25" s="73">
        <v>9</v>
      </c>
      <c r="K25" s="73">
        <v>10</v>
      </c>
      <c r="L25" s="73">
        <v>11</v>
      </c>
      <c r="O25" s="73" t="s">
        <v>960</v>
      </c>
      <c r="P25" s="73">
        <v>0</v>
      </c>
      <c r="Q25" s="73">
        <v>1</v>
      </c>
      <c r="R25" s="73">
        <v>2</v>
      </c>
      <c r="S25" s="73">
        <v>3</v>
      </c>
      <c r="T25" s="73">
        <v>4</v>
      </c>
      <c r="U25" s="73">
        <v>5</v>
      </c>
      <c r="V25" s="73">
        <v>6</v>
      </c>
      <c r="W25" s="73">
        <v>7</v>
      </c>
      <c r="X25" s="73">
        <v>8</v>
      </c>
      <c r="Y25" s="73">
        <v>9</v>
      </c>
      <c r="Z25" s="73">
        <v>10</v>
      </c>
      <c r="AA25" s="73">
        <v>11</v>
      </c>
      <c r="AD25" s="73" t="s">
        <v>960</v>
      </c>
      <c r="AE25" s="73">
        <v>0</v>
      </c>
      <c r="AF25" s="73">
        <v>1</v>
      </c>
      <c r="AG25" s="73">
        <v>2</v>
      </c>
      <c r="AH25" s="73">
        <v>3</v>
      </c>
      <c r="AI25" s="73">
        <v>4</v>
      </c>
      <c r="AJ25" s="73">
        <v>5</v>
      </c>
      <c r="AK25" s="73">
        <v>6</v>
      </c>
      <c r="AL25" s="73">
        <v>7</v>
      </c>
      <c r="AM25" s="73">
        <v>8</v>
      </c>
      <c r="AN25" s="73">
        <v>9</v>
      </c>
      <c r="AO25" s="73">
        <v>10</v>
      </c>
      <c r="AP25" s="73">
        <v>11</v>
      </c>
      <c r="AS25" s="73" t="s">
        <v>960</v>
      </c>
      <c r="AT25" s="73">
        <v>0</v>
      </c>
    </row>
    <row r="26" spans="1:46" x14ac:dyDescent="0.25">
      <c r="A26" s="74">
        <v>20</v>
      </c>
      <c r="B26" s="93">
        <v>8.9999999999999998E-4</v>
      </c>
      <c r="C26" s="93">
        <v>1.8E-3</v>
      </c>
      <c r="D26" s="93">
        <v>2.8E-3</v>
      </c>
      <c r="E26" s="93">
        <v>3.7000000000000002E-3</v>
      </c>
      <c r="F26" s="93">
        <v>4.5999999999999999E-3</v>
      </c>
      <c r="G26" s="93">
        <v>5.4999999999999997E-3</v>
      </c>
      <c r="H26" s="93">
        <v>6.4000000000000003E-3</v>
      </c>
      <c r="I26" s="93">
        <v>7.3000000000000001E-3</v>
      </c>
      <c r="J26" s="93">
        <v>8.3000000000000001E-3</v>
      </c>
      <c r="K26" s="93">
        <v>9.1999999999999998E-3</v>
      </c>
      <c r="L26" s="93">
        <v>1.01E-2</v>
      </c>
      <c r="O26" s="74">
        <v>20</v>
      </c>
      <c r="P26" s="93">
        <v>1.0999999999999999E-2</v>
      </c>
      <c r="Q26" s="93">
        <v>1.18E-2</v>
      </c>
      <c r="R26" s="93">
        <v>1.2699999999999999E-2</v>
      </c>
      <c r="S26" s="93">
        <v>1.35E-2</v>
      </c>
      <c r="T26" s="93">
        <v>1.43E-2</v>
      </c>
      <c r="U26" s="93">
        <v>1.52E-2</v>
      </c>
      <c r="V26" s="93">
        <v>1.6E-2</v>
      </c>
      <c r="W26" s="93">
        <v>1.6799999999999999E-2</v>
      </c>
      <c r="X26" s="93">
        <v>1.77E-2</v>
      </c>
      <c r="Y26" s="93">
        <v>1.8499999999999999E-2</v>
      </c>
      <c r="Z26" s="93">
        <v>1.9300000000000001E-2</v>
      </c>
      <c r="AA26" s="93">
        <v>2.0199999999999999E-2</v>
      </c>
      <c r="AD26" s="74">
        <v>20</v>
      </c>
      <c r="AE26" s="93">
        <v>2.1000000000000001E-2</v>
      </c>
      <c r="AF26" s="93">
        <v>2.18E-2</v>
      </c>
      <c r="AG26" s="93">
        <v>2.2700000000000001E-2</v>
      </c>
      <c r="AH26" s="93">
        <v>2.35E-2</v>
      </c>
      <c r="AI26" s="93">
        <v>2.4299999999999999E-2</v>
      </c>
      <c r="AJ26" s="93">
        <v>2.52E-2</v>
      </c>
      <c r="AK26" s="93">
        <v>2.5999999999999999E-2</v>
      </c>
      <c r="AL26" s="93">
        <v>2.6800000000000001E-2</v>
      </c>
      <c r="AM26" s="93">
        <v>2.7699999999999999E-2</v>
      </c>
      <c r="AN26" s="93">
        <v>2.8500000000000001E-2</v>
      </c>
      <c r="AO26" s="93">
        <v>2.93E-2</v>
      </c>
      <c r="AP26" s="93">
        <v>3.0200000000000001E-2</v>
      </c>
      <c r="AS26" s="74">
        <v>20</v>
      </c>
      <c r="AT26" s="94">
        <v>3.1E-2</v>
      </c>
    </row>
    <row r="27" spans="1:46" x14ac:dyDescent="0.25">
      <c r="A27" s="74">
        <v>21</v>
      </c>
      <c r="B27" s="93">
        <v>8.9999999999999998E-4</v>
      </c>
      <c r="C27" s="93">
        <v>1.8E-3</v>
      </c>
      <c r="D27" s="93">
        <v>2.8E-3</v>
      </c>
      <c r="E27" s="93">
        <v>3.7000000000000002E-3</v>
      </c>
      <c r="F27" s="93">
        <v>4.5999999999999999E-3</v>
      </c>
      <c r="G27" s="93">
        <v>5.4999999999999997E-3</v>
      </c>
      <c r="H27" s="93">
        <v>6.4000000000000003E-3</v>
      </c>
      <c r="I27" s="93">
        <v>7.3000000000000001E-3</v>
      </c>
      <c r="J27" s="93">
        <v>8.3000000000000001E-3</v>
      </c>
      <c r="K27" s="93">
        <v>9.1999999999999998E-3</v>
      </c>
      <c r="L27" s="93">
        <v>1.01E-2</v>
      </c>
      <c r="O27" s="74">
        <v>21</v>
      </c>
      <c r="P27" s="93">
        <v>1.0999999999999999E-2</v>
      </c>
      <c r="Q27" s="93">
        <v>1.18E-2</v>
      </c>
      <c r="R27" s="93">
        <v>1.2699999999999999E-2</v>
      </c>
      <c r="S27" s="93">
        <v>1.35E-2</v>
      </c>
      <c r="T27" s="93">
        <v>1.43E-2</v>
      </c>
      <c r="U27" s="93">
        <v>1.52E-2</v>
      </c>
      <c r="V27" s="93">
        <v>1.6E-2</v>
      </c>
      <c r="W27" s="93">
        <v>1.6799999999999999E-2</v>
      </c>
      <c r="X27" s="93">
        <v>1.77E-2</v>
      </c>
      <c r="Y27" s="93">
        <v>1.8499999999999999E-2</v>
      </c>
      <c r="Z27" s="93">
        <v>1.9300000000000001E-2</v>
      </c>
      <c r="AA27" s="93">
        <v>2.0199999999999999E-2</v>
      </c>
      <c r="AD27" s="74">
        <v>21</v>
      </c>
      <c r="AE27" s="93">
        <v>2.1000000000000001E-2</v>
      </c>
      <c r="AF27" s="93">
        <v>2.18E-2</v>
      </c>
      <c r="AG27" s="93">
        <v>2.2700000000000001E-2</v>
      </c>
      <c r="AH27" s="93">
        <v>2.35E-2</v>
      </c>
      <c r="AI27" s="93">
        <v>2.4299999999999999E-2</v>
      </c>
      <c r="AJ27" s="93">
        <v>2.52E-2</v>
      </c>
      <c r="AK27" s="93">
        <v>2.5999999999999999E-2</v>
      </c>
      <c r="AL27" s="93">
        <v>2.6800000000000001E-2</v>
      </c>
      <c r="AM27" s="93">
        <v>2.7699999999999999E-2</v>
      </c>
      <c r="AN27" s="93">
        <v>2.8500000000000001E-2</v>
      </c>
      <c r="AO27" s="93">
        <v>2.93E-2</v>
      </c>
      <c r="AP27" s="93">
        <v>3.0200000000000001E-2</v>
      </c>
      <c r="AS27" s="74">
        <v>21</v>
      </c>
      <c r="AT27" s="94">
        <v>3.1E-2</v>
      </c>
    </row>
    <row r="28" spans="1:46" x14ac:dyDescent="0.25">
      <c r="A28" s="74">
        <v>22</v>
      </c>
      <c r="B28" s="93">
        <v>8.9999999999999998E-4</v>
      </c>
      <c r="C28" s="93">
        <v>1.8E-3</v>
      </c>
      <c r="D28" s="93">
        <v>2.8E-3</v>
      </c>
      <c r="E28" s="93">
        <v>3.7000000000000002E-3</v>
      </c>
      <c r="F28" s="93">
        <v>4.5999999999999999E-3</v>
      </c>
      <c r="G28" s="93">
        <v>5.4999999999999997E-3</v>
      </c>
      <c r="H28" s="93">
        <v>6.4000000000000003E-3</v>
      </c>
      <c r="I28" s="93">
        <v>7.3000000000000001E-3</v>
      </c>
      <c r="J28" s="93">
        <v>8.3000000000000001E-3</v>
      </c>
      <c r="K28" s="93">
        <v>9.1999999999999998E-3</v>
      </c>
      <c r="L28" s="93">
        <v>1.01E-2</v>
      </c>
      <c r="O28" s="74">
        <v>22</v>
      </c>
      <c r="P28" s="93">
        <v>1.0999999999999999E-2</v>
      </c>
      <c r="Q28" s="93">
        <v>1.18E-2</v>
      </c>
      <c r="R28" s="93">
        <v>1.2699999999999999E-2</v>
      </c>
      <c r="S28" s="93">
        <v>1.35E-2</v>
      </c>
      <c r="T28" s="93">
        <v>1.43E-2</v>
      </c>
      <c r="U28" s="93">
        <v>1.52E-2</v>
      </c>
      <c r="V28" s="93">
        <v>1.6E-2</v>
      </c>
      <c r="W28" s="93">
        <v>1.6799999999999999E-2</v>
      </c>
      <c r="X28" s="93">
        <v>1.77E-2</v>
      </c>
      <c r="Y28" s="93">
        <v>1.8499999999999999E-2</v>
      </c>
      <c r="Z28" s="93">
        <v>1.9300000000000001E-2</v>
      </c>
      <c r="AA28" s="93">
        <v>2.0199999999999999E-2</v>
      </c>
      <c r="AD28" s="74">
        <v>22</v>
      </c>
      <c r="AE28" s="93">
        <v>2.1000000000000001E-2</v>
      </c>
      <c r="AF28" s="93">
        <v>2.1899999999999999E-2</v>
      </c>
      <c r="AG28" s="93">
        <v>2.2800000000000001E-2</v>
      </c>
      <c r="AH28" s="93">
        <v>2.3800000000000002E-2</v>
      </c>
      <c r="AI28" s="93">
        <v>2.47E-2</v>
      </c>
      <c r="AJ28" s="93">
        <v>2.5600000000000001E-2</v>
      </c>
      <c r="AK28" s="93">
        <v>2.6499999999999999E-2</v>
      </c>
      <c r="AL28" s="93">
        <v>2.7400000000000001E-2</v>
      </c>
      <c r="AM28" s="93">
        <v>2.8299999999999999E-2</v>
      </c>
      <c r="AN28" s="93">
        <v>2.93E-2</v>
      </c>
      <c r="AO28" s="93">
        <v>3.0200000000000001E-2</v>
      </c>
      <c r="AP28" s="93">
        <v>3.1099999999999999E-2</v>
      </c>
      <c r="AS28" s="74">
        <v>22</v>
      </c>
      <c r="AT28" s="94">
        <v>3.2000000000000001E-2</v>
      </c>
    </row>
    <row r="29" spans="1:46" x14ac:dyDescent="0.25">
      <c r="A29" s="74">
        <v>23</v>
      </c>
      <c r="B29" s="93">
        <v>8.9999999999999998E-4</v>
      </c>
      <c r="C29" s="93">
        <v>1.8E-3</v>
      </c>
      <c r="D29" s="93">
        <v>2.8E-3</v>
      </c>
      <c r="E29" s="93">
        <v>3.7000000000000002E-3</v>
      </c>
      <c r="F29" s="93">
        <v>4.5999999999999999E-3</v>
      </c>
      <c r="G29" s="93">
        <v>5.4999999999999997E-3</v>
      </c>
      <c r="H29" s="93">
        <v>6.4000000000000003E-3</v>
      </c>
      <c r="I29" s="93">
        <v>7.3000000000000001E-3</v>
      </c>
      <c r="J29" s="93">
        <v>8.3000000000000001E-3</v>
      </c>
      <c r="K29" s="93">
        <v>9.1999999999999998E-3</v>
      </c>
      <c r="L29" s="93">
        <v>1.01E-2</v>
      </c>
      <c r="O29" s="74">
        <v>23</v>
      </c>
      <c r="P29" s="93">
        <v>1.0999999999999999E-2</v>
      </c>
      <c r="Q29" s="93">
        <v>1.1900000000000001E-2</v>
      </c>
      <c r="R29" s="93">
        <v>1.2800000000000001E-2</v>
      </c>
      <c r="S29" s="93">
        <v>1.38E-2</v>
      </c>
      <c r="T29" s="93">
        <v>1.47E-2</v>
      </c>
      <c r="U29" s="93">
        <v>1.5599999999999999E-2</v>
      </c>
      <c r="V29" s="93">
        <v>1.6500000000000001E-2</v>
      </c>
      <c r="W29" s="93">
        <v>1.7399999999999999E-2</v>
      </c>
      <c r="X29" s="93">
        <v>1.83E-2</v>
      </c>
      <c r="Y29" s="93">
        <v>1.9300000000000001E-2</v>
      </c>
      <c r="Z29" s="93">
        <v>2.0199999999999999E-2</v>
      </c>
      <c r="AA29" s="93">
        <v>2.1100000000000001E-2</v>
      </c>
      <c r="AD29" s="74">
        <v>23</v>
      </c>
      <c r="AE29" s="93">
        <v>2.1999999999999999E-2</v>
      </c>
      <c r="AF29" s="93">
        <v>2.2800000000000001E-2</v>
      </c>
      <c r="AG29" s="93">
        <v>2.3699999999999999E-2</v>
      </c>
      <c r="AH29" s="93">
        <v>2.4500000000000001E-2</v>
      </c>
      <c r="AI29" s="93">
        <v>2.53E-2</v>
      </c>
      <c r="AJ29" s="93">
        <v>2.6200000000000001E-2</v>
      </c>
      <c r="AK29" s="93">
        <v>2.7E-2</v>
      </c>
      <c r="AL29" s="93">
        <v>2.7799999999999998E-2</v>
      </c>
      <c r="AM29" s="93">
        <v>2.87E-2</v>
      </c>
      <c r="AN29" s="93">
        <v>2.9499999999999998E-2</v>
      </c>
      <c r="AO29" s="93">
        <v>3.0300000000000001E-2</v>
      </c>
      <c r="AP29" s="93">
        <v>3.1199999999999999E-2</v>
      </c>
      <c r="AS29" s="74">
        <v>23</v>
      </c>
      <c r="AT29" s="94">
        <v>3.2000000000000001E-2</v>
      </c>
    </row>
    <row r="30" spans="1:46" x14ac:dyDescent="0.25">
      <c r="A30" s="74">
        <v>24</v>
      </c>
      <c r="B30" s="93">
        <v>8.9999999999999998E-4</v>
      </c>
      <c r="C30" s="93">
        <v>1.8E-3</v>
      </c>
      <c r="D30" s="93">
        <v>2.8E-3</v>
      </c>
      <c r="E30" s="93">
        <v>3.7000000000000002E-3</v>
      </c>
      <c r="F30" s="93">
        <v>4.5999999999999999E-3</v>
      </c>
      <c r="G30" s="93">
        <v>5.4999999999999997E-3</v>
      </c>
      <c r="H30" s="93">
        <v>6.4000000000000003E-3</v>
      </c>
      <c r="I30" s="93">
        <v>7.3000000000000001E-3</v>
      </c>
      <c r="J30" s="93">
        <v>8.3000000000000001E-3</v>
      </c>
      <c r="K30" s="93">
        <v>9.1999999999999998E-3</v>
      </c>
      <c r="L30" s="93">
        <v>1.01E-2</v>
      </c>
      <c r="O30" s="74">
        <v>24</v>
      </c>
      <c r="P30" s="93">
        <v>1.0999999999999999E-2</v>
      </c>
      <c r="Q30" s="93">
        <v>1.1900000000000001E-2</v>
      </c>
      <c r="R30" s="93">
        <v>1.2800000000000001E-2</v>
      </c>
      <c r="S30" s="93">
        <v>1.38E-2</v>
      </c>
      <c r="T30" s="93">
        <v>1.47E-2</v>
      </c>
      <c r="U30" s="93">
        <v>1.5599999999999999E-2</v>
      </c>
      <c r="V30" s="93">
        <v>1.6500000000000001E-2</v>
      </c>
      <c r="W30" s="93">
        <v>1.7399999999999999E-2</v>
      </c>
      <c r="X30" s="93">
        <v>1.83E-2</v>
      </c>
      <c r="Y30" s="93">
        <v>1.9300000000000001E-2</v>
      </c>
      <c r="Z30" s="93">
        <v>2.0199999999999999E-2</v>
      </c>
      <c r="AA30" s="93">
        <v>2.1100000000000001E-2</v>
      </c>
      <c r="AD30" s="74">
        <v>24</v>
      </c>
      <c r="AE30" s="93">
        <v>2.1999999999999999E-2</v>
      </c>
      <c r="AF30" s="93">
        <v>2.29E-2</v>
      </c>
      <c r="AG30" s="93">
        <v>2.3800000000000002E-2</v>
      </c>
      <c r="AH30" s="93">
        <v>2.4799999999999999E-2</v>
      </c>
      <c r="AI30" s="93">
        <v>2.5700000000000001E-2</v>
      </c>
      <c r="AJ30" s="93">
        <v>2.6599999999999999E-2</v>
      </c>
      <c r="AK30" s="93">
        <v>2.75E-2</v>
      </c>
      <c r="AL30" s="93">
        <v>2.8400000000000002E-2</v>
      </c>
      <c r="AM30" s="93">
        <v>2.93E-2</v>
      </c>
      <c r="AN30" s="93">
        <v>3.0300000000000001E-2</v>
      </c>
      <c r="AO30" s="93">
        <v>3.1199999999999999E-2</v>
      </c>
      <c r="AP30" s="93">
        <v>3.2099999999999997E-2</v>
      </c>
      <c r="AS30" s="74">
        <v>24</v>
      </c>
      <c r="AT30" s="94">
        <v>3.3000000000000002E-2</v>
      </c>
    </row>
    <row r="31" spans="1:46" x14ac:dyDescent="0.25">
      <c r="A31" s="74">
        <v>25</v>
      </c>
      <c r="B31" s="93">
        <v>8.9999999999999998E-4</v>
      </c>
      <c r="C31" s="93">
        <v>1.8E-3</v>
      </c>
      <c r="D31" s="93">
        <v>2.8E-3</v>
      </c>
      <c r="E31" s="93">
        <v>3.7000000000000002E-3</v>
      </c>
      <c r="F31" s="93">
        <v>4.5999999999999999E-3</v>
      </c>
      <c r="G31" s="93">
        <v>5.4999999999999997E-3</v>
      </c>
      <c r="H31" s="93">
        <v>6.4000000000000003E-3</v>
      </c>
      <c r="I31" s="93">
        <v>7.3000000000000001E-3</v>
      </c>
      <c r="J31" s="93">
        <v>8.3000000000000001E-3</v>
      </c>
      <c r="K31" s="93">
        <v>9.1999999999999998E-3</v>
      </c>
      <c r="L31" s="93">
        <v>1.01E-2</v>
      </c>
      <c r="O31" s="74">
        <v>25</v>
      </c>
      <c r="P31" s="93">
        <v>1.0999999999999999E-2</v>
      </c>
      <c r="Q31" s="93">
        <v>1.2E-2</v>
      </c>
      <c r="R31" s="93">
        <v>1.2999999999999999E-2</v>
      </c>
      <c r="S31" s="93">
        <v>1.4E-2</v>
      </c>
      <c r="T31" s="93">
        <v>1.4999999999999999E-2</v>
      </c>
      <c r="U31" s="93">
        <v>1.6E-2</v>
      </c>
      <c r="V31" s="93">
        <v>1.7000000000000001E-2</v>
      </c>
      <c r="W31" s="93">
        <v>1.7999999999999999E-2</v>
      </c>
      <c r="X31" s="93">
        <v>1.9E-2</v>
      </c>
      <c r="Y31" s="93">
        <v>0.02</v>
      </c>
      <c r="Z31" s="93">
        <v>2.1000000000000001E-2</v>
      </c>
      <c r="AA31" s="93">
        <v>2.1999999999999999E-2</v>
      </c>
      <c r="AD31" s="74">
        <v>25</v>
      </c>
      <c r="AE31" s="93">
        <v>2.3E-2</v>
      </c>
      <c r="AF31" s="93">
        <v>2.3900000000000001E-2</v>
      </c>
      <c r="AG31" s="93">
        <v>2.4799999999999999E-2</v>
      </c>
      <c r="AH31" s="93">
        <v>2.58E-2</v>
      </c>
      <c r="AI31" s="93">
        <v>2.6700000000000002E-2</v>
      </c>
      <c r="AJ31" s="93">
        <v>2.76E-2</v>
      </c>
      <c r="AK31" s="93">
        <v>2.8500000000000001E-2</v>
      </c>
      <c r="AL31" s="93">
        <v>2.9399999999999999E-2</v>
      </c>
      <c r="AM31" s="93">
        <v>3.0300000000000001E-2</v>
      </c>
      <c r="AN31" s="93">
        <v>3.1300000000000001E-2</v>
      </c>
      <c r="AO31" s="93">
        <v>3.2199999999999999E-2</v>
      </c>
      <c r="AP31" s="93">
        <v>3.3099999999999997E-2</v>
      </c>
      <c r="AS31" s="74">
        <v>25</v>
      </c>
      <c r="AT31" s="94">
        <v>3.4000000000000002E-2</v>
      </c>
    </row>
    <row r="32" spans="1:46" x14ac:dyDescent="0.25">
      <c r="A32" s="74">
        <v>26</v>
      </c>
      <c r="B32" s="93">
        <v>1E-3</v>
      </c>
      <c r="C32" s="93">
        <v>2E-3</v>
      </c>
      <c r="D32" s="93">
        <v>3.0000000000000001E-3</v>
      </c>
      <c r="E32" s="93">
        <v>4.0000000000000001E-3</v>
      </c>
      <c r="F32" s="93">
        <v>5.0000000000000001E-3</v>
      </c>
      <c r="G32" s="93">
        <v>6.0000000000000001E-3</v>
      </c>
      <c r="H32" s="93">
        <v>7.0000000000000001E-3</v>
      </c>
      <c r="I32" s="93">
        <v>8.0000000000000002E-3</v>
      </c>
      <c r="J32" s="93">
        <v>8.9999999999999993E-3</v>
      </c>
      <c r="K32" s="93">
        <v>0.01</v>
      </c>
      <c r="L32" s="93">
        <v>1.0999999999999999E-2</v>
      </c>
      <c r="O32" s="74">
        <v>26</v>
      </c>
      <c r="P32" s="93">
        <v>1.2E-2</v>
      </c>
      <c r="Q32" s="93">
        <v>1.29E-2</v>
      </c>
      <c r="R32" s="93">
        <v>1.38E-2</v>
      </c>
      <c r="S32" s="93">
        <v>1.4800000000000001E-2</v>
      </c>
      <c r="T32" s="93">
        <v>1.5699999999999999E-2</v>
      </c>
      <c r="U32" s="93">
        <v>1.66E-2</v>
      </c>
      <c r="V32" s="93">
        <v>1.7500000000000002E-2</v>
      </c>
      <c r="W32" s="93">
        <v>1.84E-2</v>
      </c>
      <c r="X32" s="93">
        <v>1.9300000000000001E-2</v>
      </c>
      <c r="Y32" s="93">
        <v>2.0299999999999999E-2</v>
      </c>
      <c r="Z32" s="93">
        <v>2.12E-2</v>
      </c>
      <c r="AA32" s="93">
        <v>2.2100000000000002E-2</v>
      </c>
      <c r="AD32" s="74">
        <v>26</v>
      </c>
      <c r="AE32" s="93">
        <v>2.3E-2</v>
      </c>
      <c r="AF32" s="93">
        <v>2.3900000000000001E-2</v>
      </c>
      <c r="AG32" s="93">
        <v>2.4799999999999999E-2</v>
      </c>
      <c r="AH32" s="93">
        <v>2.58E-2</v>
      </c>
      <c r="AI32" s="93">
        <v>2.6700000000000002E-2</v>
      </c>
      <c r="AJ32" s="93">
        <v>2.76E-2</v>
      </c>
      <c r="AK32" s="93">
        <v>2.8500000000000001E-2</v>
      </c>
      <c r="AL32" s="93">
        <v>2.9399999999999999E-2</v>
      </c>
      <c r="AM32" s="93">
        <v>3.0300000000000001E-2</v>
      </c>
      <c r="AN32" s="93">
        <v>3.1300000000000001E-2</v>
      </c>
      <c r="AO32" s="93">
        <v>3.2199999999999999E-2</v>
      </c>
      <c r="AP32" s="93">
        <v>3.3099999999999997E-2</v>
      </c>
      <c r="AS32" s="74">
        <v>26</v>
      </c>
      <c r="AT32" s="94">
        <v>3.4000000000000002E-2</v>
      </c>
    </row>
    <row r="33" spans="1:46" x14ac:dyDescent="0.25">
      <c r="A33" s="74">
        <v>27</v>
      </c>
      <c r="B33" s="93">
        <v>1E-3</v>
      </c>
      <c r="C33" s="93">
        <v>2E-3</v>
      </c>
      <c r="D33" s="93">
        <v>3.0000000000000001E-3</v>
      </c>
      <c r="E33" s="93">
        <v>4.0000000000000001E-3</v>
      </c>
      <c r="F33" s="93">
        <v>5.0000000000000001E-3</v>
      </c>
      <c r="G33" s="93">
        <v>6.0000000000000001E-3</v>
      </c>
      <c r="H33" s="93">
        <v>7.0000000000000001E-3</v>
      </c>
      <c r="I33" s="93">
        <v>8.0000000000000002E-3</v>
      </c>
      <c r="J33" s="93">
        <v>8.9999999999999993E-3</v>
      </c>
      <c r="K33" s="93">
        <v>0.01</v>
      </c>
      <c r="L33" s="93">
        <v>1.0999999999999999E-2</v>
      </c>
      <c r="O33" s="74">
        <v>27</v>
      </c>
      <c r="P33" s="93">
        <v>1.2E-2</v>
      </c>
      <c r="Q33" s="93">
        <v>1.29E-2</v>
      </c>
      <c r="R33" s="93">
        <v>1.38E-2</v>
      </c>
      <c r="S33" s="93">
        <v>1.4800000000000001E-2</v>
      </c>
      <c r="T33" s="93">
        <v>1.5699999999999999E-2</v>
      </c>
      <c r="U33" s="93">
        <v>1.66E-2</v>
      </c>
      <c r="V33" s="93">
        <v>1.7500000000000002E-2</v>
      </c>
      <c r="W33" s="93">
        <v>1.84E-2</v>
      </c>
      <c r="X33" s="93">
        <v>1.9300000000000001E-2</v>
      </c>
      <c r="Y33" s="93">
        <v>2.0299999999999999E-2</v>
      </c>
      <c r="Z33" s="93">
        <v>2.12E-2</v>
      </c>
      <c r="AA33" s="93">
        <v>2.2100000000000002E-2</v>
      </c>
      <c r="AD33" s="74">
        <v>27</v>
      </c>
      <c r="AE33" s="93">
        <v>2.3E-2</v>
      </c>
      <c r="AF33" s="93">
        <v>2.4E-2</v>
      </c>
      <c r="AG33" s="93">
        <v>2.5000000000000001E-2</v>
      </c>
      <c r="AH33" s="93">
        <v>2.5999999999999999E-2</v>
      </c>
      <c r="AI33" s="93">
        <v>2.7E-2</v>
      </c>
      <c r="AJ33" s="93">
        <v>2.8000000000000001E-2</v>
      </c>
      <c r="AK33" s="93">
        <v>2.9000000000000001E-2</v>
      </c>
      <c r="AL33" s="93">
        <v>0.03</v>
      </c>
      <c r="AM33" s="93">
        <v>3.1E-2</v>
      </c>
      <c r="AN33" s="93">
        <v>3.2000000000000001E-2</v>
      </c>
      <c r="AO33" s="93">
        <v>3.3000000000000002E-2</v>
      </c>
      <c r="AP33" s="93">
        <v>3.4000000000000002E-2</v>
      </c>
      <c r="AS33" s="74">
        <v>27</v>
      </c>
      <c r="AT33" s="94">
        <v>3.5000000000000003E-2</v>
      </c>
    </row>
    <row r="34" spans="1:46" x14ac:dyDescent="0.25">
      <c r="A34" s="74">
        <v>28</v>
      </c>
      <c r="B34" s="93">
        <v>1E-3</v>
      </c>
      <c r="C34" s="93">
        <v>2E-3</v>
      </c>
      <c r="D34" s="93">
        <v>3.0000000000000001E-3</v>
      </c>
      <c r="E34" s="93">
        <v>4.0000000000000001E-3</v>
      </c>
      <c r="F34" s="93">
        <v>5.0000000000000001E-3</v>
      </c>
      <c r="G34" s="93">
        <v>6.0000000000000001E-3</v>
      </c>
      <c r="H34" s="93">
        <v>7.0000000000000001E-3</v>
      </c>
      <c r="I34" s="93">
        <v>8.0000000000000002E-3</v>
      </c>
      <c r="J34" s="93">
        <v>8.9999999999999993E-3</v>
      </c>
      <c r="K34" s="93">
        <v>0.01</v>
      </c>
      <c r="L34" s="93">
        <v>1.0999999999999999E-2</v>
      </c>
      <c r="O34" s="74">
        <v>28</v>
      </c>
      <c r="P34" s="93">
        <v>1.2E-2</v>
      </c>
      <c r="Q34" s="93">
        <v>1.2999999999999999E-2</v>
      </c>
      <c r="R34" s="93">
        <v>1.4E-2</v>
      </c>
      <c r="S34" s="93">
        <v>1.4999999999999999E-2</v>
      </c>
      <c r="T34" s="93">
        <v>1.6E-2</v>
      </c>
      <c r="U34" s="93">
        <v>1.7000000000000001E-2</v>
      </c>
      <c r="V34" s="93">
        <v>1.7999999999999999E-2</v>
      </c>
      <c r="W34" s="93">
        <v>1.9E-2</v>
      </c>
      <c r="X34" s="93">
        <v>0.02</v>
      </c>
      <c r="Y34" s="93">
        <v>2.1000000000000001E-2</v>
      </c>
      <c r="Z34" s="93">
        <v>2.1999999999999999E-2</v>
      </c>
      <c r="AA34" s="93">
        <v>2.3E-2</v>
      </c>
      <c r="AD34" s="74">
        <v>28</v>
      </c>
      <c r="AE34" s="93">
        <v>2.4E-2</v>
      </c>
      <c r="AF34" s="93">
        <v>2.4899999999999999E-2</v>
      </c>
      <c r="AG34" s="93">
        <v>2.58E-2</v>
      </c>
      <c r="AH34" s="93">
        <v>2.6800000000000001E-2</v>
      </c>
      <c r="AI34" s="93">
        <v>2.7699999999999999E-2</v>
      </c>
      <c r="AJ34" s="93">
        <v>2.86E-2</v>
      </c>
      <c r="AK34" s="93">
        <v>2.9499999999999998E-2</v>
      </c>
      <c r="AL34" s="93">
        <v>3.04E-2</v>
      </c>
      <c r="AM34" s="93">
        <v>3.1300000000000001E-2</v>
      </c>
      <c r="AN34" s="93">
        <v>3.2300000000000002E-2</v>
      </c>
      <c r="AO34" s="93">
        <v>3.32E-2</v>
      </c>
      <c r="AP34" s="93">
        <v>3.4099999999999998E-2</v>
      </c>
      <c r="AS34" s="74">
        <v>28</v>
      </c>
      <c r="AT34" s="94">
        <v>3.5000000000000003E-2</v>
      </c>
    </row>
    <row r="35" spans="1:46" x14ac:dyDescent="0.25">
      <c r="A35" s="74">
        <v>29</v>
      </c>
      <c r="B35" s="93">
        <v>1E-3</v>
      </c>
      <c r="C35" s="93">
        <v>2E-3</v>
      </c>
      <c r="D35" s="93">
        <v>3.0000000000000001E-3</v>
      </c>
      <c r="E35" s="93">
        <v>4.0000000000000001E-3</v>
      </c>
      <c r="F35" s="93">
        <v>5.0000000000000001E-3</v>
      </c>
      <c r="G35" s="93">
        <v>6.0000000000000001E-3</v>
      </c>
      <c r="H35" s="93">
        <v>7.0000000000000001E-3</v>
      </c>
      <c r="I35" s="93">
        <v>8.0000000000000002E-3</v>
      </c>
      <c r="J35" s="93">
        <v>8.9999999999999993E-3</v>
      </c>
      <c r="K35" s="93">
        <v>0.01</v>
      </c>
      <c r="L35" s="93">
        <v>1.0999999999999999E-2</v>
      </c>
      <c r="O35" s="74">
        <v>29</v>
      </c>
      <c r="P35" s="93">
        <v>1.2E-2</v>
      </c>
      <c r="Q35" s="93">
        <v>1.2999999999999999E-2</v>
      </c>
      <c r="R35" s="93">
        <v>1.4E-2</v>
      </c>
      <c r="S35" s="93">
        <v>1.4999999999999999E-2</v>
      </c>
      <c r="T35" s="93">
        <v>1.6E-2</v>
      </c>
      <c r="U35" s="93">
        <v>1.7000000000000001E-2</v>
      </c>
      <c r="V35" s="93">
        <v>1.7999999999999999E-2</v>
      </c>
      <c r="W35" s="93">
        <v>1.9E-2</v>
      </c>
      <c r="X35" s="93">
        <v>0.02</v>
      </c>
      <c r="Y35" s="93">
        <v>2.1000000000000001E-2</v>
      </c>
      <c r="Z35" s="93">
        <v>2.1999999999999999E-2</v>
      </c>
      <c r="AA35" s="93">
        <v>2.3E-2</v>
      </c>
      <c r="AD35" s="74">
        <v>29</v>
      </c>
      <c r="AE35" s="93">
        <v>2.4E-2</v>
      </c>
      <c r="AF35" s="93">
        <v>2.5000000000000001E-2</v>
      </c>
      <c r="AG35" s="93">
        <v>2.5999999999999999E-2</v>
      </c>
      <c r="AH35" s="93">
        <v>2.7E-2</v>
      </c>
      <c r="AI35" s="93">
        <v>2.8000000000000001E-2</v>
      </c>
      <c r="AJ35" s="93">
        <v>2.9000000000000001E-2</v>
      </c>
      <c r="AK35" s="93">
        <v>0.03</v>
      </c>
      <c r="AL35" s="93">
        <v>3.1E-2</v>
      </c>
      <c r="AM35" s="93">
        <v>3.2000000000000001E-2</v>
      </c>
      <c r="AN35" s="93">
        <v>3.3000000000000002E-2</v>
      </c>
      <c r="AO35" s="93">
        <v>3.4000000000000002E-2</v>
      </c>
      <c r="AP35" s="93">
        <v>3.5000000000000003E-2</v>
      </c>
      <c r="AS35" s="74">
        <v>29</v>
      </c>
      <c r="AT35" s="94">
        <v>3.5999999999999997E-2</v>
      </c>
    </row>
    <row r="36" spans="1:46" x14ac:dyDescent="0.25">
      <c r="A36" s="74">
        <v>30</v>
      </c>
      <c r="B36" s="93">
        <v>1E-3</v>
      </c>
      <c r="C36" s="93">
        <v>2E-3</v>
      </c>
      <c r="D36" s="93">
        <v>3.0000000000000001E-3</v>
      </c>
      <c r="E36" s="93">
        <v>4.0000000000000001E-3</v>
      </c>
      <c r="F36" s="93">
        <v>5.0000000000000001E-3</v>
      </c>
      <c r="G36" s="93">
        <v>6.0000000000000001E-3</v>
      </c>
      <c r="H36" s="93">
        <v>7.0000000000000001E-3</v>
      </c>
      <c r="I36" s="93">
        <v>8.0000000000000002E-3</v>
      </c>
      <c r="J36" s="93">
        <v>8.9999999999999993E-3</v>
      </c>
      <c r="K36" s="93">
        <v>0.01</v>
      </c>
      <c r="L36" s="93">
        <v>1.0999999999999999E-2</v>
      </c>
      <c r="O36" s="74">
        <v>30</v>
      </c>
      <c r="P36" s="93">
        <v>1.2E-2</v>
      </c>
      <c r="Q36" s="93">
        <v>1.3100000000000001E-2</v>
      </c>
      <c r="R36" s="93">
        <v>1.4200000000000001E-2</v>
      </c>
      <c r="S36" s="93">
        <v>1.5299999999999999E-2</v>
      </c>
      <c r="T36" s="93">
        <v>1.6299999999999999E-2</v>
      </c>
      <c r="U36" s="93">
        <v>1.7399999999999999E-2</v>
      </c>
      <c r="V36" s="93">
        <v>1.8499999999999999E-2</v>
      </c>
      <c r="W36" s="93">
        <v>1.9599999999999999E-2</v>
      </c>
      <c r="X36" s="93">
        <v>2.07E-2</v>
      </c>
      <c r="Y36" s="93">
        <v>2.18E-2</v>
      </c>
      <c r="Z36" s="93">
        <v>2.2800000000000001E-2</v>
      </c>
      <c r="AA36" s="93">
        <v>2.3900000000000001E-2</v>
      </c>
      <c r="AD36" s="74">
        <v>30</v>
      </c>
      <c r="AE36" s="93">
        <v>2.5000000000000001E-2</v>
      </c>
      <c r="AF36" s="93">
        <v>2.5899999999999999E-2</v>
      </c>
      <c r="AG36" s="93">
        <v>2.6800000000000001E-2</v>
      </c>
      <c r="AH36" s="93">
        <v>2.7799999999999998E-2</v>
      </c>
      <c r="AI36" s="93">
        <v>2.87E-2</v>
      </c>
      <c r="AJ36" s="93">
        <v>2.9600000000000001E-2</v>
      </c>
      <c r="AK36" s="93">
        <v>3.0499999999999999E-2</v>
      </c>
      <c r="AL36" s="93">
        <v>3.1399999999999997E-2</v>
      </c>
      <c r="AM36" s="93">
        <v>3.2300000000000002E-2</v>
      </c>
      <c r="AN36" s="93">
        <v>3.3300000000000003E-2</v>
      </c>
      <c r="AO36" s="93">
        <v>3.4200000000000001E-2</v>
      </c>
      <c r="AP36" s="93">
        <v>3.5099999999999999E-2</v>
      </c>
      <c r="AS36" s="74">
        <v>30</v>
      </c>
      <c r="AT36" s="94">
        <v>3.5999999999999997E-2</v>
      </c>
    </row>
    <row r="37" spans="1:46" x14ac:dyDescent="0.25">
      <c r="A37" s="74">
        <v>31</v>
      </c>
      <c r="B37" s="93">
        <v>1.1000000000000001E-3</v>
      </c>
      <c r="C37" s="93">
        <v>2.2000000000000001E-3</v>
      </c>
      <c r="D37" s="93">
        <v>3.3E-3</v>
      </c>
      <c r="E37" s="93">
        <v>4.3E-3</v>
      </c>
      <c r="F37" s="93">
        <v>5.4000000000000003E-3</v>
      </c>
      <c r="G37" s="93">
        <v>6.4999999999999997E-3</v>
      </c>
      <c r="H37" s="93">
        <v>7.6E-3</v>
      </c>
      <c r="I37" s="93">
        <v>8.6999999999999994E-3</v>
      </c>
      <c r="J37" s="93">
        <v>9.7999999999999997E-3</v>
      </c>
      <c r="K37" s="93">
        <v>1.0800000000000001E-2</v>
      </c>
      <c r="L37" s="93">
        <v>1.1900000000000001E-2</v>
      </c>
      <c r="O37" s="74">
        <v>31</v>
      </c>
      <c r="P37" s="93">
        <v>1.2999999999999999E-2</v>
      </c>
      <c r="Q37" s="93">
        <v>1.4E-2</v>
      </c>
      <c r="R37" s="93">
        <v>1.4999999999999999E-2</v>
      </c>
      <c r="S37" s="93">
        <v>1.6E-2</v>
      </c>
      <c r="T37" s="93">
        <v>1.7000000000000001E-2</v>
      </c>
      <c r="U37" s="93">
        <v>1.7999999999999999E-2</v>
      </c>
      <c r="V37" s="93">
        <v>1.9E-2</v>
      </c>
      <c r="W37" s="93">
        <v>0.02</v>
      </c>
      <c r="X37" s="93">
        <v>2.1000000000000001E-2</v>
      </c>
      <c r="Y37" s="93">
        <v>2.1999999999999999E-2</v>
      </c>
      <c r="Z37" s="93">
        <v>2.3E-2</v>
      </c>
      <c r="AA37" s="93">
        <v>2.4E-2</v>
      </c>
      <c r="AD37" s="74">
        <v>31</v>
      </c>
      <c r="AE37" s="93">
        <v>2.5000000000000001E-2</v>
      </c>
      <c r="AF37" s="93">
        <v>2.5999999999999999E-2</v>
      </c>
      <c r="AG37" s="93">
        <v>2.7E-2</v>
      </c>
      <c r="AH37" s="93">
        <v>2.8000000000000001E-2</v>
      </c>
      <c r="AI37" s="93">
        <v>2.9000000000000001E-2</v>
      </c>
      <c r="AJ37" s="93">
        <v>0.03</v>
      </c>
      <c r="AK37" s="93">
        <v>3.1E-2</v>
      </c>
      <c r="AL37" s="93">
        <v>3.2000000000000001E-2</v>
      </c>
      <c r="AM37" s="93">
        <v>3.3000000000000002E-2</v>
      </c>
      <c r="AN37" s="93">
        <v>3.4000000000000002E-2</v>
      </c>
      <c r="AO37" s="93">
        <v>3.5000000000000003E-2</v>
      </c>
      <c r="AP37" s="93">
        <v>3.5999999999999997E-2</v>
      </c>
      <c r="AS37" s="74">
        <v>31</v>
      </c>
      <c r="AT37" s="94">
        <v>3.6999999999999998E-2</v>
      </c>
    </row>
    <row r="38" spans="1:46" x14ac:dyDescent="0.25">
      <c r="A38" s="74">
        <v>32</v>
      </c>
      <c r="B38" s="93">
        <v>1.1000000000000001E-3</v>
      </c>
      <c r="C38" s="93">
        <v>2.2000000000000001E-3</v>
      </c>
      <c r="D38" s="93">
        <v>3.3E-3</v>
      </c>
      <c r="E38" s="93">
        <v>4.3E-3</v>
      </c>
      <c r="F38" s="93">
        <v>5.4000000000000003E-3</v>
      </c>
      <c r="G38" s="93">
        <v>6.4999999999999997E-3</v>
      </c>
      <c r="H38" s="93">
        <v>7.6E-3</v>
      </c>
      <c r="I38" s="93">
        <v>8.6999999999999994E-3</v>
      </c>
      <c r="J38" s="93">
        <v>9.7999999999999997E-3</v>
      </c>
      <c r="K38" s="93">
        <v>1.0800000000000001E-2</v>
      </c>
      <c r="L38" s="93">
        <v>1.1900000000000001E-2</v>
      </c>
      <c r="O38" s="74">
        <v>32</v>
      </c>
      <c r="P38" s="93">
        <v>1.2999999999999999E-2</v>
      </c>
      <c r="Q38" s="93">
        <v>1.4E-2</v>
      </c>
      <c r="R38" s="93">
        <v>1.4999999999999999E-2</v>
      </c>
      <c r="S38" s="93">
        <v>1.6E-2</v>
      </c>
      <c r="T38" s="93">
        <v>1.7000000000000001E-2</v>
      </c>
      <c r="U38" s="93">
        <v>1.7999999999999999E-2</v>
      </c>
      <c r="V38" s="93">
        <v>1.9E-2</v>
      </c>
      <c r="W38" s="93">
        <v>0.02</v>
      </c>
      <c r="X38" s="93">
        <v>2.1000000000000001E-2</v>
      </c>
      <c r="Y38" s="93">
        <v>2.1999999999999999E-2</v>
      </c>
      <c r="Z38" s="93">
        <v>2.3E-2</v>
      </c>
      <c r="AA38" s="93">
        <v>2.4E-2</v>
      </c>
      <c r="AD38" s="74">
        <v>32</v>
      </c>
      <c r="AE38" s="93">
        <v>2.5000000000000001E-2</v>
      </c>
      <c r="AF38" s="93">
        <v>2.6100000000000002E-2</v>
      </c>
      <c r="AG38" s="93">
        <v>2.7199999999999998E-2</v>
      </c>
      <c r="AH38" s="93">
        <v>2.8299999999999999E-2</v>
      </c>
      <c r="AI38" s="93">
        <v>2.93E-2</v>
      </c>
      <c r="AJ38" s="93">
        <v>3.04E-2</v>
      </c>
      <c r="AK38" s="93">
        <v>3.15E-2</v>
      </c>
      <c r="AL38" s="93">
        <v>3.2599999999999997E-2</v>
      </c>
      <c r="AM38" s="93">
        <v>3.3700000000000001E-2</v>
      </c>
      <c r="AN38" s="93">
        <v>3.4799999999999998E-2</v>
      </c>
      <c r="AO38" s="93">
        <v>3.5799999999999998E-2</v>
      </c>
      <c r="AP38" s="93">
        <v>3.6900000000000002E-2</v>
      </c>
      <c r="AS38" s="74">
        <v>32</v>
      </c>
      <c r="AT38" s="94">
        <v>3.7999999999999999E-2</v>
      </c>
    </row>
    <row r="39" spans="1:46" x14ac:dyDescent="0.25">
      <c r="A39" s="74">
        <v>33</v>
      </c>
      <c r="B39" s="93">
        <v>1.1000000000000001E-3</v>
      </c>
      <c r="C39" s="93">
        <v>2.2000000000000001E-3</v>
      </c>
      <c r="D39" s="93">
        <v>3.3E-3</v>
      </c>
      <c r="E39" s="93">
        <v>4.3E-3</v>
      </c>
      <c r="F39" s="93">
        <v>5.4000000000000003E-3</v>
      </c>
      <c r="G39" s="93">
        <v>6.4999999999999997E-3</v>
      </c>
      <c r="H39" s="93">
        <v>7.6E-3</v>
      </c>
      <c r="I39" s="93">
        <v>8.6999999999999994E-3</v>
      </c>
      <c r="J39" s="93">
        <v>9.7999999999999997E-3</v>
      </c>
      <c r="K39" s="93">
        <v>1.0800000000000001E-2</v>
      </c>
      <c r="L39" s="93">
        <v>1.1900000000000001E-2</v>
      </c>
      <c r="O39" s="74">
        <v>33</v>
      </c>
      <c r="P39" s="93">
        <v>1.2999999999999999E-2</v>
      </c>
      <c r="Q39" s="93">
        <v>1.41E-2</v>
      </c>
      <c r="R39" s="93">
        <v>1.52E-2</v>
      </c>
      <c r="S39" s="93">
        <v>1.6299999999999999E-2</v>
      </c>
      <c r="T39" s="93">
        <v>1.7299999999999999E-2</v>
      </c>
      <c r="U39" s="93">
        <v>1.84E-2</v>
      </c>
      <c r="V39" s="93">
        <v>1.95E-2</v>
      </c>
      <c r="W39" s="93">
        <v>2.06E-2</v>
      </c>
      <c r="X39" s="93">
        <v>2.1700000000000001E-2</v>
      </c>
      <c r="Y39" s="93">
        <v>2.2800000000000001E-2</v>
      </c>
      <c r="Z39" s="93">
        <v>2.3800000000000002E-2</v>
      </c>
      <c r="AA39" s="93">
        <v>2.4899999999999999E-2</v>
      </c>
      <c r="AD39" s="74">
        <v>33</v>
      </c>
      <c r="AE39" s="93">
        <v>2.5999999999999999E-2</v>
      </c>
      <c r="AF39" s="93">
        <v>2.7E-2</v>
      </c>
      <c r="AG39" s="93">
        <v>2.8000000000000001E-2</v>
      </c>
      <c r="AH39" s="93">
        <v>2.9000000000000001E-2</v>
      </c>
      <c r="AI39" s="93">
        <v>0.03</v>
      </c>
      <c r="AJ39" s="93">
        <v>3.1E-2</v>
      </c>
      <c r="AK39" s="93">
        <v>3.2000000000000001E-2</v>
      </c>
      <c r="AL39" s="93">
        <v>3.3000000000000002E-2</v>
      </c>
      <c r="AM39" s="93">
        <v>3.4000000000000002E-2</v>
      </c>
      <c r="AN39" s="93">
        <v>3.5000000000000003E-2</v>
      </c>
      <c r="AO39" s="93">
        <v>3.5999999999999997E-2</v>
      </c>
      <c r="AP39" s="93">
        <v>3.6999999999999998E-2</v>
      </c>
      <c r="AS39" s="74">
        <v>33</v>
      </c>
      <c r="AT39" s="94">
        <v>3.7999999999999999E-2</v>
      </c>
    </row>
    <row r="40" spans="1:46" x14ac:dyDescent="0.25">
      <c r="A40" s="74">
        <v>34</v>
      </c>
      <c r="B40" s="93">
        <v>1.1000000000000001E-3</v>
      </c>
      <c r="C40" s="93">
        <v>2.2000000000000001E-3</v>
      </c>
      <c r="D40" s="93">
        <v>3.3E-3</v>
      </c>
      <c r="E40" s="93">
        <v>4.3E-3</v>
      </c>
      <c r="F40" s="93">
        <v>5.4000000000000003E-3</v>
      </c>
      <c r="G40" s="93">
        <v>6.4999999999999997E-3</v>
      </c>
      <c r="H40" s="93">
        <v>7.6E-3</v>
      </c>
      <c r="I40" s="93">
        <v>8.6999999999999994E-3</v>
      </c>
      <c r="J40" s="93">
        <v>9.7999999999999997E-3</v>
      </c>
      <c r="K40" s="93">
        <v>1.0800000000000001E-2</v>
      </c>
      <c r="L40" s="93">
        <v>1.1900000000000001E-2</v>
      </c>
      <c r="O40" s="74">
        <v>34</v>
      </c>
      <c r="P40" s="93">
        <v>1.2999999999999999E-2</v>
      </c>
      <c r="Q40" s="93">
        <v>1.41E-2</v>
      </c>
      <c r="R40" s="93">
        <v>1.52E-2</v>
      </c>
      <c r="S40" s="93">
        <v>1.6299999999999999E-2</v>
      </c>
      <c r="T40" s="93">
        <v>1.7299999999999999E-2</v>
      </c>
      <c r="U40" s="93">
        <v>1.84E-2</v>
      </c>
      <c r="V40" s="93">
        <v>1.95E-2</v>
      </c>
      <c r="W40" s="93">
        <v>2.06E-2</v>
      </c>
      <c r="X40" s="93">
        <v>2.1700000000000001E-2</v>
      </c>
      <c r="Y40" s="93">
        <v>2.2800000000000001E-2</v>
      </c>
      <c r="Z40" s="93">
        <v>2.3800000000000002E-2</v>
      </c>
      <c r="AA40" s="93">
        <v>2.4899999999999999E-2</v>
      </c>
      <c r="AD40" s="74">
        <v>34</v>
      </c>
      <c r="AE40" s="93">
        <v>2.5999999999999999E-2</v>
      </c>
      <c r="AF40" s="93">
        <v>2.7099999999999999E-2</v>
      </c>
      <c r="AG40" s="93">
        <v>2.8199999999999999E-2</v>
      </c>
      <c r="AH40" s="93">
        <v>2.93E-2</v>
      </c>
      <c r="AI40" s="93">
        <v>3.0300000000000001E-2</v>
      </c>
      <c r="AJ40" s="93">
        <v>3.1399999999999997E-2</v>
      </c>
      <c r="AK40" s="93">
        <v>3.2500000000000001E-2</v>
      </c>
      <c r="AL40" s="93">
        <v>3.3599999999999998E-2</v>
      </c>
      <c r="AM40" s="93">
        <v>3.4700000000000002E-2</v>
      </c>
      <c r="AN40" s="93">
        <v>3.5799999999999998E-2</v>
      </c>
      <c r="AO40" s="93">
        <v>3.6799999999999999E-2</v>
      </c>
      <c r="AP40" s="93">
        <v>3.7900000000000003E-2</v>
      </c>
      <c r="AS40" s="74">
        <v>34</v>
      </c>
      <c r="AT40" s="94">
        <v>3.9E-2</v>
      </c>
    </row>
    <row r="41" spans="1:46" x14ac:dyDescent="0.25">
      <c r="A41" s="74">
        <v>35</v>
      </c>
      <c r="B41" s="93">
        <v>1.1000000000000001E-3</v>
      </c>
      <c r="C41" s="93">
        <v>2.2000000000000001E-3</v>
      </c>
      <c r="D41" s="93">
        <v>3.3E-3</v>
      </c>
      <c r="E41" s="93">
        <v>4.3E-3</v>
      </c>
      <c r="F41" s="93">
        <v>5.4000000000000003E-3</v>
      </c>
      <c r="G41" s="93">
        <v>6.4999999999999997E-3</v>
      </c>
      <c r="H41" s="93">
        <v>7.6E-3</v>
      </c>
      <c r="I41" s="93">
        <v>8.6999999999999994E-3</v>
      </c>
      <c r="J41" s="93">
        <v>9.7999999999999997E-3</v>
      </c>
      <c r="K41" s="93">
        <v>1.0800000000000001E-2</v>
      </c>
      <c r="L41" s="93">
        <v>1.1900000000000001E-2</v>
      </c>
      <c r="O41" s="74">
        <v>35</v>
      </c>
      <c r="P41" s="93">
        <v>1.2999999999999999E-2</v>
      </c>
      <c r="Q41" s="93">
        <v>1.4200000000000001E-2</v>
      </c>
      <c r="R41" s="93">
        <v>1.5299999999999999E-2</v>
      </c>
      <c r="S41" s="93">
        <v>1.6500000000000001E-2</v>
      </c>
      <c r="T41" s="93">
        <v>1.77E-2</v>
      </c>
      <c r="U41" s="93">
        <v>1.8800000000000001E-2</v>
      </c>
      <c r="V41" s="93">
        <v>0.02</v>
      </c>
      <c r="W41" s="93">
        <v>2.12E-2</v>
      </c>
      <c r="X41" s="93">
        <v>2.23E-2</v>
      </c>
      <c r="Y41" s="93">
        <v>2.35E-2</v>
      </c>
      <c r="Z41" s="93">
        <v>2.47E-2</v>
      </c>
      <c r="AA41" s="93">
        <v>2.58E-2</v>
      </c>
      <c r="AD41" s="74">
        <v>35</v>
      </c>
      <c r="AE41" s="93">
        <v>2.7E-2</v>
      </c>
      <c r="AF41" s="93">
        <v>2.81E-2</v>
      </c>
      <c r="AG41" s="93">
        <v>2.92E-2</v>
      </c>
      <c r="AH41" s="93">
        <v>3.0300000000000001E-2</v>
      </c>
      <c r="AI41" s="93">
        <v>3.1300000000000001E-2</v>
      </c>
      <c r="AJ41" s="93">
        <v>3.2399999999999998E-2</v>
      </c>
      <c r="AK41" s="93">
        <v>3.3500000000000002E-2</v>
      </c>
      <c r="AL41" s="93">
        <v>3.4599999999999999E-2</v>
      </c>
      <c r="AM41" s="93">
        <v>3.5700000000000003E-2</v>
      </c>
      <c r="AN41" s="93">
        <v>3.6799999999999999E-2</v>
      </c>
      <c r="AO41" s="93">
        <v>3.78E-2</v>
      </c>
      <c r="AP41" s="93">
        <v>3.8899999999999997E-2</v>
      </c>
      <c r="AS41" s="74">
        <v>35</v>
      </c>
      <c r="AT41" s="94">
        <v>0.04</v>
      </c>
    </row>
    <row r="42" spans="1:46" x14ac:dyDescent="0.25">
      <c r="A42" s="74">
        <v>36</v>
      </c>
      <c r="B42" s="93">
        <v>1.1999999999999999E-3</v>
      </c>
      <c r="C42" s="93">
        <v>2.3E-3</v>
      </c>
      <c r="D42" s="93">
        <v>3.5000000000000001E-3</v>
      </c>
      <c r="E42" s="93">
        <v>4.7000000000000002E-3</v>
      </c>
      <c r="F42" s="93">
        <v>5.7999999999999996E-3</v>
      </c>
      <c r="G42" s="93">
        <v>7.0000000000000001E-3</v>
      </c>
      <c r="H42" s="93">
        <v>8.2000000000000007E-3</v>
      </c>
      <c r="I42" s="93">
        <v>9.2999999999999992E-3</v>
      </c>
      <c r="J42" s="93">
        <v>1.0500000000000001E-2</v>
      </c>
      <c r="K42" s="93">
        <v>1.17E-2</v>
      </c>
      <c r="L42" s="93">
        <v>1.2800000000000001E-2</v>
      </c>
      <c r="O42" s="74">
        <v>36</v>
      </c>
      <c r="P42" s="93">
        <v>1.4E-2</v>
      </c>
      <c r="Q42" s="93">
        <v>1.5100000000000001E-2</v>
      </c>
      <c r="R42" s="93">
        <v>1.6199999999999999E-2</v>
      </c>
      <c r="S42" s="93">
        <v>1.7299999999999999E-2</v>
      </c>
      <c r="T42" s="93">
        <v>1.83E-2</v>
      </c>
      <c r="U42" s="93">
        <v>1.9400000000000001E-2</v>
      </c>
      <c r="V42" s="93">
        <v>2.0500000000000001E-2</v>
      </c>
      <c r="W42" s="93">
        <v>2.1600000000000001E-2</v>
      </c>
      <c r="X42" s="93">
        <v>2.2700000000000001E-2</v>
      </c>
      <c r="Y42" s="93">
        <v>2.3800000000000002E-2</v>
      </c>
      <c r="Z42" s="93">
        <v>2.4799999999999999E-2</v>
      </c>
      <c r="AA42" s="93">
        <v>2.5899999999999999E-2</v>
      </c>
      <c r="AD42" s="74">
        <v>36</v>
      </c>
      <c r="AE42" s="93">
        <v>2.7E-2</v>
      </c>
      <c r="AF42" s="93">
        <v>2.81E-2</v>
      </c>
      <c r="AG42" s="93">
        <v>2.92E-2</v>
      </c>
      <c r="AH42" s="93">
        <v>3.0300000000000001E-2</v>
      </c>
      <c r="AI42" s="93">
        <v>3.1300000000000001E-2</v>
      </c>
      <c r="AJ42" s="93">
        <v>3.2399999999999998E-2</v>
      </c>
      <c r="AK42" s="93">
        <v>3.3500000000000002E-2</v>
      </c>
      <c r="AL42" s="93">
        <v>3.4599999999999999E-2</v>
      </c>
      <c r="AM42" s="93">
        <v>3.5700000000000003E-2</v>
      </c>
      <c r="AN42" s="93">
        <v>3.6799999999999999E-2</v>
      </c>
      <c r="AO42" s="93">
        <v>3.78E-2</v>
      </c>
      <c r="AP42" s="93">
        <v>3.8899999999999997E-2</v>
      </c>
      <c r="AS42" s="74">
        <v>36</v>
      </c>
      <c r="AT42" s="94">
        <v>0.04</v>
      </c>
    </row>
    <row r="43" spans="1:46" x14ac:dyDescent="0.25">
      <c r="A43" s="74">
        <v>37</v>
      </c>
      <c r="B43" s="93">
        <v>1.1999999999999999E-3</v>
      </c>
      <c r="C43" s="93">
        <v>2.3E-3</v>
      </c>
      <c r="D43" s="93">
        <v>3.5000000000000001E-3</v>
      </c>
      <c r="E43" s="93">
        <v>4.7000000000000002E-3</v>
      </c>
      <c r="F43" s="93">
        <v>5.7999999999999996E-3</v>
      </c>
      <c r="G43" s="93">
        <v>7.0000000000000001E-3</v>
      </c>
      <c r="H43" s="93">
        <v>8.2000000000000007E-3</v>
      </c>
      <c r="I43" s="93">
        <v>9.2999999999999992E-3</v>
      </c>
      <c r="J43" s="93">
        <v>1.0500000000000001E-2</v>
      </c>
      <c r="K43" s="93">
        <v>1.17E-2</v>
      </c>
      <c r="L43" s="93">
        <v>1.2800000000000001E-2</v>
      </c>
      <c r="O43" s="74">
        <v>37</v>
      </c>
      <c r="P43" s="93">
        <v>1.4E-2</v>
      </c>
      <c r="Q43" s="93">
        <v>1.52E-2</v>
      </c>
      <c r="R43" s="93">
        <v>1.6299999999999999E-2</v>
      </c>
      <c r="S43" s="93">
        <v>1.7500000000000002E-2</v>
      </c>
      <c r="T43" s="93">
        <v>1.8700000000000001E-2</v>
      </c>
      <c r="U43" s="93">
        <v>1.9800000000000002E-2</v>
      </c>
      <c r="V43" s="93">
        <v>2.1000000000000001E-2</v>
      </c>
      <c r="W43" s="93">
        <v>2.2200000000000001E-2</v>
      </c>
      <c r="X43" s="93">
        <v>2.3300000000000001E-2</v>
      </c>
      <c r="Y43" s="93">
        <v>2.4500000000000001E-2</v>
      </c>
      <c r="Z43" s="93">
        <v>2.5700000000000001E-2</v>
      </c>
      <c r="AA43" s="93">
        <v>2.6800000000000001E-2</v>
      </c>
      <c r="AD43" s="74">
        <v>37</v>
      </c>
      <c r="AE43" s="93">
        <v>2.8000000000000001E-2</v>
      </c>
      <c r="AF43" s="93">
        <v>2.9100000000000001E-2</v>
      </c>
      <c r="AG43" s="93">
        <v>3.0200000000000001E-2</v>
      </c>
      <c r="AH43" s="93">
        <v>3.1300000000000001E-2</v>
      </c>
      <c r="AI43" s="93">
        <v>3.2300000000000002E-2</v>
      </c>
      <c r="AJ43" s="93">
        <v>3.3399999999999999E-2</v>
      </c>
      <c r="AK43" s="93">
        <v>3.4500000000000003E-2</v>
      </c>
      <c r="AL43" s="93">
        <v>3.56E-2</v>
      </c>
      <c r="AM43" s="93">
        <v>3.6700000000000003E-2</v>
      </c>
      <c r="AN43" s="93">
        <v>3.78E-2</v>
      </c>
      <c r="AO43" s="93">
        <v>3.8800000000000001E-2</v>
      </c>
      <c r="AP43" s="93">
        <v>3.9899999999999998E-2</v>
      </c>
      <c r="AS43" s="74">
        <v>37</v>
      </c>
      <c r="AT43" s="94">
        <v>4.1000000000000002E-2</v>
      </c>
    </row>
    <row r="44" spans="1:46" x14ac:dyDescent="0.25">
      <c r="A44" s="74">
        <v>38</v>
      </c>
      <c r="B44" s="93">
        <v>1.1999999999999999E-3</v>
      </c>
      <c r="C44" s="93">
        <v>2.3E-3</v>
      </c>
      <c r="D44" s="93">
        <v>3.5000000000000001E-3</v>
      </c>
      <c r="E44" s="93">
        <v>4.7000000000000002E-3</v>
      </c>
      <c r="F44" s="93">
        <v>5.7999999999999996E-3</v>
      </c>
      <c r="G44" s="93">
        <v>7.0000000000000001E-3</v>
      </c>
      <c r="H44" s="93">
        <v>8.2000000000000007E-3</v>
      </c>
      <c r="I44" s="93">
        <v>9.2999999999999992E-3</v>
      </c>
      <c r="J44" s="93">
        <v>1.0500000000000001E-2</v>
      </c>
      <c r="K44" s="93">
        <v>1.17E-2</v>
      </c>
      <c r="L44" s="93">
        <v>1.2800000000000001E-2</v>
      </c>
      <c r="O44" s="74">
        <v>38</v>
      </c>
      <c r="P44" s="93">
        <v>1.4E-2</v>
      </c>
      <c r="Q44" s="93">
        <v>1.52E-2</v>
      </c>
      <c r="R44" s="93">
        <v>1.6299999999999999E-2</v>
      </c>
      <c r="S44" s="93">
        <v>1.7500000000000002E-2</v>
      </c>
      <c r="T44" s="93">
        <v>1.8700000000000001E-2</v>
      </c>
      <c r="U44" s="93">
        <v>1.9800000000000002E-2</v>
      </c>
      <c r="V44" s="93">
        <v>2.1000000000000001E-2</v>
      </c>
      <c r="W44" s="93">
        <v>2.2200000000000001E-2</v>
      </c>
      <c r="X44" s="93">
        <v>2.3300000000000001E-2</v>
      </c>
      <c r="Y44" s="93">
        <v>2.4500000000000001E-2</v>
      </c>
      <c r="Z44" s="93">
        <v>2.5700000000000001E-2</v>
      </c>
      <c r="AA44" s="93">
        <v>2.6800000000000001E-2</v>
      </c>
      <c r="AD44" s="74">
        <v>38</v>
      </c>
      <c r="AE44" s="93">
        <v>2.8000000000000001E-2</v>
      </c>
      <c r="AF44" s="93">
        <v>2.92E-2</v>
      </c>
      <c r="AG44" s="93">
        <v>3.0300000000000001E-2</v>
      </c>
      <c r="AH44" s="93">
        <v>3.15E-2</v>
      </c>
      <c r="AI44" s="93">
        <v>3.27E-2</v>
      </c>
      <c r="AJ44" s="93">
        <v>3.3799999999999997E-2</v>
      </c>
      <c r="AK44" s="93">
        <v>3.5000000000000003E-2</v>
      </c>
      <c r="AL44" s="93">
        <v>3.6200000000000003E-2</v>
      </c>
      <c r="AM44" s="93">
        <v>3.73E-2</v>
      </c>
      <c r="AN44" s="93">
        <v>3.85E-2</v>
      </c>
      <c r="AO44" s="93">
        <v>3.9699999999999999E-2</v>
      </c>
      <c r="AP44" s="93">
        <v>4.0800000000000003E-2</v>
      </c>
      <c r="AS44" s="74">
        <v>38</v>
      </c>
      <c r="AT44" s="94">
        <v>4.2000000000000003E-2</v>
      </c>
    </row>
    <row r="45" spans="1:46" x14ac:dyDescent="0.25">
      <c r="A45" s="74">
        <v>39</v>
      </c>
      <c r="B45" s="93">
        <v>1.1999999999999999E-3</v>
      </c>
      <c r="C45" s="93">
        <v>2.3E-3</v>
      </c>
      <c r="D45" s="93">
        <v>3.5000000000000001E-3</v>
      </c>
      <c r="E45" s="93">
        <v>4.7000000000000002E-3</v>
      </c>
      <c r="F45" s="93">
        <v>5.7999999999999996E-3</v>
      </c>
      <c r="G45" s="93">
        <v>7.0000000000000001E-3</v>
      </c>
      <c r="H45" s="93">
        <v>8.2000000000000007E-3</v>
      </c>
      <c r="I45" s="93">
        <v>9.2999999999999992E-3</v>
      </c>
      <c r="J45" s="93">
        <v>1.0500000000000001E-2</v>
      </c>
      <c r="K45" s="93">
        <v>1.17E-2</v>
      </c>
      <c r="L45" s="93">
        <v>1.2800000000000001E-2</v>
      </c>
      <c r="O45" s="74">
        <v>39</v>
      </c>
      <c r="P45" s="93">
        <v>1.4E-2</v>
      </c>
      <c r="Q45" s="93">
        <v>1.5299999999999999E-2</v>
      </c>
      <c r="R45" s="93">
        <v>1.6500000000000001E-2</v>
      </c>
      <c r="S45" s="93">
        <v>1.78E-2</v>
      </c>
      <c r="T45" s="93">
        <v>1.9E-2</v>
      </c>
      <c r="U45" s="93">
        <v>2.0299999999999999E-2</v>
      </c>
      <c r="V45" s="93">
        <v>2.1499999999999998E-2</v>
      </c>
      <c r="W45" s="93">
        <v>2.2800000000000001E-2</v>
      </c>
      <c r="X45" s="93">
        <v>2.4E-2</v>
      </c>
      <c r="Y45" s="93">
        <v>2.53E-2</v>
      </c>
      <c r="Z45" s="93">
        <v>2.6499999999999999E-2</v>
      </c>
      <c r="AA45" s="93">
        <v>2.7799999999999998E-2</v>
      </c>
      <c r="AD45" s="74">
        <v>39</v>
      </c>
      <c r="AE45" s="93">
        <v>2.9000000000000001E-2</v>
      </c>
      <c r="AF45" s="93">
        <v>3.0099999999999998E-2</v>
      </c>
      <c r="AG45" s="93">
        <v>3.1199999999999999E-2</v>
      </c>
      <c r="AH45" s="93">
        <v>3.2300000000000002E-2</v>
      </c>
      <c r="AI45" s="93">
        <v>3.3300000000000003E-2</v>
      </c>
      <c r="AJ45" s="93">
        <v>3.44E-2</v>
      </c>
      <c r="AK45" s="93">
        <v>3.5499999999999997E-2</v>
      </c>
      <c r="AL45" s="93">
        <v>3.6600000000000001E-2</v>
      </c>
      <c r="AM45" s="93">
        <v>3.7699999999999997E-2</v>
      </c>
      <c r="AN45" s="93">
        <v>3.8800000000000001E-2</v>
      </c>
      <c r="AO45" s="93">
        <v>3.9800000000000002E-2</v>
      </c>
      <c r="AP45" s="93">
        <v>4.0899999999999999E-2</v>
      </c>
      <c r="AS45" s="74">
        <v>39</v>
      </c>
      <c r="AT45" s="94">
        <v>4.2000000000000003E-2</v>
      </c>
    </row>
    <row r="46" spans="1:46" x14ac:dyDescent="0.25">
      <c r="A46" s="74">
        <v>40</v>
      </c>
      <c r="B46" s="93">
        <v>1.2999999999999999E-3</v>
      </c>
      <c r="C46" s="93">
        <v>2.5000000000000001E-3</v>
      </c>
      <c r="D46" s="93">
        <v>3.8E-3</v>
      </c>
      <c r="E46" s="93">
        <v>5.0000000000000001E-3</v>
      </c>
      <c r="F46" s="93">
        <v>6.3E-3</v>
      </c>
      <c r="G46" s="93">
        <v>7.4999999999999997E-3</v>
      </c>
      <c r="H46" s="93">
        <v>8.8000000000000005E-3</v>
      </c>
      <c r="I46" s="93">
        <v>0.01</v>
      </c>
      <c r="J46" s="93">
        <v>1.1299999999999999E-2</v>
      </c>
      <c r="K46" s="93">
        <v>1.2500000000000001E-2</v>
      </c>
      <c r="L46" s="93">
        <v>1.38E-2</v>
      </c>
      <c r="O46" s="74">
        <v>40</v>
      </c>
      <c r="P46" s="93">
        <v>1.4999999999999999E-2</v>
      </c>
      <c r="Q46" s="93">
        <v>1.6199999999999999E-2</v>
      </c>
      <c r="R46" s="93">
        <v>1.7299999999999999E-2</v>
      </c>
      <c r="S46" s="93">
        <v>1.8499999999999999E-2</v>
      </c>
      <c r="T46" s="93">
        <v>1.9699999999999999E-2</v>
      </c>
      <c r="U46" s="93">
        <v>2.0799999999999999E-2</v>
      </c>
      <c r="V46" s="93">
        <v>2.1999999999999999E-2</v>
      </c>
      <c r="W46" s="93">
        <v>2.3199999999999998E-2</v>
      </c>
      <c r="X46" s="93">
        <v>2.4299999999999999E-2</v>
      </c>
      <c r="Y46" s="93">
        <v>2.5499999999999998E-2</v>
      </c>
      <c r="Z46" s="93">
        <v>2.6700000000000002E-2</v>
      </c>
      <c r="AA46" s="93">
        <v>2.7799999999999998E-2</v>
      </c>
      <c r="AD46" s="74">
        <v>40</v>
      </c>
      <c r="AE46" s="93">
        <v>2.9000000000000001E-2</v>
      </c>
      <c r="AF46" s="93">
        <v>3.0200000000000001E-2</v>
      </c>
      <c r="AG46" s="93">
        <v>3.1300000000000001E-2</v>
      </c>
      <c r="AH46" s="93">
        <v>3.2500000000000001E-2</v>
      </c>
      <c r="AI46" s="93">
        <v>3.3700000000000001E-2</v>
      </c>
      <c r="AJ46" s="93">
        <v>3.4799999999999998E-2</v>
      </c>
      <c r="AK46" s="93">
        <v>3.5999999999999997E-2</v>
      </c>
      <c r="AL46" s="93">
        <v>3.7199999999999997E-2</v>
      </c>
      <c r="AM46" s="93">
        <v>3.8300000000000001E-2</v>
      </c>
      <c r="AN46" s="93">
        <v>3.95E-2</v>
      </c>
      <c r="AO46" s="93">
        <v>4.07E-2</v>
      </c>
      <c r="AP46" s="93">
        <v>4.1799999999999997E-2</v>
      </c>
      <c r="AS46" s="74">
        <v>40</v>
      </c>
      <c r="AT46" s="94">
        <v>4.2999999999999997E-2</v>
      </c>
    </row>
    <row r="47" spans="1:46" x14ac:dyDescent="0.25">
      <c r="A47" s="74">
        <v>41</v>
      </c>
      <c r="B47" s="93">
        <v>1.2999999999999999E-3</v>
      </c>
      <c r="C47" s="93">
        <v>2.5000000000000001E-3</v>
      </c>
      <c r="D47" s="93">
        <v>3.8E-3</v>
      </c>
      <c r="E47" s="93">
        <v>5.0000000000000001E-3</v>
      </c>
      <c r="F47" s="93">
        <v>6.3E-3</v>
      </c>
      <c r="G47" s="93">
        <v>7.4999999999999997E-3</v>
      </c>
      <c r="H47" s="93">
        <v>8.8000000000000005E-3</v>
      </c>
      <c r="I47" s="93">
        <v>0.01</v>
      </c>
      <c r="J47" s="93">
        <v>1.1299999999999999E-2</v>
      </c>
      <c r="K47" s="93">
        <v>1.2500000000000001E-2</v>
      </c>
      <c r="L47" s="93">
        <v>1.38E-2</v>
      </c>
      <c r="O47" s="74">
        <v>41</v>
      </c>
      <c r="P47" s="93">
        <v>1.4999999999999999E-2</v>
      </c>
      <c r="Q47" s="93">
        <v>1.6299999999999999E-2</v>
      </c>
      <c r="R47" s="93">
        <v>1.7500000000000002E-2</v>
      </c>
      <c r="S47" s="93">
        <v>1.8800000000000001E-2</v>
      </c>
      <c r="T47" s="93">
        <v>0.02</v>
      </c>
      <c r="U47" s="93">
        <v>2.1299999999999999E-2</v>
      </c>
      <c r="V47" s="93">
        <v>2.2499999999999999E-2</v>
      </c>
      <c r="W47" s="93">
        <v>2.3800000000000002E-2</v>
      </c>
      <c r="X47" s="93">
        <v>2.5000000000000001E-2</v>
      </c>
      <c r="Y47" s="93">
        <v>2.63E-2</v>
      </c>
      <c r="Z47" s="93">
        <v>2.75E-2</v>
      </c>
      <c r="AA47" s="93">
        <v>2.8799999999999999E-2</v>
      </c>
      <c r="AD47" s="74">
        <v>41</v>
      </c>
      <c r="AE47" s="93">
        <v>0.03</v>
      </c>
      <c r="AF47" s="93">
        <v>3.1199999999999999E-2</v>
      </c>
      <c r="AG47" s="93">
        <v>3.2300000000000002E-2</v>
      </c>
      <c r="AH47" s="93">
        <v>3.3500000000000002E-2</v>
      </c>
      <c r="AI47" s="93">
        <v>3.4700000000000002E-2</v>
      </c>
      <c r="AJ47" s="93">
        <v>3.5799999999999998E-2</v>
      </c>
      <c r="AK47" s="93">
        <v>3.6999999999999998E-2</v>
      </c>
      <c r="AL47" s="93">
        <v>3.8199999999999998E-2</v>
      </c>
      <c r="AM47" s="93">
        <v>3.9300000000000002E-2</v>
      </c>
      <c r="AN47" s="93">
        <v>4.0500000000000001E-2</v>
      </c>
      <c r="AO47" s="93">
        <v>4.1700000000000001E-2</v>
      </c>
      <c r="AP47" s="93">
        <v>4.2799999999999998E-2</v>
      </c>
      <c r="AS47" s="74">
        <v>41</v>
      </c>
      <c r="AT47" s="94">
        <v>4.3999999999999997E-2</v>
      </c>
    </row>
    <row r="48" spans="1:46" x14ac:dyDescent="0.25">
      <c r="A48" s="74">
        <v>42</v>
      </c>
      <c r="B48" s="93">
        <v>1.2999999999999999E-3</v>
      </c>
      <c r="C48" s="93">
        <v>2.5000000000000001E-3</v>
      </c>
      <c r="D48" s="93">
        <v>3.8E-3</v>
      </c>
      <c r="E48" s="93">
        <v>5.0000000000000001E-3</v>
      </c>
      <c r="F48" s="93">
        <v>6.3E-3</v>
      </c>
      <c r="G48" s="93">
        <v>7.4999999999999997E-3</v>
      </c>
      <c r="H48" s="93">
        <v>8.8000000000000005E-3</v>
      </c>
      <c r="I48" s="93">
        <v>0.01</v>
      </c>
      <c r="J48" s="93">
        <v>1.1299999999999999E-2</v>
      </c>
      <c r="K48" s="93">
        <v>1.2500000000000001E-2</v>
      </c>
      <c r="L48" s="93">
        <v>1.38E-2</v>
      </c>
      <c r="O48" s="74">
        <v>42</v>
      </c>
      <c r="P48" s="93">
        <v>1.4999999999999999E-2</v>
      </c>
      <c r="Q48" s="93">
        <v>1.6299999999999999E-2</v>
      </c>
      <c r="R48" s="93">
        <v>1.7500000000000002E-2</v>
      </c>
      <c r="S48" s="93">
        <v>1.8800000000000001E-2</v>
      </c>
      <c r="T48" s="93">
        <v>0.02</v>
      </c>
      <c r="U48" s="93">
        <v>2.1299999999999999E-2</v>
      </c>
      <c r="V48" s="93">
        <v>2.2499999999999999E-2</v>
      </c>
      <c r="W48" s="93">
        <v>2.3800000000000002E-2</v>
      </c>
      <c r="X48" s="93">
        <v>2.5000000000000001E-2</v>
      </c>
      <c r="Y48" s="93">
        <v>2.63E-2</v>
      </c>
      <c r="Z48" s="93">
        <v>2.75E-2</v>
      </c>
      <c r="AA48" s="93">
        <v>2.8799999999999999E-2</v>
      </c>
      <c r="AD48" s="74">
        <v>42</v>
      </c>
      <c r="AE48" s="93">
        <v>0.03</v>
      </c>
      <c r="AF48" s="93">
        <v>3.1300000000000001E-2</v>
      </c>
      <c r="AG48" s="93">
        <v>3.2500000000000001E-2</v>
      </c>
      <c r="AH48" s="93">
        <v>3.3799999999999997E-2</v>
      </c>
      <c r="AI48" s="93">
        <v>3.5000000000000003E-2</v>
      </c>
      <c r="AJ48" s="93">
        <v>3.6299999999999999E-2</v>
      </c>
      <c r="AK48" s="93">
        <v>3.7499999999999999E-2</v>
      </c>
      <c r="AL48" s="93">
        <v>3.8800000000000001E-2</v>
      </c>
      <c r="AM48" s="93">
        <v>0.04</v>
      </c>
      <c r="AN48" s="93">
        <v>4.1300000000000003E-2</v>
      </c>
      <c r="AO48" s="93">
        <v>4.2500000000000003E-2</v>
      </c>
      <c r="AP48" s="93">
        <v>4.3799999999999999E-2</v>
      </c>
      <c r="AS48" s="74">
        <v>42</v>
      </c>
      <c r="AT48" s="94">
        <v>4.4999999999999998E-2</v>
      </c>
    </row>
    <row r="49" spans="1:46" x14ac:dyDescent="0.25">
      <c r="A49" s="74">
        <v>43</v>
      </c>
      <c r="B49" s="93">
        <v>1.2999999999999999E-3</v>
      </c>
      <c r="C49" s="93">
        <v>2.5000000000000001E-3</v>
      </c>
      <c r="D49" s="93">
        <v>3.8E-3</v>
      </c>
      <c r="E49" s="93">
        <v>5.0000000000000001E-3</v>
      </c>
      <c r="F49" s="93">
        <v>6.3E-3</v>
      </c>
      <c r="G49" s="93">
        <v>7.4999999999999997E-3</v>
      </c>
      <c r="H49" s="93">
        <v>8.8000000000000005E-3</v>
      </c>
      <c r="I49" s="93">
        <v>0.01</v>
      </c>
      <c r="J49" s="93">
        <v>1.1299999999999999E-2</v>
      </c>
      <c r="K49" s="93">
        <v>1.2500000000000001E-2</v>
      </c>
      <c r="L49" s="93">
        <v>1.38E-2</v>
      </c>
      <c r="O49" s="74">
        <v>43</v>
      </c>
      <c r="P49" s="93">
        <v>1.4999999999999999E-2</v>
      </c>
      <c r="Q49" s="93">
        <v>1.6299999999999999E-2</v>
      </c>
      <c r="R49" s="93">
        <v>1.77E-2</v>
      </c>
      <c r="S49" s="93">
        <v>1.9E-2</v>
      </c>
      <c r="T49" s="93">
        <v>2.0299999999999999E-2</v>
      </c>
      <c r="U49" s="93">
        <v>2.1700000000000001E-2</v>
      </c>
      <c r="V49" s="93">
        <v>2.3E-2</v>
      </c>
      <c r="W49" s="93">
        <v>2.4299999999999999E-2</v>
      </c>
      <c r="X49" s="93">
        <v>2.5700000000000001E-2</v>
      </c>
      <c r="Y49" s="93">
        <v>2.7E-2</v>
      </c>
      <c r="Z49" s="93">
        <v>2.8299999999999999E-2</v>
      </c>
      <c r="AA49" s="93">
        <v>2.9700000000000001E-2</v>
      </c>
      <c r="AD49" s="74">
        <v>43</v>
      </c>
      <c r="AE49" s="93">
        <v>3.1E-2</v>
      </c>
      <c r="AF49" s="93">
        <v>3.2199999999999999E-2</v>
      </c>
      <c r="AG49" s="93">
        <v>3.3300000000000003E-2</v>
      </c>
      <c r="AH49" s="93">
        <v>3.4500000000000003E-2</v>
      </c>
      <c r="AI49" s="93">
        <v>3.5700000000000003E-2</v>
      </c>
      <c r="AJ49" s="93">
        <v>3.6799999999999999E-2</v>
      </c>
      <c r="AK49" s="93">
        <v>3.7999999999999999E-2</v>
      </c>
      <c r="AL49" s="93">
        <v>3.9199999999999999E-2</v>
      </c>
      <c r="AM49" s="93">
        <v>4.0300000000000002E-2</v>
      </c>
      <c r="AN49" s="93">
        <v>4.1500000000000002E-2</v>
      </c>
      <c r="AO49" s="93">
        <v>4.2700000000000002E-2</v>
      </c>
      <c r="AP49" s="93">
        <v>4.3799999999999999E-2</v>
      </c>
      <c r="AS49" s="74">
        <v>43</v>
      </c>
      <c r="AT49" s="94">
        <v>4.4999999999999998E-2</v>
      </c>
    </row>
    <row r="50" spans="1:46" x14ac:dyDescent="0.25">
      <c r="A50" s="74">
        <v>44</v>
      </c>
      <c r="B50" s="93">
        <v>1.2999999999999999E-3</v>
      </c>
      <c r="C50" s="93">
        <v>2.7000000000000001E-3</v>
      </c>
      <c r="D50" s="93">
        <v>4.0000000000000001E-3</v>
      </c>
      <c r="E50" s="93">
        <v>5.3E-3</v>
      </c>
      <c r="F50" s="93">
        <v>6.7000000000000002E-3</v>
      </c>
      <c r="G50" s="93">
        <v>8.0000000000000002E-3</v>
      </c>
      <c r="H50" s="93">
        <v>9.2999999999999992E-3</v>
      </c>
      <c r="I50" s="93">
        <v>1.0699999999999999E-2</v>
      </c>
      <c r="J50" s="93">
        <v>1.2E-2</v>
      </c>
      <c r="K50" s="93">
        <v>1.3299999999999999E-2</v>
      </c>
      <c r="L50" s="93">
        <v>1.47E-2</v>
      </c>
      <c r="O50" s="74">
        <v>44</v>
      </c>
      <c r="P50" s="93">
        <v>1.6E-2</v>
      </c>
      <c r="Q50" s="93">
        <v>1.7299999999999999E-2</v>
      </c>
      <c r="R50" s="93">
        <v>1.8499999999999999E-2</v>
      </c>
      <c r="S50" s="93">
        <v>1.9800000000000002E-2</v>
      </c>
      <c r="T50" s="93">
        <v>2.1000000000000001E-2</v>
      </c>
      <c r="U50" s="93">
        <v>2.23E-2</v>
      </c>
      <c r="V50" s="93">
        <v>2.35E-2</v>
      </c>
      <c r="W50" s="93">
        <v>2.4799999999999999E-2</v>
      </c>
      <c r="X50" s="93">
        <v>2.5999999999999999E-2</v>
      </c>
      <c r="Y50" s="93">
        <v>2.7300000000000001E-2</v>
      </c>
      <c r="Z50" s="93">
        <v>2.8500000000000001E-2</v>
      </c>
      <c r="AA50" s="93">
        <v>2.98E-2</v>
      </c>
      <c r="AD50" s="74">
        <v>44</v>
      </c>
      <c r="AE50" s="93">
        <v>3.1E-2</v>
      </c>
      <c r="AF50" s="93">
        <v>3.2300000000000002E-2</v>
      </c>
      <c r="AG50" s="93">
        <v>3.3500000000000002E-2</v>
      </c>
      <c r="AH50" s="93">
        <v>3.4799999999999998E-2</v>
      </c>
      <c r="AI50" s="93">
        <v>3.5999999999999997E-2</v>
      </c>
      <c r="AJ50" s="93">
        <v>3.73E-2</v>
      </c>
      <c r="AK50" s="93">
        <v>3.85E-2</v>
      </c>
      <c r="AL50" s="93">
        <v>3.9800000000000002E-2</v>
      </c>
      <c r="AM50" s="93">
        <v>4.1000000000000002E-2</v>
      </c>
      <c r="AN50" s="93">
        <v>4.2299999999999997E-2</v>
      </c>
      <c r="AO50" s="93">
        <v>4.3499999999999997E-2</v>
      </c>
      <c r="AP50" s="93">
        <v>4.48E-2</v>
      </c>
      <c r="AS50" s="74">
        <v>44</v>
      </c>
      <c r="AT50" s="94">
        <v>4.5999999999999999E-2</v>
      </c>
    </row>
    <row r="51" spans="1:46" x14ac:dyDescent="0.25">
      <c r="A51" s="74">
        <v>45</v>
      </c>
      <c r="B51" s="93">
        <v>1.2999999999999999E-3</v>
      </c>
      <c r="C51" s="93">
        <v>2.7000000000000001E-3</v>
      </c>
      <c r="D51" s="93">
        <v>4.0000000000000001E-3</v>
      </c>
      <c r="E51" s="93">
        <v>5.3E-3</v>
      </c>
      <c r="F51" s="93">
        <v>6.7000000000000002E-3</v>
      </c>
      <c r="G51" s="93">
        <v>8.0000000000000002E-3</v>
      </c>
      <c r="H51" s="93">
        <v>9.2999999999999992E-3</v>
      </c>
      <c r="I51" s="93">
        <v>1.0699999999999999E-2</v>
      </c>
      <c r="J51" s="93">
        <v>1.2E-2</v>
      </c>
      <c r="K51" s="93">
        <v>1.3299999999999999E-2</v>
      </c>
      <c r="L51" s="93">
        <v>1.47E-2</v>
      </c>
      <c r="O51" s="74">
        <v>45</v>
      </c>
      <c r="P51" s="93">
        <v>1.6E-2</v>
      </c>
      <c r="Q51" s="93">
        <v>1.7299999999999999E-2</v>
      </c>
      <c r="R51" s="93">
        <v>1.8700000000000001E-2</v>
      </c>
      <c r="S51" s="93">
        <v>0.02</v>
      </c>
      <c r="T51" s="93">
        <v>2.1299999999999999E-2</v>
      </c>
      <c r="U51" s="93">
        <v>2.2700000000000001E-2</v>
      </c>
      <c r="V51" s="93">
        <v>2.4E-2</v>
      </c>
      <c r="W51" s="93">
        <v>2.53E-2</v>
      </c>
      <c r="X51" s="93">
        <v>2.6700000000000002E-2</v>
      </c>
      <c r="Y51" s="93">
        <v>2.8000000000000001E-2</v>
      </c>
      <c r="Z51" s="93">
        <v>2.93E-2</v>
      </c>
      <c r="AA51" s="93">
        <v>3.0700000000000002E-2</v>
      </c>
      <c r="AD51" s="74">
        <v>45</v>
      </c>
      <c r="AE51" s="93">
        <v>3.2000000000000001E-2</v>
      </c>
      <c r="AF51" s="93">
        <v>3.3300000000000003E-2</v>
      </c>
      <c r="AG51" s="93">
        <v>3.4500000000000003E-2</v>
      </c>
      <c r="AH51" s="93">
        <v>3.5799999999999998E-2</v>
      </c>
      <c r="AI51" s="93">
        <v>3.6999999999999998E-2</v>
      </c>
      <c r="AJ51" s="93">
        <v>3.8300000000000001E-2</v>
      </c>
      <c r="AK51" s="93">
        <v>3.95E-2</v>
      </c>
      <c r="AL51" s="93">
        <v>4.0800000000000003E-2</v>
      </c>
      <c r="AM51" s="93">
        <v>4.2000000000000003E-2</v>
      </c>
      <c r="AN51" s="93">
        <v>4.3299999999999998E-2</v>
      </c>
      <c r="AO51" s="93">
        <v>4.4499999999999998E-2</v>
      </c>
      <c r="AP51" s="93">
        <v>4.58E-2</v>
      </c>
      <c r="AS51" s="74">
        <v>45</v>
      </c>
      <c r="AT51" s="94">
        <v>4.7E-2</v>
      </c>
    </row>
    <row r="52" spans="1:46" x14ac:dyDescent="0.25">
      <c r="A52" s="74">
        <v>46</v>
      </c>
      <c r="B52" s="93">
        <v>1.2999999999999999E-3</v>
      </c>
      <c r="C52" s="93">
        <v>2.7000000000000001E-3</v>
      </c>
      <c r="D52" s="93">
        <v>4.0000000000000001E-3</v>
      </c>
      <c r="E52" s="93">
        <v>5.3E-3</v>
      </c>
      <c r="F52" s="93">
        <v>6.7000000000000002E-3</v>
      </c>
      <c r="G52" s="93">
        <v>8.0000000000000002E-3</v>
      </c>
      <c r="H52" s="93">
        <v>9.2999999999999992E-3</v>
      </c>
      <c r="I52" s="93">
        <v>1.0699999999999999E-2</v>
      </c>
      <c r="J52" s="93">
        <v>1.2E-2</v>
      </c>
      <c r="K52" s="93">
        <v>1.3299999999999999E-2</v>
      </c>
      <c r="L52" s="93">
        <v>1.47E-2</v>
      </c>
      <c r="O52" s="74">
        <v>46</v>
      </c>
      <c r="P52" s="93">
        <v>1.6E-2</v>
      </c>
      <c r="Q52" s="93">
        <v>1.7299999999999999E-2</v>
      </c>
      <c r="R52" s="93">
        <v>1.8700000000000001E-2</v>
      </c>
      <c r="S52" s="93">
        <v>0.02</v>
      </c>
      <c r="T52" s="93">
        <v>2.1299999999999999E-2</v>
      </c>
      <c r="U52" s="93">
        <v>2.2700000000000001E-2</v>
      </c>
      <c r="V52" s="93">
        <v>2.4E-2</v>
      </c>
      <c r="W52" s="93">
        <v>2.53E-2</v>
      </c>
      <c r="X52" s="93">
        <v>2.6700000000000002E-2</v>
      </c>
      <c r="Y52" s="93">
        <v>2.8000000000000001E-2</v>
      </c>
      <c r="Z52" s="93">
        <v>2.93E-2</v>
      </c>
      <c r="AA52" s="93">
        <v>3.0700000000000002E-2</v>
      </c>
      <c r="AD52" s="74">
        <v>46</v>
      </c>
      <c r="AE52" s="93">
        <v>3.2000000000000001E-2</v>
      </c>
      <c r="AF52" s="93">
        <v>3.3300000000000003E-2</v>
      </c>
      <c r="AG52" s="93">
        <v>3.4700000000000002E-2</v>
      </c>
      <c r="AH52" s="93">
        <v>3.5999999999999997E-2</v>
      </c>
      <c r="AI52" s="93">
        <v>3.73E-2</v>
      </c>
      <c r="AJ52" s="93">
        <v>3.8699999999999998E-2</v>
      </c>
      <c r="AK52" s="93">
        <v>0.04</v>
      </c>
      <c r="AL52" s="93">
        <v>4.1300000000000003E-2</v>
      </c>
      <c r="AM52" s="93">
        <v>4.2700000000000002E-2</v>
      </c>
      <c r="AN52" s="93">
        <v>4.3999999999999997E-2</v>
      </c>
      <c r="AO52" s="93">
        <v>4.53E-2</v>
      </c>
      <c r="AP52" s="93">
        <v>4.6699999999999998E-2</v>
      </c>
      <c r="AS52" s="74">
        <v>46</v>
      </c>
      <c r="AT52" s="94">
        <v>4.8000000000000001E-2</v>
      </c>
    </row>
    <row r="53" spans="1:46" x14ac:dyDescent="0.25">
      <c r="A53" s="74">
        <v>47</v>
      </c>
      <c r="B53" s="93">
        <v>1.4E-3</v>
      </c>
      <c r="C53" s="93">
        <v>2.8E-3</v>
      </c>
      <c r="D53" s="93">
        <v>4.3E-3</v>
      </c>
      <c r="E53" s="93">
        <v>5.7000000000000002E-3</v>
      </c>
      <c r="F53" s="93">
        <v>7.1000000000000004E-3</v>
      </c>
      <c r="G53" s="93">
        <v>8.5000000000000006E-3</v>
      </c>
      <c r="H53" s="93">
        <v>9.9000000000000008E-3</v>
      </c>
      <c r="I53" s="93">
        <v>1.1299999999999999E-2</v>
      </c>
      <c r="J53" s="93">
        <v>1.2800000000000001E-2</v>
      </c>
      <c r="K53" s="93">
        <v>1.4200000000000001E-2</v>
      </c>
      <c r="L53" s="93">
        <v>1.5599999999999999E-2</v>
      </c>
      <c r="O53" s="74">
        <v>47</v>
      </c>
      <c r="P53" s="93">
        <v>1.7000000000000001E-2</v>
      </c>
      <c r="Q53" s="93">
        <v>1.83E-2</v>
      </c>
      <c r="R53" s="93">
        <v>1.9699999999999999E-2</v>
      </c>
      <c r="S53" s="93">
        <v>2.1000000000000001E-2</v>
      </c>
      <c r="T53" s="93">
        <v>2.23E-2</v>
      </c>
      <c r="U53" s="93">
        <v>2.3699999999999999E-2</v>
      </c>
      <c r="V53" s="93">
        <v>2.5000000000000001E-2</v>
      </c>
      <c r="W53" s="93">
        <v>2.63E-2</v>
      </c>
      <c r="X53" s="93">
        <v>2.7699999999999999E-2</v>
      </c>
      <c r="Y53" s="93">
        <v>2.9000000000000001E-2</v>
      </c>
      <c r="Z53" s="93">
        <v>3.0300000000000001E-2</v>
      </c>
      <c r="AA53" s="93">
        <v>3.1699999999999999E-2</v>
      </c>
      <c r="AD53" s="74">
        <v>47</v>
      </c>
      <c r="AE53" s="93">
        <v>3.3000000000000002E-2</v>
      </c>
      <c r="AF53" s="93">
        <v>3.4299999999999997E-2</v>
      </c>
      <c r="AG53" s="93">
        <v>3.5700000000000003E-2</v>
      </c>
      <c r="AH53" s="93">
        <v>3.6999999999999998E-2</v>
      </c>
      <c r="AI53" s="93">
        <v>3.8300000000000001E-2</v>
      </c>
      <c r="AJ53" s="93">
        <v>3.9699999999999999E-2</v>
      </c>
      <c r="AK53" s="93">
        <v>4.1000000000000002E-2</v>
      </c>
      <c r="AL53" s="93">
        <v>4.2299999999999997E-2</v>
      </c>
      <c r="AM53" s="93">
        <v>4.3700000000000003E-2</v>
      </c>
      <c r="AN53" s="93">
        <v>4.4999999999999998E-2</v>
      </c>
      <c r="AO53" s="93">
        <v>4.6300000000000001E-2</v>
      </c>
      <c r="AP53" s="93">
        <v>4.7699999999999999E-2</v>
      </c>
      <c r="AS53" s="74">
        <v>47</v>
      </c>
      <c r="AT53" s="94">
        <v>4.9000000000000002E-2</v>
      </c>
    </row>
    <row r="54" spans="1:46" x14ac:dyDescent="0.25">
      <c r="A54" s="74">
        <v>48</v>
      </c>
      <c r="B54" s="93">
        <v>1.4E-3</v>
      </c>
      <c r="C54" s="93">
        <v>2.8E-3</v>
      </c>
      <c r="D54" s="93">
        <v>4.3E-3</v>
      </c>
      <c r="E54" s="93">
        <v>5.7000000000000002E-3</v>
      </c>
      <c r="F54" s="93">
        <v>7.1000000000000004E-3</v>
      </c>
      <c r="G54" s="93">
        <v>8.5000000000000006E-3</v>
      </c>
      <c r="H54" s="93">
        <v>9.9000000000000008E-3</v>
      </c>
      <c r="I54" s="93">
        <v>1.1299999999999999E-2</v>
      </c>
      <c r="J54" s="93">
        <v>1.2800000000000001E-2</v>
      </c>
      <c r="K54" s="93">
        <v>1.4200000000000001E-2</v>
      </c>
      <c r="L54" s="93">
        <v>1.5599999999999999E-2</v>
      </c>
      <c r="O54" s="74">
        <v>48</v>
      </c>
      <c r="P54" s="93">
        <v>1.7000000000000001E-2</v>
      </c>
      <c r="Q54" s="93">
        <v>1.83E-2</v>
      </c>
      <c r="R54" s="93">
        <v>1.9699999999999999E-2</v>
      </c>
      <c r="S54" s="93">
        <v>2.1000000000000001E-2</v>
      </c>
      <c r="T54" s="93">
        <v>2.23E-2</v>
      </c>
      <c r="U54" s="93">
        <v>2.3699999999999999E-2</v>
      </c>
      <c r="V54" s="93">
        <v>2.5000000000000001E-2</v>
      </c>
      <c r="W54" s="93">
        <v>2.63E-2</v>
      </c>
      <c r="X54" s="93">
        <v>2.7699999999999999E-2</v>
      </c>
      <c r="Y54" s="93">
        <v>2.9000000000000001E-2</v>
      </c>
      <c r="Z54" s="93">
        <v>3.0300000000000001E-2</v>
      </c>
      <c r="AA54" s="93">
        <v>3.1699999999999999E-2</v>
      </c>
      <c r="AD54" s="74">
        <v>48</v>
      </c>
      <c r="AE54" s="93">
        <v>3.3000000000000002E-2</v>
      </c>
      <c r="AF54" s="93">
        <v>3.4299999999999997E-2</v>
      </c>
      <c r="AG54" s="93">
        <v>3.5700000000000003E-2</v>
      </c>
      <c r="AH54" s="93">
        <v>3.6999999999999998E-2</v>
      </c>
      <c r="AI54" s="93">
        <v>3.8300000000000001E-2</v>
      </c>
      <c r="AJ54" s="93">
        <v>3.9699999999999999E-2</v>
      </c>
      <c r="AK54" s="93">
        <v>4.1000000000000002E-2</v>
      </c>
      <c r="AL54" s="93">
        <v>4.2299999999999997E-2</v>
      </c>
      <c r="AM54" s="93">
        <v>4.3700000000000003E-2</v>
      </c>
      <c r="AN54" s="93">
        <v>4.4999999999999998E-2</v>
      </c>
      <c r="AO54" s="93">
        <v>4.6300000000000001E-2</v>
      </c>
      <c r="AP54" s="93">
        <v>4.7699999999999999E-2</v>
      </c>
      <c r="AS54" s="74">
        <v>48</v>
      </c>
      <c r="AT54" s="94">
        <v>4.9000000000000002E-2</v>
      </c>
    </row>
    <row r="55" spans="1:46" x14ac:dyDescent="0.25">
      <c r="A55" s="74">
        <v>49</v>
      </c>
      <c r="B55" s="93">
        <v>1.4E-3</v>
      </c>
      <c r="C55" s="93">
        <v>2.8E-3</v>
      </c>
      <c r="D55" s="93">
        <v>4.3E-3</v>
      </c>
      <c r="E55" s="93">
        <v>5.7000000000000002E-3</v>
      </c>
      <c r="F55" s="93">
        <v>7.1000000000000004E-3</v>
      </c>
      <c r="G55" s="93">
        <v>8.5000000000000006E-3</v>
      </c>
      <c r="H55" s="93">
        <v>9.9000000000000008E-3</v>
      </c>
      <c r="I55" s="93">
        <v>1.1299999999999999E-2</v>
      </c>
      <c r="J55" s="93">
        <v>1.2800000000000001E-2</v>
      </c>
      <c r="K55" s="93">
        <v>1.4200000000000001E-2</v>
      </c>
      <c r="L55" s="93">
        <v>1.5599999999999999E-2</v>
      </c>
      <c r="O55" s="74">
        <v>49</v>
      </c>
      <c r="P55" s="93">
        <v>1.7000000000000001E-2</v>
      </c>
      <c r="Q55" s="93">
        <v>1.84E-2</v>
      </c>
      <c r="R55" s="93">
        <v>1.9800000000000002E-2</v>
      </c>
      <c r="S55" s="93">
        <v>2.1299999999999999E-2</v>
      </c>
      <c r="T55" s="93">
        <v>2.2700000000000001E-2</v>
      </c>
      <c r="U55" s="93">
        <v>2.41E-2</v>
      </c>
      <c r="V55" s="93">
        <v>2.5499999999999998E-2</v>
      </c>
      <c r="W55" s="93">
        <v>2.69E-2</v>
      </c>
      <c r="X55" s="93">
        <v>2.8299999999999999E-2</v>
      </c>
      <c r="Y55" s="93">
        <v>2.98E-2</v>
      </c>
      <c r="Z55" s="93">
        <v>3.1199999999999999E-2</v>
      </c>
      <c r="AA55" s="93">
        <v>3.2599999999999997E-2</v>
      </c>
      <c r="AD55" s="74">
        <v>49</v>
      </c>
      <c r="AE55" s="93">
        <v>3.4000000000000002E-2</v>
      </c>
      <c r="AF55" s="93">
        <v>3.5299999999999998E-2</v>
      </c>
      <c r="AG55" s="93">
        <v>3.6700000000000003E-2</v>
      </c>
      <c r="AH55" s="93">
        <v>3.7999999999999999E-2</v>
      </c>
      <c r="AI55" s="93">
        <v>3.9300000000000002E-2</v>
      </c>
      <c r="AJ55" s="93">
        <v>4.07E-2</v>
      </c>
      <c r="AK55" s="93">
        <v>4.2000000000000003E-2</v>
      </c>
      <c r="AL55" s="93">
        <v>4.3299999999999998E-2</v>
      </c>
      <c r="AM55" s="93">
        <v>4.4699999999999997E-2</v>
      </c>
      <c r="AN55" s="93">
        <v>4.5999999999999999E-2</v>
      </c>
      <c r="AO55" s="93">
        <v>4.7300000000000002E-2</v>
      </c>
      <c r="AP55" s="93">
        <v>4.87E-2</v>
      </c>
      <c r="AS55" s="74">
        <v>49</v>
      </c>
      <c r="AT55" s="94">
        <v>0.05</v>
      </c>
    </row>
    <row r="56" spans="1:46" x14ac:dyDescent="0.25">
      <c r="A56" s="74">
        <v>50</v>
      </c>
      <c r="B56" s="93">
        <v>1.4E-3</v>
      </c>
      <c r="C56" s="93">
        <v>2.8E-3</v>
      </c>
      <c r="D56" s="93">
        <v>4.3E-3</v>
      </c>
      <c r="E56" s="93">
        <v>5.7000000000000002E-3</v>
      </c>
      <c r="F56" s="93">
        <v>7.1000000000000004E-3</v>
      </c>
      <c r="G56" s="93">
        <v>8.5000000000000006E-3</v>
      </c>
      <c r="H56" s="93">
        <v>9.9000000000000008E-3</v>
      </c>
      <c r="I56" s="93">
        <v>1.1299999999999999E-2</v>
      </c>
      <c r="J56" s="93">
        <v>1.2800000000000001E-2</v>
      </c>
      <c r="K56" s="93">
        <v>1.4200000000000001E-2</v>
      </c>
      <c r="L56" s="93">
        <v>1.5599999999999999E-2</v>
      </c>
      <c r="O56" s="74">
        <v>50</v>
      </c>
      <c r="P56" s="93">
        <v>1.7000000000000001E-2</v>
      </c>
      <c r="Q56" s="93">
        <v>1.8499999999999999E-2</v>
      </c>
      <c r="R56" s="93">
        <v>0.02</v>
      </c>
      <c r="S56" s="93">
        <v>2.1499999999999998E-2</v>
      </c>
      <c r="T56" s="93">
        <v>2.3E-2</v>
      </c>
      <c r="U56" s="93">
        <v>2.4500000000000001E-2</v>
      </c>
      <c r="V56" s="93">
        <v>2.5999999999999999E-2</v>
      </c>
      <c r="W56" s="93">
        <v>2.75E-2</v>
      </c>
      <c r="X56" s="93">
        <v>2.9000000000000001E-2</v>
      </c>
      <c r="Y56" s="93">
        <v>3.0499999999999999E-2</v>
      </c>
      <c r="Z56" s="93">
        <v>3.2000000000000001E-2</v>
      </c>
      <c r="AA56" s="93">
        <v>3.3500000000000002E-2</v>
      </c>
      <c r="AD56" s="74">
        <v>50</v>
      </c>
      <c r="AE56" s="93">
        <v>3.5000000000000003E-2</v>
      </c>
      <c r="AF56" s="93">
        <v>3.6299999999999999E-2</v>
      </c>
      <c r="AG56" s="93">
        <v>3.7699999999999997E-2</v>
      </c>
      <c r="AH56" s="93">
        <v>3.9E-2</v>
      </c>
      <c r="AI56" s="93">
        <v>4.0300000000000002E-2</v>
      </c>
      <c r="AJ56" s="93">
        <v>4.1700000000000001E-2</v>
      </c>
      <c r="AK56" s="93">
        <v>4.2999999999999997E-2</v>
      </c>
      <c r="AL56" s="93">
        <v>4.4299999999999999E-2</v>
      </c>
      <c r="AM56" s="93">
        <v>4.5699999999999998E-2</v>
      </c>
      <c r="AN56" s="93">
        <v>4.7E-2</v>
      </c>
      <c r="AO56" s="93">
        <v>4.8300000000000003E-2</v>
      </c>
      <c r="AP56" s="93">
        <v>4.9700000000000001E-2</v>
      </c>
      <c r="AS56" s="74">
        <v>50</v>
      </c>
      <c r="AT56" s="94">
        <v>5.0999999999999997E-2</v>
      </c>
    </row>
    <row r="57" spans="1:46" x14ac:dyDescent="0.25">
      <c r="A57" s="74">
        <v>51</v>
      </c>
      <c r="B57" s="93">
        <v>1.5E-3</v>
      </c>
      <c r="C57" s="93">
        <v>3.0000000000000001E-3</v>
      </c>
      <c r="D57" s="93">
        <v>4.4999999999999997E-3</v>
      </c>
      <c r="E57" s="93">
        <v>6.0000000000000001E-3</v>
      </c>
      <c r="F57" s="93">
        <v>7.4999999999999997E-3</v>
      </c>
      <c r="G57" s="93">
        <v>8.9999999999999993E-3</v>
      </c>
      <c r="H57" s="93">
        <v>1.0500000000000001E-2</v>
      </c>
      <c r="I57" s="93">
        <v>1.2E-2</v>
      </c>
      <c r="J57" s="93">
        <v>1.35E-2</v>
      </c>
      <c r="K57" s="93">
        <v>1.4999999999999999E-2</v>
      </c>
      <c r="L57" s="93">
        <v>1.6500000000000001E-2</v>
      </c>
      <c r="O57" s="74">
        <v>51</v>
      </c>
      <c r="P57" s="93">
        <v>1.7999999999999999E-2</v>
      </c>
      <c r="Q57" s="93">
        <v>1.9400000000000001E-2</v>
      </c>
      <c r="R57" s="93">
        <v>2.0799999999999999E-2</v>
      </c>
      <c r="S57" s="93">
        <v>2.23E-2</v>
      </c>
      <c r="T57" s="93">
        <v>2.3699999999999999E-2</v>
      </c>
      <c r="U57" s="93">
        <v>2.5100000000000001E-2</v>
      </c>
      <c r="V57" s="93">
        <v>2.6499999999999999E-2</v>
      </c>
      <c r="W57" s="93">
        <v>2.7900000000000001E-2</v>
      </c>
      <c r="X57" s="93">
        <v>2.93E-2</v>
      </c>
      <c r="Y57" s="93">
        <v>3.0800000000000001E-2</v>
      </c>
      <c r="Z57" s="93">
        <v>3.2199999999999999E-2</v>
      </c>
      <c r="AA57" s="93">
        <v>3.3599999999999998E-2</v>
      </c>
      <c r="AD57" s="74">
        <v>51</v>
      </c>
      <c r="AE57" s="93">
        <v>3.5000000000000003E-2</v>
      </c>
      <c r="AF57" s="93">
        <v>3.6400000000000002E-2</v>
      </c>
      <c r="AG57" s="93">
        <v>3.78E-2</v>
      </c>
      <c r="AH57" s="93">
        <v>3.9300000000000002E-2</v>
      </c>
      <c r="AI57" s="93">
        <v>4.07E-2</v>
      </c>
      <c r="AJ57" s="93">
        <v>4.2099999999999999E-2</v>
      </c>
      <c r="AK57" s="93">
        <v>4.3499999999999997E-2</v>
      </c>
      <c r="AL57" s="93">
        <v>4.4900000000000002E-2</v>
      </c>
      <c r="AM57" s="93">
        <v>4.6300000000000001E-2</v>
      </c>
      <c r="AN57" s="93">
        <v>4.7800000000000002E-2</v>
      </c>
      <c r="AO57" s="93">
        <v>4.9200000000000001E-2</v>
      </c>
      <c r="AP57" s="93">
        <v>5.0599999999999999E-2</v>
      </c>
      <c r="AS57" s="74">
        <v>51</v>
      </c>
      <c r="AT57" s="94">
        <v>5.1999999999999998E-2</v>
      </c>
    </row>
    <row r="58" spans="1:46" x14ac:dyDescent="0.25">
      <c r="A58" s="74">
        <v>52</v>
      </c>
      <c r="B58" s="93">
        <v>1.5E-3</v>
      </c>
      <c r="C58" s="93">
        <v>3.0000000000000001E-3</v>
      </c>
      <c r="D58" s="93">
        <v>4.4999999999999997E-3</v>
      </c>
      <c r="E58" s="93">
        <v>6.0000000000000001E-3</v>
      </c>
      <c r="F58" s="93">
        <v>7.4999999999999997E-3</v>
      </c>
      <c r="G58" s="93">
        <v>8.9999999999999993E-3</v>
      </c>
      <c r="H58" s="93">
        <v>1.0500000000000001E-2</v>
      </c>
      <c r="I58" s="93">
        <v>1.2E-2</v>
      </c>
      <c r="J58" s="93">
        <v>1.35E-2</v>
      </c>
      <c r="K58" s="93">
        <v>1.4999999999999999E-2</v>
      </c>
      <c r="L58" s="93">
        <v>1.6500000000000001E-2</v>
      </c>
      <c r="O58" s="74">
        <v>52</v>
      </c>
      <c r="P58" s="93">
        <v>1.7999999999999999E-2</v>
      </c>
      <c r="Q58" s="93">
        <v>1.95E-2</v>
      </c>
      <c r="R58" s="93">
        <v>2.1000000000000001E-2</v>
      </c>
      <c r="S58" s="93">
        <v>2.2499999999999999E-2</v>
      </c>
      <c r="T58" s="93">
        <v>2.4E-2</v>
      </c>
      <c r="U58" s="93">
        <v>2.5499999999999998E-2</v>
      </c>
      <c r="V58" s="93">
        <v>2.7E-2</v>
      </c>
      <c r="W58" s="93">
        <v>2.8500000000000001E-2</v>
      </c>
      <c r="X58" s="93">
        <v>0.03</v>
      </c>
      <c r="Y58" s="93">
        <v>3.15E-2</v>
      </c>
      <c r="Z58" s="93">
        <v>3.3000000000000002E-2</v>
      </c>
      <c r="AA58" s="93">
        <v>3.4500000000000003E-2</v>
      </c>
      <c r="AD58" s="74">
        <v>52</v>
      </c>
      <c r="AE58" s="93">
        <v>3.5999999999999997E-2</v>
      </c>
      <c r="AF58" s="93">
        <v>3.7400000000000003E-2</v>
      </c>
      <c r="AG58" s="93">
        <v>3.8800000000000001E-2</v>
      </c>
      <c r="AH58" s="93">
        <v>4.0300000000000002E-2</v>
      </c>
      <c r="AI58" s="93">
        <v>4.1700000000000001E-2</v>
      </c>
      <c r="AJ58" s="93">
        <v>4.3099999999999999E-2</v>
      </c>
      <c r="AK58" s="93">
        <v>4.4499999999999998E-2</v>
      </c>
      <c r="AL58" s="93">
        <v>4.5900000000000003E-2</v>
      </c>
      <c r="AM58" s="93">
        <v>4.7300000000000002E-2</v>
      </c>
      <c r="AN58" s="93">
        <v>4.8800000000000003E-2</v>
      </c>
      <c r="AO58" s="93">
        <v>5.0200000000000002E-2</v>
      </c>
      <c r="AP58" s="93">
        <v>5.16E-2</v>
      </c>
      <c r="AS58" s="74">
        <v>52</v>
      </c>
      <c r="AT58" s="94">
        <v>5.2999999999999999E-2</v>
      </c>
    </row>
    <row r="59" spans="1:46" x14ac:dyDescent="0.25">
      <c r="A59" s="74">
        <v>53</v>
      </c>
      <c r="B59" s="93">
        <v>1.5E-3</v>
      </c>
      <c r="C59" s="93">
        <v>3.0000000000000001E-3</v>
      </c>
      <c r="D59" s="93">
        <v>4.4999999999999997E-3</v>
      </c>
      <c r="E59" s="93">
        <v>6.0000000000000001E-3</v>
      </c>
      <c r="F59" s="93">
        <v>7.4999999999999997E-3</v>
      </c>
      <c r="G59" s="93">
        <v>8.9999999999999993E-3</v>
      </c>
      <c r="H59" s="93">
        <v>1.0500000000000001E-2</v>
      </c>
      <c r="I59" s="93">
        <v>1.2E-2</v>
      </c>
      <c r="J59" s="93">
        <v>1.35E-2</v>
      </c>
      <c r="K59" s="93">
        <v>1.4999999999999999E-2</v>
      </c>
      <c r="L59" s="93">
        <v>1.6500000000000001E-2</v>
      </c>
      <c r="O59" s="74">
        <v>53</v>
      </c>
      <c r="P59" s="93">
        <v>1.7999999999999999E-2</v>
      </c>
      <c r="Q59" s="93">
        <v>1.95E-2</v>
      </c>
      <c r="R59" s="93">
        <v>2.1000000000000001E-2</v>
      </c>
      <c r="S59" s="93">
        <v>2.2499999999999999E-2</v>
      </c>
      <c r="T59" s="93">
        <v>2.4E-2</v>
      </c>
      <c r="U59" s="93">
        <v>2.5499999999999998E-2</v>
      </c>
      <c r="V59" s="93">
        <v>2.7E-2</v>
      </c>
      <c r="W59" s="93">
        <v>2.8500000000000001E-2</v>
      </c>
      <c r="X59" s="93">
        <v>0.03</v>
      </c>
      <c r="Y59" s="93">
        <v>3.15E-2</v>
      </c>
      <c r="Z59" s="93">
        <v>3.3000000000000002E-2</v>
      </c>
      <c r="AA59" s="93">
        <v>3.4500000000000003E-2</v>
      </c>
      <c r="AD59" s="74">
        <v>53</v>
      </c>
      <c r="AE59" s="93">
        <v>3.5999999999999997E-2</v>
      </c>
      <c r="AF59" s="93">
        <v>3.7499999999999999E-2</v>
      </c>
      <c r="AG59" s="93">
        <v>3.9E-2</v>
      </c>
      <c r="AH59" s="93">
        <v>4.0500000000000001E-2</v>
      </c>
      <c r="AI59" s="93">
        <v>4.2000000000000003E-2</v>
      </c>
      <c r="AJ59" s="93">
        <v>4.3499999999999997E-2</v>
      </c>
      <c r="AK59" s="93">
        <v>4.4999999999999998E-2</v>
      </c>
      <c r="AL59" s="93">
        <v>4.65E-2</v>
      </c>
      <c r="AM59" s="93">
        <v>4.8000000000000001E-2</v>
      </c>
      <c r="AN59" s="93">
        <v>4.9500000000000002E-2</v>
      </c>
      <c r="AO59" s="93">
        <v>5.0999999999999997E-2</v>
      </c>
      <c r="AP59" s="93">
        <v>5.2499999999999998E-2</v>
      </c>
      <c r="AS59" s="74">
        <v>53</v>
      </c>
      <c r="AT59" s="94">
        <v>5.3999999999999999E-2</v>
      </c>
    </row>
    <row r="60" spans="1:46" x14ac:dyDescent="0.25">
      <c r="A60" s="74">
        <v>54</v>
      </c>
      <c r="B60" s="93">
        <v>1.6000000000000001E-3</v>
      </c>
      <c r="C60" s="93">
        <v>3.2000000000000002E-3</v>
      </c>
      <c r="D60" s="93">
        <v>4.7999999999999996E-3</v>
      </c>
      <c r="E60" s="93">
        <v>6.3E-3</v>
      </c>
      <c r="F60" s="93">
        <v>7.9000000000000008E-3</v>
      </c>
      <c r="G60" s="93">
        <v>9.4999999999999998E-3</v>
      </c>
      <c r="H60" s="93">
        <v>1.11E-2</v>
      </c>
      <c r="I60" s="93">
        <v>1.2699999999999999E-2</v>
      </c>
      <c r="J60" s="93">
        <v>1.43E-2</v>
      </c>
      <c r="K60" s="93">
        <v>1.5800000000000002E-2</v>
      </c>
      <c r="L60" s="93">
        <v>1.7399999999999999E-2</v>
      </c>
      <c r="O60" s="74">
        <v>54</v>
      </c>
      <c r="P60" s="93">
        <v>1.9E-2</v>
      </c>
      <c r="Q60" s="93">
        <v>2.0500000000000001E-2</v>
      </c>
      <c r="R60" s="93">
        <v>2.1999999999999999E-2</v>
      </c>
      <c r="S60" s="93">
        <v>2.35E-2</v>
      </c>
      <c r="T60" s="93">
        <v>2.5000000000000001E-2</v>
      </c>
      <c r="U60" s="93">
        <v>2.6499999999999999E-2</v>
      </c>
      <c r="V60" s="93">
        <v>2.8000000000000001E-2</v>
      </c>
      <c r="W60" s="93">
        <v>2.9499999999999998E-2</v>
      </c>
      <c r="X60" s="93">
        <v>3.1E-2</v>
      </c>
      <c r="Y60" s="93">
        <v>3.2500000000000001E-2</v>
      </c>
      <c r="Z60" s="93">
        <v>3.4000000000000002E-2</v>
      </c>
      <c r="AA60" s="93">
        <v>3.5499999999999997E-2</v>
      </c>
      <c r="AD60" s="74">
        <v>54</v>
      </c>
      <c r="AE60" s="93">
        <v>3.6999999999999998E-2</v>
      </c>
      <c r="AF60" s="93">
        <v>3.85E-2</v>
      </c>
      <c r="AG60" s="93">
        <v>0.04</v>
      </c>
      <c r="AH60" s="93">
        <v>4.1500000000000002E-2</v>
      </c>
      <c r="AI60" s="93">
        <v>4.2999999999999997E-2</v>
      </c>
      <c r="AJ60" s="93">
        <v>4.4499999999999998E-2</v>
      </c>
      <c r="AK60" s="93">
        <v>4.5999999999999999E-2</v>
      </c>
      <c r="AL60" s="93">
        <v>4.7500000000000001E-2</v>
      </c>
      <c r="AM60" s="93">
        <v>4.9000000000000002E-2</v>
      </c>
      <c r="AN60" s="93">
        <v>5.0500000000000003E-2</v>
      </c>
      <c r="AO60" s="93">
        <v>5.1999999999999998E-2</v>
      </c>
      <c r="AP60" s="93">
        <v>5.3499999999999999E-2</v>
      </c>
      <c r="AS60" s="74">
        <v>54</v>
      </c>
      <c r="AT60" s="94">
        <v>5.5E-2</v>
      </c>
    </row>
    <row r="61" spans="1:46" x14ac:dyDescent="0.25">
      <c r="A61" s="74">
        <v>55</v>
      </c>
      <c r="B61" s="93">
        <v>1.6000000000000001E-3</v>
      </c>
      <c r="C61" s="93">
        <v>3.2000000000000002E-3</v>
      </c>
      <c r="D61" s="93">
        <v>4.7999999999999996E-3</v>
      </c>
      <c r="E61" s="93">
        <v>6.3E-3</v>
      </c>
      <c r="F61" s="93">
        <v>7.9000000000000008E-3</v>
      </c>
      <c r="G61" s="93">
        <v>9.4999999999999998E-3</v>
      </c>
      <c r="H61" s="93">
        <v>1.11E-2</v>
      </c>
      <c r="I61" s="93">
        <v>1.2699999999999999E-2</v>
      </c>
      <c r="J61" s="93">
        <v>1.43E-2</v>
      </c>
      <c r="K61" s="93">
        <v>1.5800000000000002E-2</v>
      </c>
      <c r="L61" s="93">
        <v>1.7399999999999999E-2</v>
      </c>
      <c r="O61" s="74">
        <v>55</v>
      </c>
      <c r="P61" s="93">
        <v>1.9E-2</v>
      </c>
      <c r="Q61" s="93">
        <v>2.06E-2</v>
      </c>
      <c r="R61" s="93">
        <v>2.2200000000000001E-2</v>
      </c>
      <c r="S61" s="93">
        <v>2.3800000000000002E-2</v>
      </c>
      <c r="T61" s="93">
        <v>2.53E-2</v>
      </c>
      <c r="U61" s="93">
        <v>2.69E-2</v>
      </c>
      <c r="V61" s="93">
        <v>2.8500000000000001E-2</v>
      </c>
      <c r="W61" s="93">
        <v>3.0099999999999998E-2</v>
      </c>
      <c r="X61" s="93">
        <v>3.1699999999999999E-2</v>
      </c>
      <c r="Y61" s="93">
        <v>3.3300000000000003E-2</v>
      </c>
      <c r="Z61" s="93">
        <v>3.4799999999999998E-2</v>
      </c>
      <c r="AA61" s="93">
        <v>3.6400000000000002E-2</v>
      </c>
      <c r="AD61" s="74">
        <v>55</v>
      </c>
      <c r="AE61" s="93">
        <v>3.7999999999999999E-2</v>
      </c>
      <c r="AF61" s="93">
        <v>3.95E-2</v>
      </c>
      <c r="AG61" s="93">
        <v>4.1000000000000002E-2</v>
      </c>
      <c r="AH61" s="93">
        <v>4.2500000000000003E-2</v>
      </c>
      <c r="AI61" s="93">
        <v>4.3999999999999997E-2</v>
      </c>
      <c r="AJ61" s="93">
        <v>4.5499999999999999E-2</v>
      </c>
      <c r="AK61" s="93">
        <v>4.7E-2</v>
      </c>
      <c r="AL61" s="93">
        <v>4.8500000000000001E-2</v>
      </c>
      <c r="AM61" s="93">
        <v>0.05</v>
      </c>
      <c r="AN61" s="93">
        <v>5.1499999999999997E-2</v>
      </c>
      <c r="AO61" s="93">
        <v>5.2999999999999999E-2</v>
      </c>
      <c r="AP61" s="93">
        <v>5.45E-2</v>
      </c>
      <c r="AS61" s="74">
        <v>55</v>
      </c>
      <c r="AT61" s="94">
        <v>5.6000000000000001E-2</v>
      </c>
    </row>
    <row r="62" spans="1:46" x14ac:dyDescent="0.25">
      <c r="A62" s="74">
        <v>56</v>
      </c>
      <c r="B62" s="93">
        <v>1.6999999999999999E-3</v>
      </c>
      <c r="C62" s="93">
        <v>3.3E-3</v>
      </c>
      <c r="D62" s="93">
        <v>5.0000000000000001E-3</v>
      </c>
      <c r="E62" s="93">
        <v>6.7000000000000002E-3</v>
      </c>
      <c r="F62" s="93">
        <v>8.3000000000000001E-3</v>
      </c>
      <c r="G62" s="93">
        <v>0.01</v>
      </c>
      <c r="H62" s="93">
        <v>1.17E-2</v>
      </c>
      <c r="I62" s="93">
        <v>1.3299999999999999E-2</v>
      </c>
      <c r="J62" s="93">
        <v>1.4999999999999999E-2</v>
      </c>
      <c r="K62" s="93">
        <v>1.67E-2</v>
      </c>
      <c r="L62" s="93">
        <v>1.83E-2</v>
      </c>
      <c r="O62" s="74">
        <v>56</v>
      </c>
      <c r="P62" s="93">
        <v>0.02</v>
      </c>
      <c r="Q62" s="93">
        <v>2.1600000000000001E-2</v>
      </c>
      <c r="R62" s="93">
        <v>2.3199999999999998E-2</v>
      </c>
      <c r="S62" s="93">
        <v>2.4799999999999999E-2</v>
      </c>
      <c r="T62" s="93">
        <v>2.63E-2</v>
      </c>
      <c r="U62" s="93">
        <v>2.7900000000000001E-2</v>
      </c>
      <c r="V62" s="93">
        <v>2.9499999999999998E-2</v>
      </c>
      <c r="W62" s="93">
        <v>3.1099999999999999E-2</v>
      </c>
      <c r="X62" s="93">
        <v>3.27E-2</v>
      </c>
      <c r="Y62" s="93">
        <v>3.4299999999999997E-2</v>
      </c>
      <c r="Z62" s="93">
        <v>3.5799999999999998E-2</v>
      </c>
      <c r="AA62" s="93">
        <v>3.7400000000000003E-2</v>
      </c>
      <c r="AD62" s="74">
        <v>56</v>
      </c>
      <c r="AE62" s="93">
        <v>3.9E-2</v>
      </c>
      <c r="AF62" s="93">
        <v>4.0500000000000001E-2</v>
      </c>
      <c r="AG62" s="93">
        <v>4.2000000000000003E-2</v>
      </c>
      <c r="AH62" s="93">
        <v>4.3499999999999997E-2</v>
      </c>
      <c r="AI62" s="93">
        <v>4.4999999999999998E-2</v>
      </c>
      <c r="AJ62" s="93">
        <v>4.65E-2</v>
      </c>
      <c r="AK62" s="93">
        <v>4.8000000000000001E-2</v>
      </c>
      <c r="AL62" s="93">
        <v>4.9500000000000002E-2</v>
      </c>
      <c r="AM62" s="93">
        <v>5.0999999999999997E-2</v>
      </c>
      <c r="AN62" s="93">
        <v>5.2499999999999998E-2</v>
      </c>
      <c r="AO62" s="93">
        <v>5.3999999999999999E-2</v>
      </c>
      <c r="AP62" s="93">
        <v>5.5500000000000001E-2</v>
      </c>
      <c r="AS62" s="74">
        <v>56</v>
      </c>
      <c r="AT62" s="94">
        <v>5.7000000000000002E-2</v>
      </c>
    </row>
    <row r="63" spans="1:46" x14ac:dyDescent="0.25">
      <c r="A63" s="74">
        <v>57</v>
      </c>
      <c r="B63" s="93">
        <v>1.6999999999999999E-3</v>
      </c>
      <c r="C63" s="93">
        <v>3.3E-3</v>
      </c>
      <c r="D63" s="93">
        <v>5.0000000000000001E-3</v>
      </c>
      <c r="E63" s="93">
        <v>6.7000000000000002E-3</v>
      </c>
      <c r="F63" s="93">
        <v>8.3000000000000001E-3</v>
      </c>
      <c r="G63" s="93">
        <v>0.01</v>
      </c>
      <c r="H63" s="93">
        <v>1.17E-2</v>
      </c>
      <c r="I63" s="93">
        <v>1.3299999999999999E-2</v>
      </c>
      <c r="J63" s="93">
        <v>1.4999999999999999E-2</v>
      </c>
      <c r="K63" s="93">
        <v>1.67E-2</v>
      </c>
      <c r="L63" s="93">
        <v>1.83E-2</v>
      </c>
      <c r="O63" s="74">
        <v>57</v>
      </c>
      <c r="P63" s="93">
        <v>0.02</v>
      </c>
      <c r="Q63" s="93">
        <v>2.1600000000000001E-2</v>
      </c>
      <c r="R63" s="93">
        <v>2.3199999999999998E-2</v>
      </c>
      <c r="S63" s="93">
        <v>2.4799999999999999E-2</v>
      </c>
      <c r="T63" s="93">
        <v>2.63E-2</v>
      </c>
      <c r="U63" s="93">
        <v>2.7900000000000001E-2</v>
      </c>
      <c r="V63" s="93">
        <v>2.9499999999999998E-2</v>
      </c>
      <c r="W63" s="93">
        <v>3.1099999999999999E-2</v>
      </c>
      <c r="X63" s="93">
        <v>3.27E-2</v>
      </c>
      <c r="Y63" s="93">
        <v>3.4299999999999997E-2</v>
      </c>
      <c r="Z63" s="93">
        <v>3.5799999999999998E-2</v>
      </c>
      <c r="AA63" s="93">
        <v>3.7400000000000003E-2</v>
      </c>
      <c r="AD63" s="74">
        <v>57</v>
      </c>
      <c r="AE63" s="93">
        <v>3.9E-2</v>
      </c>
      <c r="AF63" s="93">
        <v>4.0599999999999997E-2</v>
      </c>
      <c r="AG63" s="93">
        <v>4.2200000000000001E-2</v>
      </c>
      <c r="AH63" s="93">
        <v>4.3799999999999999E-2</v>
      </c>
      <c r="AI63" s="93">
        <v>4.53E-2</v>
      </c>
      <c r="AJ63" s="93">
        <v>4.6899999999999997E-2</v>
      </c>
      <c r="AK63" s="93">
        <v>4.8500000000000001E-2</v>
      </c>
      <c r="AL63" s="93">
        <v>5.0099999999999999E-2</v>
      </c>
      <c r="AM63" s="93">
        <v>5.1700000000000003E-2</v>
      </c>
      <c r="AN63" s="93">
        <v>5.33E-2</v>
      </c>
      <c r="AO63" s="93">
        <v>5.4800000000000001E-2</v>
      </c>
      <c r="AP63" s="93">
        <v>5.6399999999999999E-2</v>
      </c>
      <c r="AS63" s="74">
        <v>57</v>
      </c>
      <c r="AT63" s="94">
        <v>5.8000000000000003E-2</v>
      </c>
    </row>
    <row r="64" spans="1:46" x14ac:dyDescent="0.25">
      <c r="A64" s="74">
        <v>58</v>
      </c>
      <c r="B64" s="93">
        <v>1.6999999999999999E-3</v>
      </c>
      <c r="C64" s="93">
        <v>3.3E-3</v>
      </c>
      <c r="D64" s="93">
        <v>5.0000000000000001E-3</v>
      </c>
      <c r="E64" s="93">
        <v>6.7000000000000002E-3</v>
      </c>
      <c r="F64" s="93">
        <v>8.3000000000000001E-3</v>
      </c>
      <c r="G64" s="93">
        <v>0.01</v>
      </c>
      <c r="H64" s="93">
        <v>1.17E-2</v>
      </c>
      <c r="I64" s="93">
        <v>1.3299999999999999E-2</v>
      </c>
      <c r="J64" s="93">
        <v>1.4999999999999999E-2</v>
      </c>
      <c r="K64" s="93">
        <v>1.67E-2</v>
      </c>
      <c r="L64" s="93">
        <v>1.83E-2</v>
      </c>
      <c r="O64" s="74">
        <v>58</v>
      </c>
      <c r="P64" s="93">
        <v>0.02</v>
      </c>
      <c r="Q64" s="93">
        <v>2.1700000000000001E-2</v>
      </c>
      <c r="R64" s="93">
        <v>2.3300000000000001E-2</v>
      </c>
      <c r="S64" s="93">
        <v>2.5000000000000001E-2</v>
      </c>
      <c r="T64" s="93">
        <v>2.6700000000000002E-2</v>
      </c>
      <c r="U64" s="93">
        <v>2.8299999999999999E-2</v>
      </c>
      <c r="V64" s="93">
        <v>0.03</v>
      </c>
      <c r="W64" s="93">
        <v>3.1699999999999999E-2</v>
      </c>
      <c r="X64" s="93">
        <v>3.3300000000000003E-2</v>
      </c>
      <c r="Y64" s="93">
        <v>3.5000000000000003E-2</v>
      </c>
      <c r="Z64" s="93">
        <v>3.6700000000000003E-2</v>
      </c>
      <c r="AA64" s="93">
        <v>3.8300000000000001E-2</v>
      </c>
      <c r="AD64" s="74">
        <v>58</v>
      </c>
      <c r="AE64" s="93">
        <v>0.04</v>
      </c>
      <c r="AF64" s="93">
        <v>4.1599999999999998E-2</v>
      </c>
      <c r="AG64" s="93">
        <v>4.3200000000000002E-2</v>
      </c>
      <c r="AH64" s="93">
        <v>4.48E-2</v>
      </c>
      <c r="AI64" s="93">
        <v>4.6300000000000001E-2</v>
      </c>
      <c r="AJ64" s="93">
        <v>4.7899999999999998E-2</v>
      </c>
      <c r="AK64" s="93">
        <v>4.9500000000000002E-2</v>
      </c>
      <c r="AL64" s="93">
        <v>5.11E-2</v>
      </c>
      <c r="AM64" s="93">
        <v>5.2699999999999997E-2</v>
      </c>
      <c r="AN64" s="93">
        <v>5.4300000000000001E-2</v>
      </c>
      <c r="AO64" s="93">
        <v>5.5800000000000002E-2</v>
      </c>
      <c r="AP64" s="93">
        <v>5.74E-2</v>
      </c>
      <c r="AS64" s="74">
        <v>58</v>
      </c>
      <c r="AT64" s="94">
        <v>5.8999999999999997E-2</v>
      </c>
    </row>
    <row r="65" spans="1:46" x14ac:dyDescent="0.25">
      <c r="A65" s="74">
        <v>59</v>
      </c>
      <c r="B65" s="93">
        <v>1.8E-3</v>
      </c>
      <c r="C65" s="93">
        <v>3.5000000000000001E-3</v>
      </c>
      <c r="D65" s="93">
        <v>5.3E-3</v>
      </c>
      <c r="E65" s="93">
        <v>7.0000000000000001E-3</v>
      </c>
      <c r="F65" s="93">
        <v>8.8000000000000005E-3</v>
      </c>
      <c r="G65" s="93">
        <v>1.0500000000000001E-2</v>
      </c>
      <c r="H65" s="93">
        <v>1.23E-2</v>
      </c>
      <c r="I65" s="93">
        <v>1.4E-2</v>
      </c>
      <c r="J65" s="93">
        <v>1.5800000000000002E-2</v>
      </c>
      <c r="K65" s="93">
        <v>1.7500000000000002E-2</v>
      </c>
      <c r="L65" s="93">
        <v>1.9300000000000001E-2</v>
      </c>
      <c r="O65" s="74">
        <v>59</v>
      </c>
      <c r="P65" s="93">
        <v>2.1000000000000001E-2</v>
      </c>
      <c r="Q65" s="93">
        <v>2.2700000000000001E-2</v>
      </c>
      <c r="R65" s="93">
        <v>2.4299999999999999E-2</v>
      </c>
      <c r="S65" s="93">
        <v>2.5999999999999999E-2</v>
      </c>
      <c r="T65" s="93">
        <v>2.7699999999999999E-2</v>
      </c>
      <c r="U65" s="93">
        <v>2.93E-2</v>
      </c>
      <c r="V65" s="93">
        <v>3.1E-2</v>
      </c>
      <c r="W65" s="93">
        <v>3.27E-2</v>
      </c>
      <c r="X65" s="93">
        <v>3.4299999999999997E-2</v>
      </c>
      <c r="Y65" s="93">
        <v>3.5999999999999997E-2</v>
      </c>
      <c r="Z65" s="93">
        <v>3.7699999999999997E-2</v>
      </c>
      <c r="AA65" s="93">
        <v>3.9300000000000002E-2</v>
      </c>
      <c r="AD65" s="74">
        <v>59</v>
      </c>
      <c r="AE65" s="93">
        <v>4.1000000000000002E-2</v>
      </c>
      <c r="AF65" s="93">
        <v>4.2700000000000002E-2</v>
      </c>
      <c r="AG65" s="93">
        <v>4.4299999999999999E-2</v>
      </c>
      <c r="AH65" s="93">
        <v>4.5999999999999999E-2</v>
      </c>
      <c r="AI65" s="93">
        <v>4.7699999999999999E-2</v>
      </c>
      <c r="AJ65" s="93">
        <v>4.9299999999999997E-2</v>
      </c>
      <c r="AK65" s="93">
        <v>5.0999999999999997E-2</v>
      </c>
      <c r="AL65" s="93">
        <v>5.2699999999999997E-2</v>
      </c>
      <c r="AM65" s="93">
        <v>5.4300000000000001E-2</v>
      </c>
      <c r="AN65" s="93">
        <v>5.6000000000000001E-2</v>
      </c>
      <c r="AO65" s="93">
        <v>5.7700000000000001E-2</v>
      </c>
      <c r="AP65" s="93">
        <v>5.9299999999999999E-2</v>
      </c>
      <c r="AS65" s="74">
        <v>59</v>
      </c>
      <c r="AT65" s="94">
        <v>6.0999999999999999E-2</v>
      </c>
    </row>
    <row r="66" spans="1:46" x14ac:dyDescent="0.25">
      <c r="A66" s="74">
        <v>60</v>
      </c>
      <c r="B66" s="93">
        <v>1.8E-3</v>
      </c>
      <c r="C66" s="93">
        <v>3.5000000000000001E-3</v>
      </c>
      <c r="D66" s="93">
        <v>5.3E-3</v>
      </c>
      <c r="E66" s="93">
        <v>7.0000000000000001E-3</v>
      </c>
      <c r="F66" s="93">
        <v>8.8000000000000005E-3</v>
      </c>
      <c r="G66" s="93">
        <v>1.0500000000000001E-2</v>
      </c>
      <c r="H66" s="93">
        <v>1.23E-2</v>
      </c>
      <c r="I66" s="93">
        <v>1.4E-2</v>
      </c>
      <c r="J66" s="93">
        <v>1.5800000000000002E-2</v>
      </c>
      <c r="K66" s="93">
        <v>1.7500000000000002E-2</v>
      </c>
      <c r="L66" s="93">
        <v>1.9300000000000001E-2</v>
      </c>
      <c r="O66" s="74">
        <v>60</v>
      </c>
      <c r="P66" s="93">
        <v>2.1000000000000001E-2</v>
      </c>
      <c r="Q66" s="93">
        <v>2.2800000000000001E-2</v>
      </c>
      <c r="R66" s="93">
        <v>2.4500000000000001E-2</v>
      </c>
      <c r="S66" s="93">
        <v>2.63E-2</v>
      </c>
      <c r="T66" s="93">
        <v>2.8000000000000001E-2</v>
      </c>
      <c r="U66" s="93">
        <v>2.98E-2</v>
      </c>
      <c r="V66" s="93">
        <v>3.15E-2</v>
      </c>
      <c r="W66" s="93">
        <v>3.3300000000000003E-2</v>
      </c>
      <c r="X66" s="93">
        <v>3.5000000000000003E-2</v>
      </c>
      <c r="Y66" s="93">
        <v>3.6799999999999999E-2</v>
      </c>
      <c r="Z66" s="93">
        <v>3.85E-2</v>
      </c>
      <c r="AA66" s="93">
        <v>4.0300000000000002E-2</v>
      </c>
      <c r="AD66" s="74">
        <v>60</v>
      </c>
      <c r="AE66" s="93">
        <v>4.2000000000000003E-2</v>
      </c>
      <c r="AF66" s="93">
        <v>4.3700000000000003E-2</v>
      </c>
      <c r="AG66" s="93">
        <v>4.53E-2</v>
      </c>
      <c r="AH66" s="93">
        <v>4.7E-2</v>
      </c>
      <c r="AI66" s="93">
        <v>4.87E-2</v>
      </c>
      <c r="AJ66" s="93">
        <v>5.0299999999999997E-2</v>
      </c>
      <c r="AK66" s="93">
        <v>5.1999999999999998E-2</v>
      </c>
      <c r="AL66" s="93">
        <v>5.3699999999999998E-2</v>
      </c>
      <c r="AM66" s="93">
        <v>5.5300000000000002E-2</v>
      </c>
      <c r="AN66" s="93">
        <v>5.7000000000000002E-2</v>
      </c>
      <c r="AO66" s="93">
        <v>5.8700000000000002E-2</v>
      </c>
      <c r="AP66" s="93">
        <v>6.0299999999999999E-2</v>
      </c>
      <c r="AS66" s="74">
        <v>60</v>
      </c>
      <c r="AT66" s="94">
        <v>6.2E-2</v>
      </c>
    </row>
    <row r="67" spans="1:46" x14ac:dyDescent="0.25">
      <c r="A67" s="74">
        <v>61</v>
      </c>
      <c r="B67" s="93">
        <v>1.8E-3</v>
      </c>
      <c r="C67" s="93">
        <v>3.7000000000000002E-3</v>
      </c>
      <c r="D67" s="93">
        <v>5.4999999999999997E-3</v>
      </c>
      <c r="E67" s="93">
        <v>7.3000000000000001E-3</v>
      </c>
      <c r="F67" s="93">
        <v>9.1999999999999998E-3</v>
      </c>
      <c r="G67" s="93">
        <v>1.0999999999999999E-2</v>
      </c>
      <c r="H67" s="93">
        <v>1.2800000000000001E-2</v>
      </c>
      <c r="I67" s="93">
        <v>1.47E-2</v>
      </c>
      <c r="J67" s="93">
        <v>1.6500000000000001E-2</v>
      </c>
      <c r="K67" s="93">
        <v>1.83E-2</v>
      </c>
      <c r="L67" s="93">
        <v>2.0199999999999999E-2</v>
      </c>
      <c r="O67" s="74">
        <v>61</v>
      </c>
      <c r="P67" s="93">
        <v>2.1999999999999999E-2</v>
      </c>
      <c r="Q67" s="93">
        <v>2.3800000000000002E-2</v>
      </c>
      <c r="R67" s="93">
        <v>2.5499999999999998E-2</v>
      </c>
      <c r="S67" s="93">
        <v>2.7300000000000001E-2</v>
      </c>
      <c r="T67" s="93">
        <v>2.9000000000000001E-2</v>
      </c>
      <c r="U67" s="93">
        <v>3.0800000000000001E-2</v>
      </c>
      <c r="V67" s="93">
        <v>3.2500000000000001E-2</v>
      </c>
      <c r="W67" s="93">
        <v>3.4299999999999997E-2</v>
      </c>
      <c r="X67" s="93">
        <v>3.5999999999999997E-2</v>
      </c>
      <c r="Y67" s="93">
        <v>3.78E-2</v>
      </c>
      <c r="Z67" s="93">
        <v>3.95E-2</v>
      </c>
      <c r="AA67" s="93">
        <v>4.1300000000000003E-2</v>
      </c>
      <c r="AD67" s="74">
        <v>61</v>
      </c>
      <c r="AE67" s="93">
        <v>4.2999999999999997E-2</v>
      </c>
      <c r="AF67" s="93">
        <v>4.4699999999999997E-2</v>
      </c>
      <c r="AG67" s="93">
        <v>4.6300000000000001E-2</v>
      </c>
      <c r="AH67" s="93">
        <v>4.8000000000000001E-2</v>
      </c>
      <c r="AI67" s="93">
        <v>4.9700000000000001E-2</v>
      </c>
      <c r="AJ67" s="93">
        <v>5.1299999999999998E-2</v>
      </c>
      <c r="AK67" s="93">
        <v>5.2999999999999999E-2</v>
      </c>
      <c r="AL67" s="93">
        <v>5.4699999999999999E-2</v>
      </c>
      <c r="AM67" s="93">
        <v>5.6300000000000003E-2</v>
      </c>
      <c r="AN67" s="93">
        <v>5.8000000000000003E-2</v>
      </c>
      <c r="AO67" s="93">
        <v>5.9700000000000003E-2</v>
      </c>
      <c r="AP67" s="93">
        <v>6.13E-2</v>
      </c>
      <c r="AS67" s="74">
        <v>61</v>
      </c>
      <c r="AT67" s="94">
        <v>6.3E-2</v>
      </c>
    </row>
    <row r="68" spans="1:46" x14ac:dyDescent="0.25">
      <c r="A68" s="74">
        <v>62</v>
      </c>
      <c r="B68" s="93">
        <v>1.8E-3</v>
      </c>
      <c r="C68" s="93">
        <v>3.7000000000000002E-3</v>
      </c>
      <c r="D68" s="93">
        <v>5.4999999999999997E-3</v>
      </c>
      <c r="E68" s="93">
        <v>7.3000000000000001E-3</v>
      </c>
      <c r="F68" s="93">
        <v>9.1999999999999998E-3</v>
      </c>
      <c r="G68" s="93">
        <v>1.0999999999999999E-2</v>
      </c>
      <c r="H68" s="93">
        <v>1.2800000000000001E-2</v>
      </c>
      <c r="I68" s="93">
        <v>1.47E-2</v>
      </c>
      <c r="J68" s="93">
        <v>1.6500000000000001E-2</v>
      </c>
      <c r="K68" s="93">
        <v>1.83E-2</v>
      </c>
      <c r="L68" s="93">
        <v>2.0199999999999999E-2</v>
      </c>
      <c r="O68" s="74">
        <v>62</v>
      </c>
      <c r="P68" s="93">
        <v>2.1999999999999999E-2</v>
      </c>
      <c r="Q68" s="93">
        <v>2.3800000000000002E-2</v>
      </c>
      <c r="R68" s="93">
        <v>2.5700000000000001E-2</v>
      </c>
      <c r="S68" s="93">
        <v>2.75E-2</v>
      </c>
      <c r="T68" s="93">
        <v>2.93E-2</v>
      </c>
      <c r="U68" s="93">
        <v>3.1199999999999999E-2</v>
      </c>
      <c r="V68" s="93">
        <v>3.3000000000000002E-2</v>
      </c>
      <c r="W68" s="93">
        <v>3.4799999999999998E-2</v>
      </c>
      <c r="X68" s="93">
        <v>3.6700000000000003E-2</v>
      </c>
      <c r="Y68" s="93">
        <v>3.85E-2</v>
      </c>
      <c r="Z68" s="93">
        <v>4.0300000000000002E-2</v>
      </c>
      <c r="AA68" s="93">
        <v>4.2200000000000001E-2</v>
      </c>
      <c r="AD68" s="74">
        <v>62</v>
      </c>
      <c r="AE68" s="93">
        <v>4.3999999999999997E-2</v>
      </c>
      <c r="AF68" s="93">
        <v>4.5699999999999998E-2</v>
      </c>
      <c r="AG68" s="93">
        <v>4.7300000000000002E-2</v>
      </c>
      <c r="AH68" s="93">
        <v>4.9000000000000002E-2</v>
      </c>
      <c r="AI68" s="93">
        <v>5.0700000000000002E-2</v>
      </c>
      <c r="AJ68" s="93">
        <v>5.2299999999999999E-2</v>
      </c>
      <c r="AK68" s="93">
        <v>5.3999999999999999E-2</v>
      </c>
      <c r="AL68" s="93">
        <v>5.57E-2</v>
      </c>
      <c r="AM68" s="93">
        <v>5.7299999999999997E-2</v>
      </c>
      <c r="AN68" s="93">
        <v>5.8999999999999997E-2</v>
      </c>
      <c r="AO68" s="93">
        <v>6.0699999999999997E-2</v>
      </c>
      <c r="AP68" s="93">
        <v>6.2300000000000001E-2</v>
      </c>
      <c r="AS68" s="74">
        <v>62</v>
      </c>
      <c r="AT68" s="94">
        <v>6.4000000000000001E-2</v>
      </c>
    </row>
    <row r="69" spans="1:46" x14ac:dyDescent="0.25">
      <c r="A69" s="74">
        <v>63</v>
      </c>
      <c r="B69" s="93">
        <v>1.8E-3</v>
      </c>
      <c r="C69" s="93">
        <v>3.7000000000000002E-3</v>
      </c>
      <c r="D69" s="93">
        <v>5.4999999999999997E-3</v>
      </c>
      <c r="E69" s="93">
        <v>7.3000000000000001E-3</v>
      </c>
      <c r="F69" s="93">
        <v>9.1999999999999998E-3</v>
      </c>
      <c r="G69" s="93">
        <v>1.0999999999999999E-2</v>
      </c>
      <c r="H69" s="93">
        <v>1.2800000000000001E-2</v>
      </c>
      <c r="I69" s="93">
        <v>1.47E-2</v>
      </c>
      <c r="J69" s="93">
        <v>1.6500000000000001E-2</v>
      </c>
      <c r="K69" s="93">
        <v>1.83E-2</v>
      </c>
      <c r="L69" s="93">
        <v>2.0199999999999999E-2</v>
      </c>
      <c r="O69" s="74">
        <v>63</v>
      </c>
      <c r="P69" s="93">
        <v>2.1999999999999999E-2</v>
      </c>
      <c r="Q69" s="93">
        <v>2.3800000000000002E-2</v>
      </c>
      <c r="R69" s="93">
        <v>2.5700000000000001E-2</v>
      </c>
      <c r="S69" s="93">
        <v>2.75E-2</v>
      </c>
      <c r="T69" s="93">
        <v>2.93E-2</v>
      </c>
      <c r="U69" s="93">
        <v>3.1199999999999999E-2</v>
      </c>
      <c r="V69" s="93">
        <v>3.3000000000000002E-2</v>
      </c>
      <c r="W69" s="93">
        <v>3.4799999999999998E-2</v>
      </c>
      <c r="X69" s="93">
        <v>3.6700000000000003E-2</v>
      </c>
      <c r="Y69" s="93">
        <v>3.85E-2</v>
      </c>
      <c r="Z69" s="93">
        <v>4.0300000000000002E-2</v>
      </c>
      <c r="AA69" s="93">
        <v>4.2200000000000001E-2</v>
      </c>
      <c r="AD69" s="74">
        <v>63</v>
      </c>
      <c r="AE69" s="93">
        <v>4.3999999999999997E-2</v>
      </c>
      <c r="AF69" s="93">
        <v>4.58E-2</v>
      </c>
      <c r="AG69" s="93">
        <v>4.7699999999999999E-2</v>
      </c>
      <c r="AH69" s="93">
        <v>4.9500000000000002E-2</v>
      </c>
      <c r="AI69" s="93">
        <v>5.1299999999999998E-2</v>
      </c>
      <c r="AJ69" s="93">
        <v>5.3199999999999997E-2</v>
      </c>
      <c r="AK69" s="93">
        <v>5.5E-2</v>
      </c>
      <c r="AL69" s="93">
        <v>5.6800000000000003E-2</v>
      </c>
      <c r="AM69" s="93">
        <v>5.8700000000000002E-2</v>
      </c>
      <c r="AN69" s="93">
        <v>6.0499999999999998E-2</v>
      </c>
      <c r="AO69" s="93">
        <v>6.2300000000000001E-2</v>
      </c>
      <c r="AP69" s="93">
        <v>6.4199999999999993E-2</v>
      </c>
      <c r="AS69" s="74">
        <v>63</v>
      </c>
      <c r="AT69" s="94">
        <v>6.6000000000000003E-2</v>
      </c>
    </row>
    <row r="70" spans="1:46" x14ac:dyDescent="0.25">
      <c r="A70" s="74">
        <v>64</v>
      </c>
      <c r="B70" s="93">
        <v>1.9E-3</v>
      </c>
      <c r="C70" s="93">
        <v>3.8E-3</v>
      </c>
      <c r="D70" s="93">
        <v>5.7999999999999996E-3</v>
      </c>
      <c r="E70" s="93">
        <v>7.7000000000000002E-3</v>
      </c>
      <c r="F70" s="93">
        <v>9.5999999999999992E-3</v>
      </c>
      <c r="G70" s="93">
        <v>1.15E-2</v>
      </c>
      <c r="H70" s="93">
        <v>1.34E-2</v>
      </c>
      <c r="I70" s="93">
        <v>1.5299999999999999E-2</v>
      </c>
      <c r="J70" s="93">
        <v>1.7299999999999999E-2</v>
      </c>
      <c r="K70" s="93">
        <v>1.9199999999999998E-2</v>
      </c>
      <c r="L70" s="93">
        <v>2.1100000000000001E-2</v>
      </c>
      <c r="O70" s="74">
        <v>64</v>
      </c>
      <c r="P70" s="93">
        <v>2.3E-2</v>
      </c>
      <c r="Q70" s="93">
        <v>2.4799999999999999E-2</v>
      </c>
      <c r="R70" s="93">
        <v>2.6700000000000002E-2</v>
      </c>
      <c r="S70" s="93">
        <v>2.8500000000000001E-2</v>
      </c>
      <c r="T70" s="93">
        <v>3.0300000000000001E-2</v>
      </c>
      <c r="U70" s="93">
        <v>3.2199999999999999E-2</v>
      </c>
      <c r="V70" s="93">
        <v>3.4000000000000002E-2</v>
      </c>
      <c r="W70" s="93">
        <v>3.5799999999999998E-2</v>
      </c>
      <c r="X70" s="93">
        <v>3.7699999999999997E-2</v>
      </c>
      <c r="Y70" s="93">
        <v>3.95E-2</v>
      </c>
      <c r="Z70" s="93">
        <v>4.1300000000000003E-2</v>
      </c>
      <c r="AA70" s="93">
        <v>4.3200000000000002E-2</v>
      </c>
      <c r="AD70" s="74">
        <v>64</v>
      </c>
      <c r="AE70" s="93">
        <v>4.4999999999999998E-2</v>
      </c>
      <c r="AF70" s="93">
        <v>4.6800000000000001E-2</v>
      </c>
      <c r="AG70" s="93">
        <v>4.87E-2</v>
      </c>
      <c r="AH70" s="93">
        <v>5.0500000000000003E-2</v>
      </c>
      <c r="AI70" s="93">
        <v>5.2299999999999999E-2</v>
      </c>
      <c r="AJ70" s="93">
        <v>5.4199999999999998E-2</v>
      </c>
      <c r="AK70" s="93">
        <v>5.6000000000000001E-2</v>
      </c>
      <c r="AL70" s="93">
        <v>5.7799999999999997E-2</v>
      </c>
      <c r="AM70" s="93">
        <v>5.9700000000000003E-2</v>
      </c>
      <c r="AN70" s="93">
        <v>6.1499999999999999E-2</v>
      </c>
      <c r="AO70" s="93">
        <v>6.3299999999999995E-2</v>
      </c>
      <c r="AP70" s="93">
        <v>6.5199999999999994E-2</v>
      </c>
      <c r="AS70" s="74">
        <v>64</v>
      </c>
      <c r="AT70" s="94">
        <v>6.7000000000000004E-2</v>
      </c>
    </row>
  </sheetData>
  <sheetProtection algorithmName="SHA-512" hashValue="J26eegSlyXIctejpmApC0Z9DlgsgZZbUHfl7KicrOILJ/9Ex2M6D+vKWRew2H9J1jHP4OvYuQfvkIZ0CCawW6g==" saltValue="nMnAdJrjZyXjLGXLcusC2g==" spinCount="100000" sheet="1" objects="1" scenarios="1"/>
  <conditionalFormatting sqref="A6:A21">
    <cfRule type="expression" dxfId="271" priority="19" stopIfTrue="1">
      <formula>MOD(ROW(),2)=0</formula>
    </cfRule>
    <cfRule type="expression" dxfId="270" priority="20" stopIfTrue="1">
      <formula>MOD(ROW(),2)&lt;&gt;0</formula>
    </cfRule>
  </conditionalFormatting>
  <conditionalFormatting sqref="A25:A70">
    <cfRule type="expression" dxfId="269" priority="92" stopIfTrue="1">
      <formula>MOD(ROW(),2)&lt;&gt;0</formula>
    </cfRule>
    <cfRule type="expression" dxfId="268" priority="91" stopIfTrue="1">
      <formula>MOD(ROW(),2)=0</formula>
    </cfRule>
  </conditionalFormatting>
  <conditionalFormatting sqref="B12">
    <cfRule type="expression" dxfId="267" priority="71" stopIfTrue="1">
      <formula>MOD(ROW(),2)=0</formula>
    </cfRule>
    <cfRule type="expression" dxfId="266" priority="72" stopIfTrue="1">
      <formula>MOD(ROW(),2)&lt;&gt;0</formula>
    </cfRule>
  </conditionalFormatting>
  <conditionalFormatting sqref="B17:B21">
    <cfRule type="expression" dxfId="265" priority="36" stopIfTrue="1">
      <formula>MOD(ROW(),2)&lt;&gt;0</formula>
    </cfRule>
    <cfRule type="expression" dxfId="264" priority="35" stopIfTrue="1">
      <formula>MOD(ROW(),2)=0</formula>
    </cfRule>
  </conditionalFormatting>
  <conditionalFormatting sqref="B6:L21">
    <cfRule type="expression" dxfId="263" priority="97" stopIfTrue="1">
      <formula>MOD(ROW(),2)=0</formula>
    </cfRule>
    <cfRule type="expression" dxfId="262" priority="98" stopIfTrue="1">
      <formula>MOD(ROW(),2)&lt;&gt;0</formula>
    </cfRule>
  </conditionalFormatting>
  <conditionalFormatting sqref="B25:L70">
    <cfRule type="expression" dxfId="261" priority="94" stopIfTrue="1">
      <formula>MOD(ROW(),2)&lt;&gt;0</formula>
    </cfRule>
    <cfRule type="expression" dxfId="260" priority="93" stopIfTrue="1">
      <formula>MOD(ROW(),2)=0</formula>
    </cfRule>
  </conditionalFormatting>
  <conditionalFormatting sqref="O6:O21">
    <cfRule type="expression" dxfId="259" priority="13" stopIfTrue="1">
      <formula>MOD(ROW(),2)=0</formula>
    </cfRule>
    <cfRule type="expression" dxfId="258" priority="14" stopIfTrue="1">
      <formula>MOD(ROW(),2)&lt;&gt;0</formula>
    </cfRule>
  </conditionalFormatting>
  <conditionalFormatting sqref="O25:O70">
    <cfRule type="expression" dxfId="257" priority="99" stopIfTrue="1">
      <formula>MOD(ROW(),2)=0</formula>
    </cfRule>
    <cfRule type="expression" dxfId="256" priority="100" stopIfTrue="1">
      <formula>MOD(ROW(),2)&lt;&gt;0</formula>
    </cfRule>
  </conditionalFormatting>
  <conditionalFormatting sqref="P12">
    <cfRule type="expression" dxfId="255" priority="69" stopIfTrue="1">
      <formula>MOD(ROW(),2)=0</formula>
    </cfRule>
    <cfRule type="expression" dxfId="254" priority="70" stopIfTrue="1">
      <formula>MOD(ROW(),2)&lt;&gt;0</formula>
    </cfRule>
  </conditionalFormatting>
  <conditionalFormatting sqref="P17:P21">
    <cfRule type="expression" dxfId="253" priority="31" stopIfTrue="1">
      <formula>MOD(ROW(),2)=0</formula>
    </cfRule>
    <cfRule type="expression" dxfId="252" priority="32" stopIfTrue="1">
      <formula>MOD(ROW(),2)&lt;&gt;0</formula>
    </cfRule>
  </conditionalFormatting>
  <conditionalFormatting sqref="P6:AA21">
    <cfRule type="expression" dxfId="251" priority="106" stopIfTrue="1">
      <formula>MOD(ROW(),2)&lt;&gt;0</formula>
    </cfRule>
    <cfRule type="expression" dxfId="250" priority="105" stopIfTrue="1">
      <formula>MOD(ROW(),2)=0</formula>
    </cfRule>
  </conditionalFormatting>
  <conditionalFormatting sqref="P25:AA70">
    <cfRule type="expression" dxfId="249" priority="101" stopIfTrue="1">
      <formula>MOD(ROW(),2)=0</formula>
    </cfRule>
    <cfRule type="expression" dxfId="248" priority="102" stopIfTrue="1">
      <formula>MOD(ROW(),2)&lt;&gt;0</formula>
    </cfRule>
  </conditionalFormatting>
  <conditionalFormatting sqref="AD6:AD21">
    <cfRule type="expression" dxfId="247" priority="7" stopIfTrue="1">
      <formula>MOD(ROW(),2)=0</formula>
    </cfRule>
    <cfRule type="expression" dxfId="246" priority="8" stopIfTrue="1">
      <formula>MOD(ROW(),2)&lt;&gt;0</formula>
    </cfRule>
  </conditionalFormatting>
  <conditionalFormatting sqref="AD25:AD70">
    <cfRule type="expression" dxfId="245" priority="107" stopIfTrue="1">
      <formula>MOD(ROW(),2)=0</formula>
    </cfRule>
    <cfRule type="expression" dxfId="244" priority="108" stopIfTrue="1">
      <formula>MOD(ROW(),2)&lt;&gt;0</formula>
    </cfRule>
  </conditionalFormatting>
  <conditionalFormatting sqref="AE12">
    <cfRule type="expression" dxfId="243" priority="67" stopIfTrue="1">
      <formula>MOD(ROW(),2)=0</formula>
    </cfRule>
    <cfRule type="expression" dxfId="242" priority="68" stopIfTrue="1">
      <formula>MOD(ROW(),2)&lt;&gt;0</formula>
    </cfRule>
  </conditionalFormatting>
  <conditionalFormatting sqref="AE17:AE21">
    <cfRule type="expression" dxfId="241" priority="9" stopIfTrue="1">
      <formula>MOD(ROW(),2)=0</formula>
    </cfRule>
    <cfRule type="expression" dxfId="240" priority="10" stopIfTrue="1">
      <formula>MOD(ROW(),2)&lt;&gt;0</formula>
    </cfRule>
  </conditionalFormatting>
  <conditionalFormatting sqref="AE6:AP21">
    <cfRule type="expression" dxfId="239" priority="114" stopIfTrue="1">
      <formula>MOD(ROW(),2)&lt;&gt;0</formula>
    </cfRule>
    <cfRule type="expression" dxfId="238" priority="113" stopIfTrue="1">
      <formula>MOD(ROW(),2)=0</formula>
    </cfRule>
  </conditionalFormatting>
  <conditionalFormatting sqref="AE25:AP70">
    <cfRule type="expression" dxfId="237" priority="109" stopIfTrue="1">
      <formula>MOD(ROW(),2)=0</formula>
    </cfRule>
    <cfRule type="expression" dxfId="236" priority="110" stopIfTrue="1">
      <formula>MOD(ROW(),2)&lt;&gt;0</formula>
    </cfRule>
  </conditionalFormatting>
  <conditionalFormatting sqref="AS6:AS21">
    <cfRule type="expression" dxfId="235" priority="1" stopIfTrue="1">
      <formula>MOD(ROW(),2)=0</formula>
    </cfRule>
    <cfRule type="expression" dxfId="234" priority="2" stopIfTrue="1">
      <formula>MOD(ROW(),2)&lt;&gt;0</formula>
    </cfRule>
  </conditionalFormatting>
  <conditionalFormatting sqref="AS25:AS70">
    <cfRule type="expression" dxfId="233" priority="83" stopIfTrue="1">
      <formula>MOD(ROW(),2)=0</formula>
    </cfRule>
    <cfRule type="expression" dxfId="232" priority="84" stopIfTrue="1">
      <formula>MOD(ROW(),2)&lt;&gt;0</formula>
    </cfRule>
  </conditionalFormatting>
  <conditionalFormatting sqref="AT6:AT21">
    <cfRule type="expression" dxfId="231" priority="89" stopIfTrue="1">
      <formula>MOD(ROW(),2)=0</formula>
    </cfRule>
    <cfRule type="expression" dxfId="230" priority="90" stopIfTrue="1">
      <formula>MOD(ROW(),2)&lt;&gt;0</formula>
    </cfRule>
  </conditionalFormatting>
  <conditionalFormatting sqref="AT17:AT21">
    <cfRule type="expression" dxfId="229" priority="4" stopIfTrue="1">
      <formula>MOD(ROW(),2)&lt;&gt;0</formula>
    </cfRule>
    <cfRule type="expression" dxfId="228" priority="3" stopIfTrue="1">
      <formula>MOD(ROW(),2)=0</formula>
    </cfRule>
  </conditionalFormatting>
  <conditionalFormatting sqref="AT25:AT70">
    <cfRule type="expression" dxfId="227" priority="85" stopIfTrue="1">
      <formula>MOD(ROW(),2)=0</formula>
    </cfRule>
    <cfRule type="expression" dxfId="226" priority="86" stopIfTrue="1">
      <formula>MOD(ROW(),2)&lt;&gt;0</formula>
    </cfRule>
  </conditionalFormatting>
  <hyperlinks>
    <hyperlink ref="B24" location="Sheet1!A1" display="Assumptions" xr:uid="{C48AD8FE-6826-45A1-8382-42F098106ED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12"/>
  <dimension ref="A1:I66"/>
  <sheetViews>
    <sheetView showGridLines="0" topLeftCell="A6"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EPA - x-734</v>
      </c>
      <c r="B3" s="42"/>
      <c r="C3" s="42"/>
      <c r="D3" s="42"/>
      <c r="E3" s="42"/>
      <c r="F3" s="42"/>
      <c r="G3" s="42"/>
      <c r="H3" s="42"/>
      <c r="I3" s="42"/>
    </row>
    <row r="4" spans="1:9" x14ac:dyDescent="0.25">
      <c r="A4" s="44"/>
    </row>
    <row r="6" spans="1:9" x14ac:dyDescent="0.25">
      <c r="A6" s="76" t="s">
        <v>290</v>
      </c>
      <c r="B6" s="129" t="s">
        <v>291</v>
      </c>
    </row>
    <row r="7" spans="1:9" ht="41.25" customHeight="1" x14ac:dyDescent="0.25">
      <c r="A7" s="77" t="s">
        <v>804</v>
      </c>
      <c r="B7" s="129" t="s">
        <v>324</v>
      </c>
    </row>
    <row r="8" spans="1:9" x14ac:dyDescent="0.25">
      <c r="A8" s="77" t="s">
        <v>805</v>
      </c>
      <c r="B8" s="129" t="s">
        <v>85</v>
      </c>
    </row>
    <row r="9" spans="1:9" x14ac:dyDescent="0.25">
      <c r="A9" s="77" t="s">
        <v>296</v>
      </c>
      <c r="B9" s="129" t="s">
        <v>647</v>
      </c>
    </row>
    <row r="10" spans="1:9" ht="79.2" customHeight="1" x14ac:dyDescent="0.25">
      <c r="A10" s="77" t="s">
        <v>6</v>
      </c>
      <c r="B10" s="129" t="s">
        <v>676</v>
      </c>
    </row>
    <row r="11" spans="1:9" x14ac:dyDescent="0.25">
      <c r="A11" s="77" t="s">
        <v>299</v>
      </c>
      <c r="B11" s="129" t="s">
        <v>364</v>
      </c>
    </row>
    <row r="12" spans="1:9" x14ac:dyDescent="0.25">
      <c r="A12" s="77" t="s">
        <v>301</v>
      </c>
      <c r="B12" s="129" t="s">
        <v>658</v>
      </c>
    </row>
    <row r="13" spans="1:9" x14ac:dyDescent="0.25">
      <c r="A13" s="77" t="s">
        <v>806</v>
      </c>
      <c r="B13" s="129">
        <v>0</v>
      </c>
    </row>
    <row r="14" spans="1:9" x14ac:dyDescent="0.25">
      <c r="A14" s="77" t="s">
        <v>305</v>
      </c>
      <c r="B14" s="129">
        <v>734</v>
      </c>
    </row>
    <row r="15" spans="1:9" x14ac:dyDescent="0.25">
      <c r="A15" s="77" t="s">
        <v>307</v>
      </c>
      <c r="B15" s="129" t="s">
        <v>677</v>
      </c>
    </row>
    <row r="16" spans="1:9" x14ac:dyDescent="0.25">
      <c r="A16" s="77" t="s">
        <v>309</v>
      </c>
      <c r="B16" s="129" t="s">
        <v>678</v>
      </c>
    </row>
    <row r="17" spans="1:2" ht="113.1" customHeight="1" x14ac:dyDescent="0.25">
      <c r="A17" s="77" t="s">
        <v>803</v>
      </c>
      <c r="B17" s="129"/>
    </row>
    <row r="18" spans="1:2" x14ac:dyDescent="0.25">
      <c r="A18" s="77" t="s">
        <v>313</v>
      </c>
      <c r="B18" s="187">
        <v>45184</v>
      </c>
    </row>
    <row r="19" spans="1:2" x14ac:dyDescent="0.25">
      <c r="A19" s="77" t="s">
        <v>315</v>
      </c>
      <c r="B19" s="187"/>
    </row>
    <row r="20" spans="1:2" x14ac:dyDescent="0.25">
      <c r="A20" s="77" t="s">
        <v>317</v>
      </c>
      <c r="B20" s="129" t="s">
        <v>331</v>
      </c>
    </row>
    <row r="21" spans="1:2" x14ac:dyDescent="0.25">
      <c r="A21" s="77" t="s">
        <v>323</v>
      </c>
      <c r="B21" s="129" t="s">
        <v>332</v>
      </c>
    </row>
    <row r="23" spans="1:2" x14ac:dyDescent="0.25">
      <c r="B23" s="102" t="str">
        <f>HYPERLINK("#'Factor List'!A1","Back to Factor List")</f>
        <v>Back to Factor List</v>
      </c>
    </row>
    <row r="24" spans="1:2" x14ac:dyDescent="0.25">
      <c r="B24" s="102" t="s">
        <v>13</v>
      </c>
    </row>
    <row r="25" spans="1:2" x14ac:dyDescent="0.25">
      <c r="B25" s="102"/>
    </row>
    <row r="26" spans="1:2" x14ac:dyDescent="0.25">
      <c r="A26" s="73" t="s">
        <v>373</v>
      </c>
      <c r="B26" s="73" t="s">
        <v>678</v>
      </c>
    </row>
    <row r="27" spans="1:2" x14ac:dyDescent="0.25">
      <c r="A27" s="74">
        <v>20</v>
      </c>
      <c r="B27" s="93">
        <v>5.5899999999999998E-2</v>
      </c>
    </row>
    <row r="28" spans="1:2" x14ac:dyDescent="0.25">
      <c r="A28" s="74">
        <v>21</v>
      </c>
      <c r="B28" s="93">
        <v>5.6800000000000003E-2</v>
      </c>
    </row>
    <row r="29" spans="1:2" x14ac:dyDescent="0.25">
      <c r="A29" s="74">
        <v>22</v>
      </c>
      <c r="B29" s="93">
        <v>5.7799999999999997E-2</v>
      </c>
    </row>
    <row r="30" spans="1:2" x14ac:dyDescent="0.25">
      <c r="A30" s="74">
        <v>23</v>
      </c>
      <c r="B30" s="93">
        <v>5.8700000000000002E-2</v>
      </c>
    </row>
    <row r="31" spans="1:2" x14ac:dyDescent="0.25">
      <c r="A31" s="74">
        <v>24</v>
      </c>
      <c r="B31" s="93">
        <v>5.9700000000000003E-2</v>
      </c>
    </row>
    <row r="32" spans="1:2" x14ac:dyDescent="0.25">
      <c r="A32" s="74">
        <v>25</v>
      </c>
      <c r="B32" s="93">
        <v>6.0699999999999997E-2</v>
      </c>
    </row>
    <row r="33" spans="1:2" x14ac:dyDescent="0.25">
      <c r="A33" s="74">
        <v>26</v>
      </c>
      <c r="B33" s="93">
        <v>6.1699999999999998E-2</v>
      </c>
    </row>
    <row r="34" spans="1:2" x14ac:dyDescent="0.25">
      <c r="A34" s="74">
        <v>27</v>
      </c>
      <c r="B34" s="93">
        <v>6.2799999999999995E-2</v>
      </c>
    </row>
    <row r="35" spans="1:2" x14ac:dyDescent="0.25">
      <c r="A35" s="74">
        <v>28</v>
      </c>
      <c r="B35" s="93">
        <v>6.3799999999999996E-2</v>
      </c>
    </row>
    <row r="36" spans="1:2" x14ac:dyDescent="0.25">
      <c r="A36" s="74">
        <v>29</v>
      </c>
      <c r="B36" s="93">
        <v>6.4899999999999999E-2</v>
      </c>
    </row>
    <row r="37" spans="1:2" x14ac:dyDescent="0.25">
      <c r="A37" s="74">
        <v>30</v>
      </c>
      <c r="B37" s="93">
        <v>6.6000000000000003E-2</v>
      </c>
    </row>
    <row r="38" spans="1:2" x14ac:dyDescent="0.25">
      <c r="A38" s="74">
        <v>31</v>
      </c>
      <c r="B38" s="93">
        <v>6.7100000000000007E-2</v>
      </c>
    </row>
    <row r="39" spans="1:2" x14ac:dyDescent="0.25">
      <c r="A39" s="74">
        <v>32</v>
      </c>
      <c r="B39" s="93">
        <v>6.83E-2</v>
      </c>
    </row>
    <row r="40" spans="1:2" x14ac:dyDescent="0.25">
      <c r="A40" s="74">
        <v>33</v>
      </c>
      <c r="B40" s="93">
        <v>6.9400000000000003E-2</v>
      </c>
    </row>
    <row r="41" spans="1:2" x14ac:dyDescent="0.25">
      <c r="A41" s="74">
        <v>34</v>
      </c>
      <c r="B41" s="93">
        <v>7.0599999999999996E-2</v>
      </c>
    </row>
    <row r="42" spans="1:2" x14ac:dyDescent="0.25">
      <c r="A42" s="74">
        <v>35</v>
      </c>
      <c r="B42" s="93">
        <v>7.1800000000000003E-2</v>
      </c>
    </row>
    <row r="43" spans="1:2" x14ac:dyDescent="0.25">
      <c r="A43" s="74">
        <v>36</v>
      </c>
      <c r="B43" s="93">
        <v>7.3099999999999998E-2</v>
      </c>
    </row>
    <row r="44" spans="1:2" x14ac:dyDescent="0.25">
      <c r="A44" s="74">
        <v>37</v>
      </c>
      <c r="B44" s="93">
        <v>7.4300000000000005E-2</v>
      </c>
    </row>
    <row r="45" spans="1:2" x14ac:dyDescent="0.25">
      <c r="A45" s="74">
        <v>38</v>
      </c>
      <c r="B45" s="93">
        <v>7.5600000000000001E-2</v>
      </c>
    </row>
    <row r="46" spans="1:2" x14ac:dyDescent="0.25">
      <c r="A46" s="74">
        <v>39</v>
      </c>
      <c r="B46" s="93">
        <v>7.6899999999999996E-2</v>
      </c>
    </row>
    <row r="47" spans="1:2" x14ac:dyDescent="0.25">
      <c r="A47" s="74">
        <v>40</v>
      </c>
      <c r="B47" s="93">
        <v>7.8200000000000006E-2</v>
      </c>
    </row>
    <row r="48" spans="1:2" x14ac:dyDescent="0.25">
      <c r="A48" s="74">
        <v>41</v>
      </c>
      <c r="B48" s="93">
        <v>7.9600000000000004E-2</v>
      </c>
    </row>
    <row r="49" spans="1:2" x14ac:dyDescent="0.25">
      <c r="A49" s="74">
        <v>42</v>
      </c>
      <c r="B49" s="93">
        <v>8.1000000000000003E-2</v>
      </c>
    </row>
    <row r="50" spans="1:2" x14ac:dyDescent="0.25">
      <c r="A50" s="74">
        <v>43</v>
      </c>
      <c r="B50" s="93">
        <v>8.2400000000000001E-2</v>
      </c>
    </row>
    <row r="51" spans="1:2" x14ac:dyDescent="0.25">
      <c r="A51" s="74">
        <v>44</v>
      </c>
      <c r="B51" s="93">
        <v>8.3900000000000002E-2</v>
      </c>
    </row>
    <row r="52" spans="1:2" x14ac:dyDescent="0.25">
      <c r="A52" s="74">
        <v>45</v>
      </c>
      <c r="B52" s="93">
        <v>8.5300000000000001E-2</v>
      </c>
    </row>
    <row r="53" spans="1:2" x14ac:dyDescent="0.25">
      <c r="A53" s="74">
        <v>46</v>
      </c>
      <c r="B53" s="93">
        <v>8.6900000000000005E-2</v>
      </c>
    </row>
    <row r="54" spans="1:2" x14ac:dyDescent="0.25">
      <c r="A54" s="74">
        <v>47</v>
      </c>
      <c r="B54" s="93">
        <v>8.8400000000000006E-2</v>
      </c>
    </row>
    <row r="55" spans="1:2" x14ac:dyDescent="0.25">
      <c r="A55" s="74">
        <v>48</v>
      </c>
      <c r="B55" s="93">
        <v>0.09</v>
      </c>
    </row>
    <row r="56" spans="1:2" x14ac:dyDescent="0.25">
      <c r="A56" s="74">
        <v>49</v>
      </c>
      <c r="B56" s="93">
        <v>9.1600000000000001E-2</v>
      </c>
    </row>
    <row r="57" spans="1:2" x14ac:dyDescent="0.25">
      <c r="A57" s="74">
        <v>50</v>
      </c>
      <c r="B57" s="93">
        <v>9.3299999999999994E-2</v>
      </c>
    </row>
    <row r="58" spans="1:2" x14ac:dyDescent="0.25">
      <c r="A58" s="74">
        <v>51</v>
      </c>
      <c r="B58" s="93">
        <v>9.5000000000000001E-2</v>
      </c>
    </row>
    <row r="59" spans="1:2" x14ac:dyDescent="0.25">
      <c r="A59" s="74">
        <v>52</v>
      </c>
      <c r="B59" s="93">
        <v>9.6799999999999997E-2</v>
      </c>
    </row>
    <row r="60" spans="1:2" x14ac:dyDescent="0.25">
      <c r="A60" s="74">
        <v>53</v>
      </c>
      <c r="B60" s="93">
        <v>9.8599999999999993E-2</v>
      </c>
    </row>
    <row r="61" spans="1:2" x14ac:dyDescent="0.25">
      <c r="A61" s="74">
        <v>54</v>
      </c>
      <c r="B61" s="93">
        <v>0.10050000000000001</v>
      </c>
    </row>
    <row r="62" spans="1:2" x14ac:dyDescent="0.25">
      <c r="A62" s="74">
        <v>55</v>
      </c>
      <c r="B62" s="93">
        <v>0.1024</v>
      </c>
    </row>
    <row r="63" spans="1:2" x14ac:dyDescent="0.25">
      <c r="A63" s="74">
        <v>56</v>
      </c>
      <c r="B63" s="93">
        <v>0.1043</v>
      </c>
    </row>
    <row r="64" spans="1:2" x14ac:dyDescent="0.25">
      <c r="A64" s="74">
        <v>57</v>
      </c>
      <c r="B64" s="93">
        <v>0.10639999999999999</v>
      </c>
    </row>
    <row r="65" spans="1:2" x14ac:dyDescent="0.25">
      <c r="A65" s="74">
        <v>58</v>
      </c>
      <c r="B65" s="93">
        <v>0.1085</v>
      </c>
    </row>
    <row r="66" spans="1:2" x14ac:dyDescent="0.25">
      <c r="A66" s="74">
        <v>59</v>
      </c>
      <c r="B66" s="93">
        <v>0.11070000000000001</v>
      </c>
    </row>
  </sheetData>
  <sheetProtection algorithmName="SHA-512" hashValue="iYkUMJy2hTMHoDutiP/RbmEvfUhNegjSe5wtgb90lIkBDaj2e8D+gq4SnL9oArbhUfXz71nypQySRSbMp6Szeg==" saltValue="UXX1EQtZxpe+nvIQe+yeMg==" spinCount="100000" sheet="1" objects="1" scenarios="1"/>
  <conditionalFormatting sqref="A6:A21">
    <cfRule type="expression" dxfId="225" priority="1" stopIfTrue="1">
      <formula>MOD(ROW(),2)=0</formula>
    </cfRule>
    <cfRule type="expression" dxfId="224" priority="2" stopIfTrue="1">
      <formula>MOD(ROW(),2)&lt;&gt;0</formula>
    </cfRule>
  </conditionalFormatting>
  <conditionalFormatting sqref="A26:A66">
    <cfRule type="expression" dxfId="223" priority="19" stopIfTrue="1">
      <formula>MOD(ROW(),2)=0</formula>
    </cfRule>
    <cfRule type="expression" dxfId="222" priority="20" stopIfTrue="1">
      <formula>MOD(ROW(),2)&lt;&gt;0</formula>
    </cfRule>
  </conditionalFormatting>
  <conditionalFormatting sqref="B6:B21">
    <cfRule type="expression" dxfId="221" priority="25" stopIfTrue="1">
      <formula>MOD(ROW(),2)=0</formula>
    </cfRule>
    <cfRule type="expression" dxfId="220" priority="26" stopIfTrue="1">
      <formula>MOD(ROW(),2)&lt;&gt;0</formula>
    </cfRule>
  </conditionalFormatting>
  <conditionalFormatting sqref="B17:B21">
    <cfRule type="expression" dxfId="219" priority="3" stopIfTrue="1">
      <formula>MOD(ROW(),2)=0</formula>
    </cfRule>
    <cfRule type="expression" dxfId="218" priority="4" stopIfTrue="1">
      <formula>MOD(ROW(),2)&lt;&gt;0</formula>
    </cfRule>
  </conditionalFormatting>
  <conditionalFormatting sqref="B26:B66">
    <cfRule type="expression" dxfId="217" priority="21" stopIfTrue="1">
      <formula>MOD(ROW(),2)=0</formula>
    </cfRule>
    <cfRule type="expression" dxfId="216" priority="22" stopIfTrue="1">
      <formula>MOD(ROW(),2)&lt;&gt;0</formula>
    </cfRule>
  </conditionalFormatting>
  <hyperlinks>
    <hyperlink ref="B24" location="Sheet1!A1" display="Assumptions" xr:uid="{F753E472-FA0D-4003-BFFC-233798EBD73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13"/>
  <dimension ref="A1:M77"/>
  <sheetViews>
    <sheetView showGridLines="0" topLeftCell="E1" zoomScale="85" zoomScaleNormal="85" workbookViewId="0">
      <selection activeCell="A4" sqref="A4"/>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39" t="s">
        <v>0</v>
      </c>
      <c r="B1" s="40"/>
      <c r="C1" s="40"/>
      <c r="D1" s="40"/>
      <c r="E1" s="40"/>
      <c r="F1" s="40"/>
      <c r="G1" s="40"/>
      <c r="H1" s="40"/>
      <c r="I1" s="40"/>
    </row>
    <row r="2" spans="1:13"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3" ht="15.6" x14ac:dyDescent="0.3">
      <c r="A3" s="43" t="str">
        <f>TABLE_FACTOR_TYPE_1&amp;" - x-"&amp;TABLE_SERIES_NUMBER_1</f>
        <v>EPA and EEPA - x-735</v>
      </c>
      <c r="B3" s="42"/>
      <c r="C3" s="42"/>
      <c r="D3" s="42"/>
      <c r="E3" s="42"/>
      <c r="F3" s="42"/>
      <c r="G3" s="42"/>
      <c r="H3" s="42"/>
      <c r="I3" s="42"/>
    </row>
    <row r="4" spans="1:13" x14ac:dyDescent="0.25">
      <c r="A4" s="44"/>
    </row>
    <row r="6" spans="1:13" x14ac:dyDescent="0.25">
      <c r="A6" s="76" t="s">
        <v>290</v>
      </c>
      <c r="B6" s="129" t="s">
        <v>291</v>
      </c>
      <c r="C6" s="129"/>
      <c r="D6" s="129"/>
      <c r="E6" s="129"/>
      <c r="F6" s="129"/>
      <c r="G6" s="129"/>
      <c r="H6" s="129"/>
      <c r="I6" s="129"/>
      <c r="J6" s="129"/>
      <c r="K6" s="129"/>
      <c r="L6" s="129"/>
      <c r="M6" s="129"/>
    </row>
    <row r="7" spans="1:13" x14ac:dyDescent="0.25">
      <c r="A7" s="77" t="s">
        <v>804</v>
      </c>
      <c r="B7" s="129" t="s">
        <v>324</v>
      </c>
      <c r="C7" s="129"/>
      <c r="D7" s="129"/>
      <c r="E7" s="129"/>
      <c r="F7" s="129"/>
      <c r="G7" s="129"/>
      <c r="H7" s="129"/>
      <c r="I7" s="129"/>
      <c r="J7" s="129"/>
      <c r="K7" s="129"/>
      <c r="L7" s="129"/>
      <c r="M7" s="129"/>
    </row>
    <row r="8" spans="1:13" x14ac:dyDescent="0.25">
      <c r="A8" s="77" t="s">
        <v>805</v>
      </c>
      <c r="B8" s="129" t="s">
        <v>85</v>
      </c>
      <c r="C8" s="129"/>
      <c r="D8" s="129"/>
      <c r="E8" s="129"/>
      <c r="F8" s="129"/>
      <c r="G8" s="129"/>
      <c r="H8" s="129"/>
      <c r="I8" s="129"/>
      <c r="J8" s="129"/>
      <c r="K8" s="129"/>
      <c r="L8" s="129"/>
      <c r="M8" s="129"/>
    </row>
    <row r="9" spans="1:13" x14ac:dyDescent="0.25">
      <c r="A9" s="77" t="s">
        <v>296</v>
      </c>
      <c r="B9" s="129" t="s">
        <v>679</v>
      </c>
      <c r="C9" s="129"/>
      <c r="D9" s="129"/>
      <c r="E9" s="129"/>
      <c r="F9" s="129"/>
      <c r="G9" s="129"/>
      <c r="H9" s="129"/>
      <c r="I9" s="129"/>
      <c r="J9" s="129"/>
      <c r="K9" s="129"/>
      <c r="L9" s="129"/>
      <c r="M9" s="129"/>
    </row>
    <row r="10" spans="1:13" x14ac:dyDescent="0.25">
      <c r="A10" s="77" t="s">
        <v>6</v>
      </c>
      <c r="B10" s="129" t="s">
        <v>680</v>
      </c>
      <c r="C10" s="129"/>
      <c r="D10" s="129"/>
      <c r="E10" s="129"/>
      <c r="F10" s="129"/>
      <c r="G10" s="129"/>
      <c r="H10" s="129"/>
      <c r="I10" s="129"/>
      <c r="J10" s="129"/>
      <c r="K10" s="129"/>
      <c r="L10" s="129"/>
      <c r="M10" s="129"/>
    </row>
    <row r="11" spans="1:13" x14ac:dyDescent="0.25">
      <c r="A11" s="77" t="s">
        <v>299</v>
      </c>
      <c r="B11" s="129" t="s">
        <v>364</v>
      </c>
      <c r="C11" s="129"/>
      <c r="D11" s="129"/>
      <c r="E11" s="129"/>
      <c r="F11" s="129"/>
      <c r="G11" s="129"/>
      <c r="H11" s="129"/>
      <c r="I11" s="129"/>
      <c r="J11" s="129"/>
      <c r="K11" s="129"/>
      <c r="L11" s="129"/>
      <c r="M11" s="129"/>
    </row>
    <row r="12" spans="1:13" x14ac:dyDescent="0.25">
      <c r="A12" s="77" t="s">
        <v>301</v>
      </c>
      <c r="B12" s="129" t="s">
        <v>681</v>
      </c>
      <c r="C12" s="129"/>
      <c r="D12" s="129"/>
      <c r="E12" s="129"/>
      <c r="F12" s="129"/>
      <c r="G12" s="129"/>
      <c r="H12" s="129"/>
      <c r="I12" s="129"/>
      <c r="J12" s="129"/>
      <c r="K12" s="129"/>
      <c r="L12" s="129"/>
      <c r="M12" s="129"/>
    </row>
    <row r="13" spans="1:13" x14ac:dyDescent="0.25">
      <c r="A13" s="77" t="s">
        <v>806</v>
      </c>
      <c r="B13" s="129">
        <v>0</v>
      </c>
      <c r="C13" s="129"/>
      <c r="D13" s="129"/>
      <c r="E13" s="129"/>
      <c r="F13" s="129"/>
      <c r="G13" s="129"/>
      <c r="H13" s="129"/>
      <c r="I13" s="129"/>
      <c r="J13" s="129"/>
      <c r="K13" s="129"/>
      <c r="L13" s="129"/>
      <c r="M13" s="129"/>
    </row>
    <row r="14" spans="1:13" x14ac:dyDescent="0.25">
      <c r="A14" s="77" t="s">
        <v>305</v>
      </c>
      <c r="B14" s="129">
        <v>735</v>
      </c>
      <c r="C14" s="129"/>
      <c r="D14" s="129"/>
      <c r="E14" s="129"/>
      <c r="F14" s="129"/>
      <c r="G14" s="129"/>
      <c r="H14" s="129"/>
      <c r="I14" s="129"/>
      <c r="J14" s="129"/>
      <c r="K14" s="129"/>
      <c r="L14" s="129"/>
      <c r="M14" s="129"/>
    </row>
    <row r="15" spans="1:13" x14ac:dyDescent="0.25">
      <c r="A15" s="77" t="s">
        <v>307</v>
      </c>
      <c r="B15" s="129" t="s">
        <v>682</v>
      </c>
      <c r="C15" s="129"/>
      <c r="D15" s="129"/>
      <c r="E15" s="129"/>
      <c r="F15" s="129"/>
      <c r="G15" s="129"/>
      <c r="H15" s="129"/>
      <c r="I15" s="129"/>
      <c r="J15" s="129"/>
      <c r="K15" s="129"/>
      <c r="L15" s="129"/>
      <c r="M15" s="129"/>
    </row>
    <row r="16" spans="1:13" x14ac:dyDescent="0.25">
      <c r="A16" s="77" t="s">
        <v>309</v>
      </c>
      <c r="B16" s="129" t="s">
        <v>683</v>
      </c>
      <c r="C16" s="129"/>
      <c r="D16" s="129"/>
      <c r="E16" s="129"/>
      <c r="F16" s="129"/>
      <c r="G16" s="129"/>
      <c r="H16" s="129"/>
      <c r="I16" s="129"/>
      <c r="J16" s="129"/>
      <c r="K16" s="129"/>
      <c r="L16" s="129"/>
      <c r="M16" s="129"/>
    </row>
    <row r="17" spans="1:13" x14ac:dyDescent="0.25">
      <c r="A17" s="77" t="s">
        <v>803</v>
      </c>
      <c r="B17" s="129"/>
      <c r="C17" s="129"/>
      <c r="D17" s="129"/>
      <c r="E17" s="129"/>
      <c r="F17" s="129"/>
      <c r="G17" s="129"/>
      <c r="H17" s="129"/>
      <c r="I17" s="129"/>
      <c r="J17" s="129"/>
      <c r="K17" s="129"/>
      <c r="L17" s="129"/>
      <c r="M17" s="129"/>
    </row>
    <row r="18" spans="1:13" x14ac:dyDescent="0.25">
      <c r="A18" s="77" t="s">
        <v>313</v>
      </c>
      <c r="B18" s="187">
        <v>45184</v>
      </c>
      <c r="C18" s="129"/>
      <c r="D18" s="129"/>
      <c r="E18" s="129"/>
      <c r="F18" s="129"/>
      <c r="G18" s="129"/>
      <c r="H18" s="129"/>
      <c r="I18" s="129"/>
      <c r="J18" s="129"/>
      <c r="K18" s="129"/>
      <c r="L18" s="129"/>
      <c r="M18" s="129"/>
    </row>
    <row r="19" spans="1:13" x14ac:dyDescent="0.25">
      <c r="A19" s="77" t="s">
        <v>315</v>
      </c>
      <c r="B19" s="187"/>
      <c r="C19" s="129"/>
      <c r="D19" s="129"/>
      <c r="E19" s="129"/>
      <c r="F19" s="129"/>
      <c r="G19" s="129"/>
      <c r="H19" s="129"/>
      <c r="I19" s="129"/>
      <c r="J19" s="129"/>
      <c r="K19" s="129"/>
      <c r="L19" s="129"/>
      <c r="M19" s="129"/>
    </row>
    <row r="20" spans="1:13" x14ac:dyDescent="0.25">
      <c r="A20" s="77" t="s">
        <v>317</v>
      </c>
      <c r="B20" s="129" t="s">
        <v>331</v>
      </c>
      <c r="C20" s="129"/>
      <c r="D20" s="129"/>
      <c r="E20" s="129"/>
      <c r="F20" s="129"/>
      <c r="G20" s="129"/>
      <c r="H20" s="129"/>
      <c r="I20" s="129"/>
      <c r="J20" s="129"/>
      <c r="K20" s="129"/>
      <c r="L20" s="129"/>
      <c r="M20" s="129"/>
    </row>
    <row r="21" spans="1:13" x14ac:dyDescent="0.25">
      <c r="A21" s="77" t="s">
        <v>323</v>
      </c>
      <c r="B21" s="129" t="s">
        <v>332</v>
      </c>
      <c r="C21" s="129"/>
      <c r="D21" s="129"/>
      <c r="E21" s="129"/>
      <c r="F21" s="129"/>
      <c r="G21" s="129"/>
      <c r="H21" s="129"/>
      <c r="I21" s="129"/>
      <c r="J21" s="129"/>
      <c r="K21" s="129"/>
      <c r="L21" s="129"/>
      <c r="M21" s="129"/>
    </row>
    <row r="23" spans="1:13" x14ac:dyDescent="0.25">
      <c r="B23" s="102" t="str">
        <f>HYPERLINK("#'Factor List'!A1","Back to Factor List")</f>
        <v>Back to Factor List</v>
      </c>
    </row>
    <row r="24" spans="1:13" x14ac:dyDescent="0.25">
      <c r="B24" s="102" t="s">
        <v>13</v>
      </c>
    </row>
    <row r="25" spans="1:13" x14ac:dyDescent="0.25">
      <c r="B25" s="102"/>
    </row>
    <row r="26" spans="1:13" x14ac:dyDescent="0.25">
      <c r="A26" s="73" t="s">
        <v>971</v>
      </c>
      <c r="B26" s="73">
        <v>0</v>
      </c>
      <c r="C26" s="73">
        <v>1</v>
      </c>
      <c r="D26" s="73">
        <v>2</v>
      </c>
      <c r="E26" s="73">
        <v>3</v>
      </c>
      <c r="F26" s="73">
        <v>4</v>
      </c>
      <c r="G26" s="73">
        <v>5</v>
      </c>
      <c r="H26" s="73">
        <v>6</v>
      </c>
      <c r="I26" s="73">
        <v>7</v>
      </c>
      <c r="J26" s="73">
        <v>8</v>
      </c>
      <c r="K26" s="73">
        <v>9</v>
      </c>
      <c r="L26" s="73">
        <v>10</v>
      </c>
      <c r="M26" s="73">
        <v>11</v>
      </c>
    </row>
    <row r="27" spans="1:13" x14ac:dyDescent="0.25">
      <c r="A27" s="74">
        <v>0</v>
      </c>
      <c r="B27" s="75">
        <v>0</v>
      </c>
      <c r="C27" s="75">
        <v>0</v>
      </c>
      <c r="D27" s="75">
        <v>0</v>
      </c>
      <c r="E27" s="75">
        <v>0.01</v>
      </c>
      <c r="F27" s="75">
        <v>0.01</v>
      </c>
      <c r="G27" s="75">
        <v>0.01</v>
      </c>
      <c r="H27" s="75">
        <v>0.01</v>
      </c>
      <c r="I27" s="75">
        <v>0.01</v>
      </c>
      <c r="J27" s="75">
        <v>0.02</v>
      </c>
      <c r="K27" s="75">
        <v>0.02</v>
      </c>
      <c r="L27" s="75">
        <v>0.02</v>
      </c>
      <c r="M27" s="75">
        <v>0.02</v>
      </c>
    </row>
    <row r="28" spans="1:13" x14ac:dyDescent="0.25">
      <c r="A28" s="74">
        <v>1</v>
      </c>
      <c r="B28" s="75">
        <v>0.02</v>
      </c>
      <c r="C28" s="75">
        <v>0.03</v>
      </c>
      <c r="D28" s="75">
        <v>0.03</v>
      </c>
      <c r="E28" s="75">
        <v>0.03</v>
      </c>
      <c r="F28" s="75">
        <v>0.03</v>
      </c>
      <c r="G28" s="75">
        <v>0.03</v>
      </c>
      <c r="H28" s="75">
        <v>0.04</v>
      </c>
      <c r="I28" s="75">
        <v>0.04</v>
      </c>
      <c r="J28" s="75">
        <v>0.04</v>
      </c>
      <c r="K28" s="75">
        <v>0.04</v>
      </c>
      <c r="L28" s="75">
        <v>0.04</v>
      </c>
      <c r="M28" s="75">
        <v>0.05</v>
      </c>
    </row>
    <row r="29" spans="1:13" x14ac:dyDescent="0.25">
      <c r="A29" s="74">
        <v>2</v>
      </c>
      <c r="B29" s="75">
        <v>0.05</v>
      </c>
      <c r="C29" s="75">
        <v>0.05</v>
      </c>
      <c r="D29" s="75">
        <v>0.05</v>
      </c>
      <c r="E29" s="75">
        <v>0.06</v>
      </c>
      <c r="F29" s="75">
        <v>0.06</v>
      </c>
      <c r="G29" s="75">
        <v>0.06</v>
      </c>
      <c r="H29" s="75">
        <v>0.06</v>
      </c>
      <c r="I29" s="75">
        <v>0.06</v>
      </c>
      <c r="J29" s="75">
        <v>7.0000000000000007E-2</v>
      </c>
      <c r="K29" s="75">
        <v>7.0000000000000007E-2</v>
      </c>
      <c r="L29" s="75">
        <v>7.0000000000000007E-2</v>
      </c>
      <c r="M29" s="75">
        <v>7.0000000000000007E-2</v>
      </c>
    </row>
    <row r="30" spans="1:13" x14ac:dyDescent="0.25">
      <c r="A30" s="74">
        <v>3</v>
      </c>
      <c r="B30" s="75">
        <v>0.08</v>
      </c>
      <c r="C30" s="75">
        <v>0.08</v>
      </c>
      <c r="D30" s="75">
        <v>0.08</v>
      </c>
      <c r="E30" s="75">
        <v>0.08</v>
      </c>
      <c r="F30" s="75">
        <v>0.08</v>
      </c>
      <c r="G30" s="75">
        <v>0.09</v>
      </c>
      <c r="H30" s="75">
        <v>0.09</v>
      </c>
      <c r="I30" s="75">
        <v>0.09</v>
      </c>
      <c r="J30" s="75">
        <v>0.09</v>
      </c>
      <c r="K30" s="75">
        <v>0.1</v>
      </c>
      <c r="L30" s="75">
        <v>0.1</v>
      </c>
      <c r="M30" s="75">
        <v>0.1</v>
      </c>
    </row>
    <row r="31" spans="1:13" x14ac:dyDescent="0.25">
      <c r="A31" s="74">
        <v>4</v>
      </c>
      <c r="B31" s="75">
        <v>0.1</v>
      </c>
      <c r="C31" s="75">
        <v>0.11</v>
      </c>
      <c r="D31" s="75">
        <v>0.11</v>
      </c>
      <c r="E31" s="75">
        <v>0.11</v>
      </c>
      <c r="F31" s="75">
        <v>0.11</v>
      </c>
      <c r="G31" s="75">
        <v>0.12</v>
      </c>
      <c r="H31" s="75">
        <v>0.12</v>
      </c>
      <c r="I31" s="75">
        <v>0.12</v>
      </c>
      <c r="J31" s="75">
        <v>0.12</v>
      </c>
      <c r="K31" s="75">
        <v>0.13</v>
      </c>
      <c r="L31" s="75">
        <v>0.13</v>
      </c>
      <c r="M31" s="75">
        <v>0.13</v>
      </c>
    </row>
    <row r="32" spans="1:13" x14ac:dyDescent="0.25">
      <c r="A32" s="74">
        <v>5</v>
      </c>
      <c r="B32" s="75">
        <v>0.13</v>
      </c>
      <c r="C32" s="75">
        <v>0.14000000000000001</v>
      </c>
      <c r="D32" s="75">
        <v>0.14000000000000001</v>
      </c>
      <c r="E32" s="75">
        <v>0.14000000000000001</v>
      </c>
      <c r="F32" s="75">
        <v>0.14000000000000001</v>
      </c>
      <c r="G32" s="75">
        <v>0.15</v>
      </c>
      <c r="H32" s="75">
        <v>0.15</v>
      </c>
      <c r="I32" s="75">
        <v>0.15</v>
      </c>
      <c r="J32" s="75">
        <v>0.15</v>
      </c>
      <c r="K32" s="75">
        <v>0.16</v>
      </c>
      <c r="L32" s="75">
        <v>0.16</v>
      </c>
      <c r="M32" s="75">
        <v>0.16</v>
      </c>
    </row>
    <row r="33" spans="1:13" x14ac:dyDescent="0.25">
      <c r="A33" s="74">
        <v>6</v>
      </c>
      <c r="B33" s="75">
        <v>0.16</v>
      </c>
      <c r="C33" s="75">
        <v>0.17</v>
      </c>
      <c r="D33" s="75">
        <v>0.17</v>
      </c>
      <c r="E33" s="75">
        <v>0.17</v>
      </c>
      <c r="F33" s="75">
        <v>0.17</v>
      </c>
      <c r="G33" s="75">
        <v>0.18</v>
      </c>
      <c r="H33" s="75">
        <v>0.18</v>
      </c>
      <c r="I33" s="75">
        <v>0.18</v>
      </c>
      <c r="J33" s="75">
        <v>0.19</v>
      </c>
      <c r="K33" s="75">
        <v>0.19</v>
      </c>
      <c r="L33" s="75">
        <v>0.19</v>
      </c>
      <c r="M33" s="75">
        <v>0.19</v>
      </c>
    </row>
    <row r="34" spans="1:13" x14ac:dyDescent="0.25">
      <c r="A34" s="74">
        <v>7</v>
      </c>
      <c r="B34" s="75">
        <v>0.2</v>
      </c>
      <c r="C34" s="75">
        <v>0.2</v>
      </c>
      <c r="D34" s="75">
        <v>0.2</v>
      </c>
      <c r="E34" s="75">
        <v>0.21</v>
      </c>
      <c r="F34" s="75">
        <v>0.21</v>
      </c>
      <c r="G34" s="75">
        <v>0.21</v>
      </c>
      <c r="H34" s="75">
        <v>0.21</v>
      </c>
      <c r="I34" s="75">
        <v>0.22</v>
      </c>
      <c r="J34" s="75">
        <v>0.22</v>
      </c>
      <c r="K34" s="75">
        <v>0.22</v>
      </c>
      <c r="L34" s="75">
        <v>0.23</v>
      </c>
      <c r="M34" s="75">
        <v>0.23</v>
      </c>
    </row>
    <row r="35" spans="1:13" x14ac:dyDescent="0.25">
      <c r="A35" s="74">
        <v>8</v>
      </c>
      <c r="B35" s="75">
        <v>0.23</v>
      </c>
      <c r="C35" s="75">
        <v>0.23</v>
      </c>
      <c r="D35" s="75">
        <v>0.24</v>
      </c>
      <c r="E35" s="75">
        <v>0.24</v>
      </c>
      <c r="F35" s="75">
        <v>0.24</v>
      </c>
      <c r="G35" s="75">
        <v>0.25</v>
      </c>
      <c r="H35" s="75">
        <v>0.25</v>
      </c>
      <c r="I35" s="75">
        <v>0.25</v>
      </c>
      <c r="J35" s="75">
        <v>0.26</v>
      </c>
      <c r="K35" s="75">
        <v>0.26</v>
      </c>
      <c r="L35" s="75">
        <v>0.26</v>
      </c>
      <c r="M35" s="75">
        <v>0.26</v>
      </c>
    </row>
    <row r="36" spans="1:13" x14ac:dyDescent="0.25">
      <c r="A36" s="74">
        <v>9</v>
      </c>
      <c r="B36" s="75">
        <v>0.27</v>
      </c>
      <c r="C36" s="75">
        <v>0.27</v>
      </c>
      <c r="D36" s="75">
        <v>0.27</v>
      </c>
      <c r="E36" s="75">
        <v>0.28000000000000003</v>
      </c>
      <c r="F36" s="75">
        <v>0.28000000000000003</v>
      </c>
      <c r="G36" s="75">
        <v>0.28000000000000003</v>
      </c>
      <c r="H36" s="75">
        <v>0.28999999999999998</v>
      </c>
      <c r="I36" s="75">
        <v>0.28999999999999998</v>
      </c>
      <c r="J36" s="75">
        <v>0.28999999999999998</v>
      </c>
      <c r="K36" s="75">
        <v>0.3</v>
      </c>
      <c r="L36" s="75">
        <v>0.3</v>
      </c>
      <c r="M36" s="75">
        <v>0.3</v>
      </c>
    </row>
    <row r="37" spans="1:13" x14ac:dyDescent="0.25">
      <c r="A37" s="74">
        <v>10</v>
      </c>
      <c r="B37" s="75">
        <v>0.31</v>
      </c>
      <c r="C37" s="75">
        <v>0.31</v>
      </c>
      <c r="D37" s="75">
        <v>0.31</v>
      </c>
      <c r="E37" s="75">
        <v>0.32</v>
      </c>
      <c r="F37" s="75">
        <v>0.32</v>
      </c>
      <c r="G37" s="75">
        <v>0.32</v>
      </c>
      <c r="H37" s="75">
        <v>0.33</v>
      </c>
      <c r="I37" s="75">
        <v>0.33</v>
      </c>
      <c r="J37" s="75">
        <v>0.33</v>
      </c>
      <c r="K37" s="75">
        <v>0.34</v>
      </c>
      <c r="L37" s="75">
        <v>0.34</v>
      </c>
      <c r="M37" s="75">
        <v>0.34</v>
      </c>
    </row>
    <row r="38" spans="1:13" x14ac:dyDescent="0.25">
      <c r="A38" s="74">
        <v>11</v>
      </c>
      <c r="B38" s="75">
        <v>0.35</v>
      </c>
      <c r="C38" s="75">
        <v>0.35</v>
      </c>
      <c r="D38" s="75">
        <v>0.35</v>
      </c>
      <c r="E38" s="75">
        <v>0.36</v>
      </c>
      <c r="F38" s="75">
        <v>0.36</v>
      </c>
      <c r="G38" s="75">
        <v>0.36</v>
      </c>
      <c r="H38" s="75">
        <v>0.37</v>
      </c>
      <c r="I38" s="75">
        <v>0.37</v>
      </c>
      <c r="J38" s="75">
        <v>0.37</v>
      </c>
      <c r="K38" s="75">
        <v>0.38</v>
      </c>
      <c r="L38" s="75">
        <v>0.38</v>
      </c>
      <c r="M38" s="75">
        <v>0.39</v>
      </c>
    </row>
    <row r="39" spans="1:13" x14ac:dyDescent="0.25">
      <c r="A39" s="74">
        <v>12</v>
      </c>
      <c r="B39" s="75">
        <v>0.39</v>
      </c>
      <c r="C39" s="75">
        <v>0.39</v>
      </c>
      <c r="D39" s="75">
        <v>0.4</v>
      </c>
      <c r="E39" s="75">
        <v>0.4</v>
      </c>
      <c r="F39" s="75">
        <v>0.4</v>
      </c>
      <c r="G39" s="75">
        <v>0.41</v>
      </c>
      <c r="H39" s="75">
        <v>0.41</v>
      </c>
      <c r="I39" s="75">
        <v>0.42</v>
      </c>
      <c r="J39" s="75">
        <v>0.42</v>
      </c>
      <c r="K39" s="75">
        <v>0.42</v>
      </c>
      <c r="L39" s="75">
        <v>0.43</v>
      </c>
      <c r="M39" s="75">
        <v>0.43</v>
      </c>
    </row>
    <row r="40" spans="1:13" x14ac:dyDescent="0.25">
      <c r="A40" s="74">
        <v>13</v>
      </c>
      <c r="B40" s="75">
        <v>0.43</v>
      </c>
      <c r="C40" s="75">
        <v>0.44</v>
      </c>
      <c r="D40" s="75">
        <v>0.44</v>
      </c>
      <c r="E40" s="75">
        <v>0.45</v>
      </c>
      <c r="F40" s="75">
        <v>0.45</v>
      </c>
      <c r="G40" s="75">
        <v>0.45</v>
      </c>
      <c r="H40" s="75">
        <v>0.46</v>
      </c>
      <c r="I40" s="75">
        <v>0.46</v>
      </c>
      <c r="J40" s="75">
        <v>0.47</v>
      </c>
      <c r="K40" s="75">
        <v>0.47</v>
      </c>
      <c r="L40" s="75">
        <v>0.47</v>
      </c>
      <c r="M40" s="75">
        <v>0.48</v>
      </c>
    </row>
    <row r="41" spans="1:13" x14ac:dyDescent="0.25">
      <c r="A41" s="74">
        <v>14</v>
      </c>
      <c r="B41" s="75">
        <v>0.48</v>
      </c>
      <c r="C41" s="75">
        <v>0.48</v>
      </c>
      <c r="D41" s="75">
        <v>0.49</v>
      </c>
      <c r="E41" s="75">
        <v>0.49</v>
      </c>
      <c r="F41" s="75">
        <v>0.5</v>
      </c>
      <c r="G41" s="75">
        <v>0.5</v>
      </c>
      <c r="H41" s="75">
        <v>0.51</v>
      </c>
      <c r="I41" s="75">
        <v>0.51</v>
      </c>
      <c r="J41" s="75">
        <v>0.51</v>
      </c>
      <c r="K41" s="75">
        <v>0.52</v>
      </c>
      <c r="L41" s="75">
        <v>0.52</v>
      </c>
      <c r="M41" s="75">
        <v>0.53</v>
      </c>
    </row>
    <row r="42" spans="1:13" x14ac:dyDescent="0.25">
      <c r="A42" s="74">
        <v>15</v>
      </c>
      <c r="B42" s="75">
        <v>0.53</v>
      </c>
      <c r="C42" s="75">
        <v>0.53</v>
      </c>
      <c r="D42" s="75">
        <v>0.54</v>
      </c>
      <c r="E42" s="75">
        <v>0.54</v>
      </c>
      <c r="F42" s="75">
        <v>0.55000000000000004</v>
      </c>
      <c r="G42" s="75">
        <v>0.55000000000000004</v>
      </c>
      <c r="H42" s="75">
        <v>0.56000000000000005</v>
      </c>
      <c r="I42" s="75">
        <v>0.56000000000000005</v>
      </c>
      <c r="J42" s="75">
        <v>0.56000000000000005</v>
      </c>
      <c r="K42" s="75">
        <v>0.56999999999999995</v>
      </c>
      <c r="L42" s="75">
        <v>0.56999999999999995</v>
      </c>
      <c r="M42" s="75">
        <v>0.57999999999999996</v>
      </c>
    </row>
    <row r="43" spans="1:13" x14ac:dyDescent="0.25">
      <c r="A43" s="74">
        <v>16</v>
      </c>
      <c r="B43" s="75">
        <v>0.57999999999999996</v>
      </c>
      <c r="C43" s="75">
        <v>0.59</v>
      </c>
      <c r="D43" s="75">
        <v>0.59</v>
      </c>
      <c r="E43" s="75">
        <v>0.6</v>
      </c>
      <c r="F43" s="75">
        <v>0.6</v>
      </c>
      <c r="G43" s="75">
        <v>0.6</v>
      </c>
      <c r="H43" s="75">
        <v>0.61</v>
      </c>
      <c r="I43" s="75">
        <v>0.61</v>
      </c>
      <c r="J43" s="75">
        <v>0.62</v>
      </c>
      <c r="K43" s="75">
        <v>0.62</v>
      </c>
      <c r="L43" s="75">
        <v>0.63</v>
      </c>
      <c r="M43" s="75">
        <v>0.63</v>
      </c>
    </row>
    <row r="44" spans="1:13" x14ac:dyDescent="0.25">
      <c r="A44" s="74">
        <v>17</v>
      </c>
      <c r="B44" s="75">
        <v>0.64</v>
      </c>
      <c r="C44" s="75">
        <v>0.64</v>
      </c>
      <c r="D44" s="75">
        <v>0.65</v>
      </c>
      <c r="E44" s="75">
        <v>0.65</v>
      </c>
      <c r="F44" s="75">
        <v>0.66</v>
      </c>
      <c r="G44" s="75">
        <v>0.66</v>
      </c>
      <c r="H44" s="75">
        <v>0.67</v>
      </c>
      <c r="I44" s="75">
        <v>0.67</v>
      </c>
      <c r="J44" s="75">
        <v>0.68</v>
      </c>
      <c r="K44" s="75">
        <v>0.68</v>
      </c>
      <c r="L44" s="75">
        <v>0.68</v>
      </c>
      <c r="M44" s="75">
        <v>0.69</v>
      </c>
    </row>
    <row r="45" spans="1:13" x14ac:dyDescent="0.25">
      <c r="A45" s="74">
        <v>18</v>
      </c>
      <c r="B45" s="75">
        <v>0.69</v>
      </c>
      <c r="C45" s="75">
        <v>0.7</v>
      </c>
      <c r="D45" s="75">
        <v>0.7</v>
      </c>
      <c r="E45" s="75">
        <v>0.71</v>
      </c>
      <c r="F45" s="75">
        <v>0.71</v>
      </c>
      <c r="G45" s="75">
        <v>0.72</v>
      </c>
      <c r="H45" s="75">
        <v>0.72</v>
      </c>
      <c r="I45" s="75">
        <v>0.73</v>
      </c>
      <c r="J45" s="75">
        <v>0.73</v>
      </c>
      <c r="K45" s="75">
        <v>0.74</v>
      </c>
      <c r="L45" s="75">
        <v>0.74</v>
      </c>
      <c r="M45" s="75">
        <v>0.75</v>
      </c>
    </row>
    <row r="46" spans="1:13" x14ac:dyDescent="0.25">
      <c r="A46" s="74">
        <v>19</v>
      </c>
      <c r="B46" s="75">
        <v>0.75</v>
      </c>
      <c r="C46" s="75">
        <v>0.76</v>
      </c>
      <c r="D46" s="75">
        <v>0.76</v>
      </c>
      <c r="E46" s="75">
        <v>0.77</v>
      </c>
      <c r="F46" s="75">
        <v>0.78</v>
      </c>
      <c r="G46" s="75">
        <v>0.78</v>
      </c>
      <c r="H46" s="75">
        <v>0.79</v>
      </c>
      <c r="I46" s="75">
        <v>0.79</v>
      </c>
      <c r="J46" s="75">
        <v>0.8</v>
      </c>
      <c r="K46" s="75">
        <v>0.8</v>
      </c>
      <c r="L46" s="75">
        <v>0.81</v>
      </c>
      <c r="M46" s="75">
        <v>0.81</v>
      </c>
    </row>
    <row r="47" spans="1:13" x14ac:dyDescent="0.25">
      <c r="A47" s="74">
        <v>20</v>
      </c>
      <c r="B47" s="75">
        <v>0.82</v>
      </c>
      <c r="C47" s="75">
        <v>0.82</v>
      </c>
      <c r="D47" s="75">
        <v>0.83</v>
      </c>
      <c r="E47" s="75">
        <v>0.83</v>
      </c>
      <c r="F47" s="75">
        <v>0.84</v>
      </c>
      <c r="G47" s="75">
        <v>0.84</v>
      </c>
      <c r="H47" s="75">
        <v>0.85</v>
      </c>
      <c r="I47" s="75">
        <v>0.86</v>
      </c>
      <c r="J47" s="75">
        <v>0.86</v>
      </c>
      <c r="K47" s="75">
        <v>0.87</v>
      </c>
      <c r="L47" s="75">
        <v>0.87</v>
      </c>
      <c r="M47" s="75">
        <v>0.88</v>
      </c>
    </row>
    <row r="48" spans="1:13" x14ac:dyDescent="0.25">
      <c r="A48" s="74">
        <v>21</v>
      </c>
      <c r="B48" s="75">
        <v>0.88</v>
      </c>
      <c r="C48" s="75">
        <v>0.89</v>
      </c>
      <c r="D48" s="75">
        <v>0.9</v>
      </c>
      <c r="E48" s="75">
        <v>0.9</v>
      </c>
      <c r="F48" s="75">
        <v>0.91</v>
      </c>
      <c r="G48" s="75">
        <v>0.91</v>
      </c>
      <c r="H48" s="75">
        <v>0.92</v>
      </c>
      <c r="I48" s="75">
        <v>0.92</v>
      </c>
      <c r="J48" s="75">
        <v>0.93</v>
      </c>
      <c r="K48" s="75">
        <v>0.94</v>
      </c>
      <c r="L48" s="75">
        <v>0.94</v>
      </c>
      <c r="M48" s="75">
        <v>0.95</v>
      </c>
    </row>
    <row r="49" spans="1:13" x14ac:dyDescent="0.25">
      <c r="A49" s="74">
        <v>22</v>
      </c>
      <c r="B49" s="75">
        <v>0.95</v>
      </c>
      <c r="C49" s="75">
        <v>0.96</v>
      </c>
      <c r="D49" s="75">
        <v>0.97</v>
      </c>
      <c r="E49" s="75">
        <v>0.97</v>
      </c>
      <c r="F49" s="75">
        <v>0.98</v>
      </c>
      <c r="G49" s="75">
        <v>0.98</v>
      </c>
      <c r="H49" s="75">
        <v>0.99</v>
      </c>
      <c r="I49" s="75">
        <v>1</v>
      </c>
      <c r="J49" s="75">
        <v>1</v>
      </c>
      <c r="K49" s="75">
        <v>1.01</v>
      </c>
      <c r="L49" s="75">
        <v>1.01</v>
      </c>
      <c r="M49" s="75">
        <v>1.02</v>
      </c>
    </row>
    <row r="50" spans="1:13" x14ac:dyDescent="0.25">
      <c r="A50" s="74">
        <v>23</v>
      </c>
      <c r="B50" s="75">
        <v>1.03</v>
      </c>
      <c r="C50" s="75">
        <v>1.03</v>
      </c>
      <c r="D50" s="75">
        <v>1.04</v>
      </c>
      <c r="E50" s="75">
        <v>1.04</v>
      </c>
      <c r="F50" s="75">
        <v>1.05</v>
      </c>
      <c r="G50" s="75">
        <v>1.06</v>
      </c>
      <c r="H50" s="75">
        <v>1.06</v>
      </c>
      <c r="I50" s="75">
        <v>1.07</v>
      </c>
      <c r="J50" s="75">
        <v>1.08</v>
      </c>
      <c r="K50" s="75">
        <v>1.08</v>
      </c>
      <c r="L50" s="75">
        <v>1.0900000000000001</v>
      </c>
      <c r="M50" s="75">
        <v>1.1000000000000001</v>
      </c>
    </row>
    <row r="51" spans="1:13" x14ac:dyDescent="0.25">
      <c r="A51" s="74">
        <v>24</v>
      </c>
      <c r="B51" s="75">
        <v>1.1000000000000001</v>
      </c>
      <c r="C51" s="75">
        <v>1.1100000000000001</v>
      </c>
      <c r="D51" s="75">
        <v>1.1200000000000001</v>
      </c>
      <c r="E51" s="75">
        <v>1.1200000000000001</v>
      </c>
      <c r="F51" s="75">
        <v>1.1299999999999999</v>
      </c>
      <c r="G51" s="75">
        <v>1.1399999999999999</v>
      </c>
      <c r="H51" s="75">
        <v>1.1399999999999999</v>
      </c>
      <c r="I51" s="75">
        <v>1.1499999999999999</v>
      </c>
      <c r="J51" s="75">
        <v>1.1599999999999999</v>
      </c>
      <c r="K51" s="75">
        <v>1.1599999999999999</v>
      </c>
      <c r="L51" s="75">
        <v>1.17</v>
      </c>
      <c r="M51" s="75">
        <v>1.18</v>
      </c>
    </row>
    <row r="52" spans="1:13" x14ac:dyDescent="0.25">
      <c r="A52" s="74">
        <v>25</v>
      </c>
      <c r="B52" s="75">
        <v>1.18</v>
      </c>
      <c r="C52" s="75">
        <v>1.19</v>
      </c>
      <c r="D52" s="75">
        <v>1.2</v>
      </c>
      <c r="E52" s="75">
        <v>1.2</v>
      </c>
      <c r="F52" s="75">
        <v>1.21</v>
      </c>
      <c r="G52" s="75">
        <v>1.22</v>
      </c>
      <c r="H52" s="75">
        <v>1.22</v>
      </c>
      <c r="I52" s="75">
        <v>1.23</v>
      </c>
      <c r="J52" s="75">
        <v>1.24</v>
      </c>
      <c r="K52" s="75">
        <v>1.24</v>
      </c>
      <c r="L52" s="75">
        <v>1.25</v>
      </c>
      <c r="M52" s="75">
        <v>1.26</v>
      </c>
    </row>
    <row r="53" spans="1:13" x14ac:dyDescent="0.25">
      <c r="A53" s="74">
        <v>26</v>
      </c>
      <c r="B53" s="75">
        <v>1.27</v>
      </c>
      <c r="C53" s="75">
        <v>1.27</v>
      </c>
      <c r="D53" s="75">
        <v>1.28</v>
      </c>
      <c r="E53" s="75">
        <v>1.29</v>
      </c>
      <c r="F53" s="75">
        <v>1.29</v>
      </c>
      <c r="G53" s="75">
        <v>1.3</v>
      </c>
      <c r="H53" s="75">
        <v>1.31</v>
      </c>
      <c r="I53" s="75">
        <v>1.32</v>
      </c>
      <c r="J53" s="75">
        <v>1.32</v>
      </c>
      <c r="K53" s="75">
        <v>1.33</v>
      </c>
      <c r="L53" s="75">
        <v>1.34</v>
      </c>
      <c r="M53" s="75">
        <v>1.35</v>
      </c>
    </row>
    <row r="54" spans="1:13" x14ac:dyDescent="0.25">
      <c r="A54" s="74">
        <v>27</v>
      </c>
      <c r="B54" s="75">
        <v>1.35</v>
      </c>
      <c r="C54" s="75">
        <v>1.36</v>
      </c>
      <c r="D54" s="75">
        <v>1.37</v>
      </c>
      <c r="E54" s="75">
        <v>1.38</v>
      </c>
      <c r="F54" s="75">
        <v>1.38</v>
      </c>
      <c r="G54" s="75">
        <v>1.39</v>
      </c>
      <c r="H54" s="75">
        <v>1.4</v>
      </c>
      <c r="I54" s="75">
        <v>1.41</v>
      </c>
      <c r="J54" s="75">
        <v>1.41</v>
      </c>
      <c r="K54" s="75">
        <v>1.42</v>
      </c>
      <c r="L54" s="75">
        <v>1.43</v>
      </c>
      <c r="M54" s="75">
        <v>1.44</v>
      </c>
    </row>
    <row r="55" spans="1:13" x14ac:dyDescent="0.25">
      <c r="A55" s="74">
        <v>28</v>
      </c>
      <c r="B55" s="75">
        <v>1.44</v>
      </c>
      <c r="C55" s="75">
        <v>1.45</v>
      </c>
      <c r="D55" s="75">
        <v>1.46</v>
      </c>
      <c r="E55" s="75">
        <v>1.47</v>
      </c>
      <c r="F55" s="75">
        <v>1.48</v>
      </c>
      <c r="G55" s="75">
        <v>1.48</v>
      </c>
      <c r="H55" s="75">
        <v>1.49</v>
      </c>
      <c r="I55" s="75">
        <v>1.5</v>
      </c>
      <c r="J55" s="75">
        <v>1.51</v>
      </c>
      <c r="K55" s="75">
        <v>1.52</v>
      </c>
      <c r="L55" s="75">
        <v>1.52</v>
      </c>
      <c r="M55" s="75">
        <v>1.53</v>
      </c>
    </row>
    <row r="56" spans="1:13" x14ac:dyDescent="0.25">
      <c r="A56" s="74">
        <v>29</v>
      </c>
      <c r="B56" s="75">
        <v>1.54</v>
      </c>
      <c r="C56" s="75">
        <v>1.55</v>
      </c>
      <c r="D56" s="75">
        <v>1.56</v>
      </c>
      <c r="E56" s="75">
        <v>1.57</v>
      </c>
      <c r="F56" s="75">
        <v>1.57</v>
      </c>
      <c r="G56" s="75">
        <v>1.58</v>
      </c>
      <c r="H56" s="75">
        <v>1.59</v>
      </c>
      <c r="I56" s="75">
        <v>1.6</v>
      </c>
      <c r="J56" s="75">
        <v>1.61</v>
      </c>
      <c r="K56" s="75">
        <v>1.62</v>
      </c>
      <c r="L56" s="75">
        <v>1.62</v>
      </c>
      <c r="M56" s="75">
        <v>1.63</v>
      </c>
    </row>
    <row r="57" spans="1:13" x14ac:dyDescent="0.25">
      <c r="A57" s="74">
        <v>30</v>
      </c>
      <c r="B57" s="75">
        <v>1.64</v>
      </c>
      <c r="C57" s="75">
        <v>1.65</v>
      </c>
      <c r="D57" s="75">
        <v>1.66</v>
      </c>
      <c r="E57" s="75">
        <v>1.67</v>
      </c>
      <c r="F57" s="75">
        <v>1.68</v>
      </c>
      <c r="G57" s="75">
        <v>1.69</v>
      </c>
      <c r="H57" s="75">
        <v>1.69</v>
      </c>
      <c r="I57" s="75">
        <v>1.7</v>
      </c>
      <c r="J57" s="75">
        <v>1.71</v>
      </c>
      <c r="K57" s="75">
        <v>1.72</v>
      </c>
      <c r="L57" s="75">
        <v>1.73</v>
      </c>
      <c r="M57" s="75">
        <v>1.74</v>
      </c>
    </row>
    <row r="58" spans="1:13" x14ac:dyDescent="0.25">
      <c r="A58" s="74">
        <v>31</v>
      </c>
      <c r="B58" s="75">
        <v>1.75</v>
      </c>
      <c r="C58" s="75">
        <v>1.76</v>
      </c>
      <c r="D58" s="75">
        <v>1.77</v>
      </c>
      <c r="E58" s="75">
        <v>1.77</v>
      </c>
      <c r="F58" s="75">
        <v>1.78</v>
      </c>
      <c r="G58" s="75">
        <v>1.79</v>
      </c>
      <c r="H58" s="75">
        <v>1.8</v>
      </c>
      <c r="I58" s="75">
        <v>1.81</v>
      </c>
      <c r="J58" s="75">
        <v>1.82</v>
      </c>
      <c r="K58" s="75">
        <v>1.83</v>
      </c>
      <c r="L58" s="75">
        <v>1.84</v>
      </c>
      <c r="M58" s="75">
        <v>1.85</v>
      </c>
    </row>
    <row r="59" spans="1:13" x14ac:dyDescent="0.25">
      <c r="A59" s="74">
        <v>32</v>
      </c>
      <c r="B59" s="75">
        <v>1.86</v>
      </c>
      <c r="C59" s="75">
        <v>1.87</v>
      </c>
      <c r="D59" s="75">
        <v>1.88</v>
      </c>
      <c r="E59" s="75">
        <v>1.89</v>
      </c>
      <c r="F59" s="75">
        <v>1.9</v>
      </c>
      <c r="G59" s="75">
        <v>1.9</v>
      </c>
      <c r="H59" s="75">
        <v>1.91</v>
      </c>
      <c r="I59" s="75">
        <v>1.92</v>
      </c>
      <c r="J59" s="75">
        <v>1.93</v>
      </c>
      <c r="K59" s="75">
        <v>1.94</v>
      </c>
      <c r="L59" s="75">
        <v>1.95</v>
      </c>
      <c r="M59" s="75">
        <v>1.96</v>
      </c>
    </row>
    <row r="60" spans="1:13" x14ac:dyDescent="0.25">
      <c r="A60" s="74">
        <v>33</v>
      </c>
      <c r="B60" s="75">
        <v>1.97</v>
      </c>
      <c r="C60" s="75">
        <v>1.98</v>
      </c>
      <c r="D60" s="75">
        <v>1.99</v>
      </c>
      <c r="E60" s="75">
        <v>2</v>
      </c>
      <c r="F60" s="75">
        <v>2.0099999999999998</v>
      </c>
      <c r="G60" s="75">
        <v>2.02</v>
      </c>
      <c r="H60" s="75">
        <v>2.0299999999999998</v>
      </c>
      <c r="I60" s="75">
        <v>2.04</v>
      </c>
      <c r="J60" s="75">
        <v>2.0499999999999998</v>
      </c>
      <c r="K60" s="75">
        <v>2.06</v>
      </c>
      <c r="L60" s="75">
        <v>2.0699999999999998</v>
      </c>
      <c r="M60" s="75">
        <v>2.08</v>
      </c>
    </row>
    <row r="61" spans="1:13" x14ac:dyDescent="0.25">
      <c r="A61" s="74">
        <v>34</v>
      </c>
      <c r="B61" s="75">
        <v>2.09</v>
      </c>
      <c r="C61" s="75">
        <v>2.1</v>
      </c>
      <c r="D61" s="75">
        <v>2.11</v>
      </c>
      <c r="E61" s="75">
        <v>2.12</v>
      </c>
      <c r="F61" s="75">
        <v>2.13</v>
      </c>
      <c r="G61" s="75">
        <v>2.14</v>
      </c>
      <c r="H61" s="75">
        <v>2.16</v>
      </c>
      <c r="I61" s="75">
        <v>2.17</v>
      </c>
      <c r="J61" s="75">
        <v>2.1800000000000002</v>
      </c>
      <c r="K61" s="75">
        <v>2.19</v>
      </c>
      <c r="L61" s="75">
        <v>2.2000000000000002</v>
      </c>
      <c r="M61" s="75">
        <v>2.21</v>
      </c>
    </row>
    <row r="62" spans="1:13" x14ac:dyDescent="0.25">
      <c r="A62" s="74">
        <v>35</v>
      </c>
      <c r="B62" s="75">
        <v>2.2200000000000002</v>
      </c>
      <c r="C62" s="75">
        <v>2.23</v>
      </c>
      <c r="D62" s="75">
        <v>2.2400000000000002</v>
      </c>
      <c r="E62" s="75">
        <v>2.25</v>
      </c>
      <c r="F62" s="75">
        <v>2.2599999999999998</v>
      </c>
      <c r="G62" s="75">
        <v>2.27</v>
      </c>
      <c r="H62" s="75">
        <v>2.2799999999999998</v>
      </c>
      <c r="I62" s="75">
        <v>2.29</v>
      </c>
      <c r="J62" s="75">
        <v>2.31</v>
      </c>
      <c r="K62" s="75">
        <v>2.3199999999999998</v>
      </c>
      <c r="L62" s="75">
        <v>2.33</v>
      </c>
      <c r="M62" s="75">
        <v>2.34</v>
      </c>
    </row>
    <row r="63" spans="1:13" x14ac:dyDescent="0.25">
      <c r="A63" s="74">
        <v>36</v>
      </c>
      <c r="B63" s="75">
        <v>2.35</v>
      </c>
      <c r="C63" s="75">
        <v>2.36</v>
      </c>
      <c r="D63" s="75">
        <v>2.37</v>
      </c>
      <c r="E63" s="75">
        <v>2.38</v>
      </c>
      <c r="F63" s="75">
        <v>2.4</v>
      </c>
      <c r="G63" s="75">
        <v>2.41</v>
      </c>
      <c r="H63" s="75">
        <v>2.42</v>
      </c>
      <c r="I63" s="75">
        <v>2.4300000000000002</v>
      </c>
      <c r="J63" s="75">
        <v>2.44</v>
      </c>
      <c r="K63" s="75">
        <v>2.4500000000000002</v>
      </c>
      <c r="L63" s="75">
        <v>2.46</v>
      </c>
      <c r="M63" s="75">
        <v>2.48</v>
      </c>
    </row>
    <row r="64" spans="1:13" x14ac:dyDescent="0.25">
      <c r="A64" s="74">
        <v>37</v>
      </c>
      <c r="B64" s="75">
        <v>2.4900000000000002</v>
      </c>
      <c r="C64" s="75">
        <v>2.5</v>
      </c>
      <c r="D64" s="75">
        <v>2.5099999999999998</v>
      </c>
      <c r="E64" s="75">
        <v>2.52</v>
      </c>
      <c r="F64" s="75">
        <v>2.5299999999999998</v>
      </c>
      <c r="G64" s="75">
        <v>2.5499999999999998</v>
      </c>
      <c r="H64" s="75">
        <v>2.56</v>
      </c>
      <c r="I64" s="75">
        <v>2.57</v>
      </c>
      <c r="J64" s="75">
        <v>2.58</v>
      </c>
      <c r="K64" s="75">
        <v>2.59</v>
      </c>
      <c r="L64" s="75">
        <v>2.61</v>
      </c>
      <c r="M64" s="75">
        <v>2.62</v>
      </c>
    </row>
    <row r="65" spans="1:13" x14ac:dyDescent="0.25">
      <c r="A65" s="74">
        <v>38</v>
      </c>
      <c r="B65" s="75">
        <v>2.63</v>
      </c>
      <c r="C65" s="75">
        <v>2.64</v>
      </c>
      <c r="D65" s="75">
        <v>2.66</v>
      </c>
      <c r="E65" s="75">
        <v>2.67</v>
      </c>
      <c r="F65" s="75">
        <v>2.68</v>
      </c>
      <c r="G65" s="75">
        <v>2.69</v>
      </c>
      <c r="H65" s="75">
        <v>2.71</v>
      </c>
      <c r="I65" s="75">
        <v>2.72</v>
      </c>
      <c r="J65" s="75">
        <v>2.73</v>
      </c>
      <c r="K65" s="75">
        <v>2.74</v>
      </c>
      <c r="L65" s="75">
        <v>2.76</v>
      </c>
      <c r="M65" s="75">
        <v>2.77</v>
      </c>
    </row>
    <row r="66" spans="1:13" x14ac:dyDescent="0.25">
      <c r="A66" s="74">
        <v>39</v>
      </c>
      <c r="B66" s="75">
        <v>2.78</v>
      </c>
      <c r="C66" s="75">
        <v>2.79</v>
      </c>
      <c r="D66" s="75">
        <v>2.81</v>
      </c>
      <c r="E66" s="75">
        <v>2.82</v>
      </c>
      <c r="F66" s="75">
        <v>2.83</v>
      </c>
      <c r="G66" s="75">
        <v>2.85</v>
      </c>
      <c r="H66" s="75">
        <v>2.86</v>
      </c>
      <c r="I66" s="75">
        <v>2.87</v>
      </c>
      <c r="J66" s="75">
        <v>2.89</v>
      </c>
      <c r="K66" s="75">
        <v>2.9</v>
      </c>
      <c r="L66" s="75">
        <v>2.91</v>
      </c>
      <c r="M66" s="75">
        <v>2.92</v>
      </c>
    </row>
    <row r="67" spans="1:13" x14ac:dyDescent="0.25">
      <c r="A67" s="74">
        <v>40</v>
      </c>
      <c r="B67" s="75">
        <v>2.94</v>
      </c>
      <c r="C67" s="75">
        <v>2.95</v>
      </c>
      <c r="D67" s="75">
        <v>2.97</v>
      </c>
      <c r="E67" s="75">
        <v>2.98</v>
      </c>
      <c r="F67" s="75">
        <v>2.99</v>
      </c>
      <c r="G67" s="75">
        <v>3.01</v>
      </c>
      <c r="H67" s="75">
        <v>3.02</v>
      </c>
      <c r="I67" s="75">
        <v>3.03</v>
      </c>
      <c r="J67" s="75">
        <v>3.05</v>
      </c>
      <c r="K67" s="75">
        <v>3.06</v>
      </c>
      <c r="L67" s="75">
        <v>3.07</v>
      </c>
      <c r="M67" s="75">
        <v>3.09</v>
      </c>
    </row>
    <row r="68" spans="1:13" x14ac:dyDescent="0.25">
      <c r="A68" s="74">
        <v>41</v>
      </c>
      <c r="B68" s="75">
        <v>3.1</v>
      </c>
      <c r="C68" s="75">
        <v>3.12</v>
      </c>
      <c r="D68" s="75">
        <v>3.13</v>
      </c>
      <c r="E68" s="75">
        <v>3.14</v>
      </c>
      <c r="F68" s="75">
        <v>3.16</v>
      </c>
      <c r="G68" s="75">
        <v>3.17</v>
      </c>
      <c r="H68" s="75">
        <v>3.19</v>
      </c>
      <c r="I68" s="75">
        <v>3.2</v>
      </c>
      <c r="J68" s="75">
        <v>3.22</v>
      </c>
      <c r="K68" s="75">
        <v>3.23</v>
      </c>
      <c r="L68" s="75">
        <v>3.24</v>
      </c>
      <c r="M68" s="75">
        <v>3.26</v>
      </c>
    </row>
    <row r="69" spans="1:13" x14ac:dyDescent="0.25">
      <c r="A69" s="74">
        <v>42</v>
      </c>
      <c r="B69" s="75">
        <v>3.27</v>
      </c>
      <c r="C69" s="75">
        <v>3.29</v>
      </c>
      <c r="D69" s="75">
        <v>3.3</v>
      </c>
      <c r="E69" s="75">
        <v>3.32</v>
      </c>
      <c r="F69" s="75">
        <v>3.33</v>
      </c>
      <c r="G69" s="75">
        <v>3.35</v>
      </c>
      <c r="H69" s="75">
        <v>3.36</v>
      </c>
      <c r="I69" s="75">
        <v>3.38</v>
      </c>
      <c r="J69" s="75">
        <v>3.39</v>
      </c>
      <c r="K69" s="75">
        <v>3.41</v>
      </c>
      <c r="L69" s="75">
        <v>3.42</v>
      </c>
      <c r="M69" s="75">
        <v>3.44</v>
      </c>
    </row>
    <row r="70" spans="1:13" x14ac:dyDescent="0.25">
      <c r="A70" s="74">
        <v>43</v>
      </c>
      <c r="B70" s="75">
        <v>3.45</v>
      </c>
      <c r="C70" s="75">
        <v>3.47</v>
      </c>
      <c r="D70" s="75">
        <v>3.48</v>
      </c>
      <c r="E70" s="75">
        <v>3.5</v>
      </c>
      <c r="F70" s="75">
        <v>3.51</v>
      </c>
      <c r="G70" s="75">
        <v>3.53</v>
      </c>
      <c r="H70" s="75">
        <v>3.54</v>
      </c>
      <c r="I70" s="75">
        <v>3.56</v>
      </c>
      <c r="J70" s="75">
        <v>3.58</v>
      </c>
      <c r="K70" s="75">
        <v>3.59</v>
      </c>
      <c r="L70" s="75">
        <v>3.61</v>
      </c>
      <c r="M70" s="75">
        <v>3.62</v>
      </c>
    </row>
    <row r="71" spans="1:13" x14ac:dyDescent="0.25">
      <c r="A71" s="74">
        <v>44</v>
      </c>
      <c r="B71" s="75">
        <v>3.64</v>
      </c>
      <c r="C71" s="75">
        <v>3.65</v>
      </c>
      <c r="D71" s="75">
        <v>3.67</v>
      </c>
      <c r="E71" s="75">
        <v>3.69</v>
      </c>
      <c r="F71" s="75">
        <v>3.7</v>
      </c>
      <c r="G71" s="75">
        <v>3.72</v>
      </c>
      <c r="H71" s="75">
        <v>3.74</v>
      </c>
      <c r="I71" s="75">
        <v>3.75</v>
      </c>
      <c r="J71" s="75">
        <v>3.77</v>
      </c>
      <c r="K71" s="75">
        <v>3.78</v>
      </c>
      <c r="L71" s="75">
        <v>3.8</v>
      </c>
      <c r="M71" s="75">
        <v>3.82</v>
      </c>
    </row>
    <row r="72" spans="1:13" x14ac:dyDescent="0.25">
      <c r="A72" s="74">
        <v>45</v>
      </c>
      <c r="B72" s="75">
        <v>3.83</v>
      </c>
      <c r="C72" s="75">
        <v>3.85</v>
      </c>
      <c r="D72" s="75">
        <v>3.87</v>
      </c>
      <c r="E72" s="75">
        <v>3.88</v>
      </c>
      <c r="F72" s="75">
        <v>3.9</v>
      </c>
      <c r="G72" s="75">
        <v>3.92</v>
      </c>
      <c r="H72" s="75">
        <v>3.93</v>
      </c>
      <c r="I72" s="75">
        <v>3.95</v>
      </c>
      <c r="J72" s="75">
        <v>3.97</v>
      </c>
      <c r="K72" s="75">
        <v>3.99</v>
      </c>
      <c r="L72" s="75">
        <v>4</v>
      </c>
      <c r="M72" s="75">
        <v>4.0199999999999996</v>
      </c>
    </row>
    <row r="73" spans="1:13" x14ac:dyDescent="0.25">
      <c r="A73" s="74">
        <v>46</v>
      </c>
      <c r="B73" s="75">
        <v>4.04</v>
      </c>
      <c r="C73" s="75">
        <v>4.05</v>
      </c>
      <c r="D73" s="75">
        <v>4.07</v>
      </c>
      <c r="E73" s="75">
        <v>4.09</v>
      </c>
      <c r="F73" s="75">
        <v>4.1100000000000003</v>
      </c>
      <c r="G73" s="75">
        <v>4.12</v>
      </c>
      <c r="H73" s="75">
        <v>4.1399999999999997</v>
      </c>
      <c r="I73" s="75">
        <v>4.16</v>
      </c>
      <c r="J73" s="75">
        <v>4.18</v>
      </c>
      <c r="K73" s="75">
        <v>4.1900000000000004</v>
      </c>
      <c r="L73" s="75">
        <v>4.21</v>
      </c>
      <c r="M73" s="75">
        <v>4.2300000000000004</v>
      </c>
    </row>
    <row r="74" spans="1:13" x14ac:dyDescent="0.25">
      <c r="A74" s="74">
        <v>47</v>
      </c>
      <c r="B74" s="75">
        <v>4.25</v>
      </c>
      <c r="C74" s="75">
        <v>4.2699999999999996</v>
      </c>
      <c r="D74" s="75">
        <v>4.28</v>
      </c>
      <c r="E74" s="75">
        <v>4.3</v>
      </c>
      <c r="F74" s="75">
        <v>4.32</v>
      </c>
      <c r="G74" s="75">
        <v>4.34</v>
      </c>
      <c r="H74" s="75">
        <v>4.3600000000000003</v>
      </c>
      <c r="I74" s="75">
        <v>4.38</v>
      </c>
      <c r="J74" s="75">
        <v>4.4000000000000004</v>
      </c>
      <c r="K74" s="75">
        <v>4.41</v>
      </c>
      <c r="L74" s="75">
        <v>4.43</v>
      </c>
      <c r="M74" s="75">
        <v>4.45</v>
      </c>
    </row>
    <row r="75" spans="1:13" x14ac:dyDescent="0.25">
      <c r="A75" s="74">
        <v>48</v>
      </c>
      <c r="B75" s="75">
        <v>4.47</v>
      </c>
      <c r="C75" s="75">
        <v>4.49</v>
      </c>
      <c r="D75" s="75">
        <v>4.51</v>
      </c>
      <c r="E75" s="75">
        <v>4.53</v>
      </c>
      <c r="F75" s="75">
        <v>4.55</v>
      </c>
      <c r="G75" s="75">
        <v>4.57</v>
      </c>
      <c r="H75" s="75">
        <v>4.58</v>
      </c>
      <c r="I75" s="75">
        <v>4.5999999999999996</v>
      </c>
      <c r="J75" s="75">
        <v>4.62</v>
      </c>
      <c r="K75" s="75">
        <v>4.6399999999999997</v>
      </c>
      <c r="L75" s="75">
        <v>4.66</v>
      </c>
      <c r="M75" s="75">
        <v>4.68</v>
      </c>
    </row>
    <row r="76" spans="1:13" x14ac:dyDescent="0.25">
      <c r="A76" s="74">
        <v>49</v>
      </c>
      <c r="B76" s="75">
        <v>4.7</v>
      </c>
      <c r="C76" s="75">
        <v>4.72</v>
      </c>
      <c r="D76" s="75">
        <v>4.74</v>
      </c>
      <c r="E76" s="75">
        <v>4.76</v>
      </c>
      <c r="F76" s="75">
        <v>4.78</v>
      </c>
      <c r="G76" s="75">
        <v>4.8</v>
      </c>
      <c r="H76" s="75">
        <v>4.82</v>
      </c>
      <c r="I76" s="75">
        <v>4.84</v>
      </c>
      <c r="J76" s="75">
        <v>4.8600000000000003</v>
      </c>
      <c r="K76" s="75">
        <v>4.88</v>
      </c>
      <c r="L76" s="75">
        <v>4.9000000000000004</v>
      </c>
      <c r="M76" s="75">
        <v>4.92</v>
      </c>
    </row>
    <row r="77" spans="1:13" x14ac:dyDescent="0.25">
      <c r="A77" s="74">
        <v>50</v>
      </c>
      <c r="B77" s="75">
        <v>4.9400000000000004</v>
      </c>
      <c r="C77" s="75">
        <v>4.96</v>
      </c>
      <c r="D77" s="75">
        <v>4.9800000000000004</v>
      </c>
      <c r="E77" s="75">
        <v>5</v>
      </c>
      <c r="F77" s="75">
        <v>5.03</v>
      </c>
      <c r="G77" s="75">
        <v>5.05</v>
      </c>
      <c r="H77" s="75">
        <v>5.07</v>
      </c>
      <c r="I77" s="75">
        <v>5.09</v>
      </c>
      <c r="J77" s="75">
        <v>5.1100000000000003</v>
      </c>
      <c r="K77" s="75">
        <v>5.13</v>
      </c>
      <c r="L77" s="75">
        <v>5.15</v>
      </c>
      <c r="M77" s="75">
        <v>5.17</v>
      </c>
    </row>
  </sheetData>
  <sheetProtection algorithmName="SHA-512" hashValue="sIWTKpSHsiQiiKS5IRldV2ZY7saO/Y7vry3HmXhtUCPu5G2nOk6waB0023aj/AlFgeWOpE7iFGNCRblTh/9h7A==" saltValue="0QfPZE1NvxahAHX81dfnYA==" spinCount="100000" sheet="1" objects="1" scenarios="1"/>
  <conditionalFormatting sqref="A6:A21">
    <cfRule type="expression" dxfId="215" priority="1" stopIfTrue="1">
      <formula>MOD(ROW(),2)=0</formula>
    </cfRule>
    <cfRule type="expression" dxfId="214" priority="2" stopIfTrue="1">
      <formula>MOD(ROW(),2)&lt;&gt;0</formula>
    </cfRule>
  </conditionalFormatting>
  <conditionalFormatting sqref="A26:A77">
    <cfRule type="expression" dxfId="213" priority="23" stopIfTrue="1">
      <formula>MOD(ROW(),2)=0</formula>
    </cfRule>
    <cfRule type="expression" dxfId="212" priority="24" stopIfTrue="1">
      <formula>MOD(ROW(),2)&lt;&gt;0</formula>
    </cfRule>
  </conditionalFormatting>
  <conditionalFormatting sqref="B17:B21">
    <cfRule type="expression" dxfId="211" priority="5" stopIfTrue="1">
      <formula>MOD(ROW(),2)=0</formula>
    </cfRule>
    <cfRule type="expression" dxfId="210" priority="6" stopIfTrue="1">
      <formula>MOD(ROW(),2)&lt;&gt;0</formula>
    </cfRule>
  </conditionalFormatting>
  <conditionalFormatting sqref="B6:M21 B26:M77">
    <cfRule type="expression" dxfId="209" priority="31" stopIfTrue="1">
      <formula>MOD(ROW(),2)=0</formula>
    </cfRule>
    <cfRule type="expression" dxfId="208" priority="32" stopIfTrue="1">
      <formula>MOD(ROW(),2)&lt;&gt;0</formula>
    </cfRule>
  </conditionalFormatting>
  <hyperlinks>
    <hyperlink ref="B24" location="Sheet1!A1" display="Assumptions" xr:uid="{4058A794-AB17-41C1-9C0E-41E53C10065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14"/>
  <dimension ref="A1:I77"/>
  <sheetViews>
    <sheetView showGridLines="0" topLeftCell="A11"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EPA and EEPA - x-736</v>
      </c>
      <c r="B3" s="42"/>
      <c r="C3" s="42"/>
      <c r="D3" s="42"/>
      <c r="E3" s="42"/>
      <c r="F3" s="42"/>
      <c r="G3" s="42"/>
      <c r="H3" s="42"/>
      <c r="I3" s="42"/>
    </row>
    <row r="4" spans="1:9" x14ac:dyDescent="0.25">
      <c r="A4" s="44"/>
    </row>
    <row r="6" spans="1:9" x14ac:dyDescent="0.25">
      <c r="A6" s="76" t="s">
        <v>290</v>
      </c>
      <c r="B6" s="129" t="s">
        <v>291</v>
      </c>
    </row>
    <row r="7" spans="1:9" ht="40.5" customHeight="1" x14ac:dyDescent="0.25">
      <c r="A7" s="77" t="s">
        <v>292</v>
      </c>
      <c r="B7" s="129" t="s">
        <v>324</v>
      </c>
    </row>
    <row r="8" spans="1:9" x14ac:dyDescent="0.25">
      <c r="A8" s="77" t="s">
        <v>294</v>
      </c>
      <c r="B8" s="129" t="s">
        <v>85</v>
      </c>
    </row>
    <row r="9" spans="1:9" x14ac:dyDescent="0.25">
      <c r="A9" s="77" t="s">
        <v>296</v>
      </c>
      <c r="B9" s="129" t="s">
        <v>679</v>
      </c>
    </row>
    <row r="10" spans="1:9" ht="28.2" customHeight="1" x14ac:dyDescent="0.25">
      <c r="A10" s="77" t="s">
        <v>6</v>
      </c>
      <c r="B10" s="129" t="s">
        <v>684</v>
      </c>
    </row>
    <row r="11" spans="1:9" x14ac:dyDescent="0.25">
      <c r="A11" s="77" t="s">
        <v>299</v>
      </c>
      <c r="B11" s="129" t="s">
        <v>364</v>
      </c>
    </row>
    <row r="12" spans="1:9" ht="50.7" customHeight="1" x14ac:dyDescent="0.25">
      <c r="A12" s="77" t="s">
        <v>301</v>
      </c>
      <c r="B12" s="129" t="s">
        <v>685</v>
      </c>
    </row>
    <row r="13" spans="1:9" x14ac:dyDescent="0.25">
      <c r="A13" s="77" t="s">
        <v>303</v>
      </c>
      <c r="B13" s="129">
        <v>0</v>
      </c>
    </row>
    <row r="14" spans="1:9" x14ac:dyDescent="0.25">
      <c r="A14" s="77" t="s">
        <v>305</v>
      </c>
      <c r="B14" s="129">
        <v>736</v>
      </c>
    </row>
    <row r="15" spans="1:9" x14ac:dyDescent="0.25">
      <c r="A15" s="77" t="s">
        <v>307</v>
      </c>
      <c r="B15" s="129" t="s">
        <v>686</v>
      </c>
    </row>
    <row r="16" spans="1:9" x14ac:dyDescent="0.25">
      <c r="A16" s="77" t="s">
        <v>309</v>
      </c>
      <c r="B16" s="129" t="s">
        <v>687</v>
      </c>
    </row>
    <row r="17" spans="1:2" ht="140.25" customHeight="1" x14ac:dyDescent="0.25">
      <c r="A17" s="81" t="s">
        <v>803</v>
      </c>
      <c r="B17" s="129"/>
    </row>
    <row r="18" spans="1:2" x14ac:dyDescent="0.25">
      <c r="A18" s="77" t="s">
        <v>313</v>
      </c>
      <c r="B18" s="187">
        <v>45184</v>
      </c>
    </row>
    <row r="19" spans="1:2" x14ac:dyDescent="0.25">
      <c r="A19" s="77" t="s">
        <v>315</v>
      </c>
      <c r="B19" s="187"/>
    </row>
    <row r="20" spans="1:2" x14ac:dyDescent="0.25">
      <c r="A20" s="77" t="s">
        <v>317</v>
      </c>
      <c r="B20" s="129" t="s">
        <v>331</v>
      </c>
    </row>
    <row r="21" spans="1:2" x14ac:dyDescent="0.25">
      <c r="A21" s="77" t="s">
        <v>323</v>
      </c>
      <c r="B21" s="129" t="s">
        <v>332</v>
      </c>
    </row>
    <row r="23" spans="1:2" x14ac:dyDescent="0.25">
      <c r="B23" s="102" t="str">
        <f>HYPERLINK("#'Factor List'!A1","Back to Factor List")</f>
        <v>Back to Factor List</v>
      </c>
    </row>
    <row r="24" spans="1:2" x14ac:dyDescent="0.25">
      <c r="B24" s="102" t="s">
        <v>13</v>
      </c>
    </row>
    <row r="25" spans="1:2" x14ac:dyDescent="0.25">
      <c r="B25" s="102"/>
    </row>
    <row r="26" spans="1:2" ht="52.8" x14ac:dyDescent="0.25">
      <c r="A26" s="73" t="s">
        <v>685</v>
      </c>
      <c r="B26" s="73" t="s">
        <v>824</v>
      </c>
    </row>
    <row r="27" spans="1:2" x14ac:dyDescent="0.25">
      <c r="A27" s="74">
        <v>0</v>
      </c>
      <c r="B27" s="75">
        <v>1</v>
      </c>
    </row>
    <row r="28" spans="1:2" x14ac:dyDescent="0.25">
      <c r="A28" s="74">
        <v>1</v>
      </c>
      <c r="B28" s="75">
        <v>1.02</v>
      </c>
    </row>
    <row r="29" spans="1:2" x14ac:dyDescent="0.25">
      <c r="A29" s="74">
        <v>2</v>
      </c>
      <c r="B29" s="75">
        <v>1.04</v>
      </c>
    </row>
    <row r="30" spans="1:2" x14ac:dyDescent="0.25">
      <c r="A30" s="74">
        <v>3</v>
      </c>
      <c r="B30" s="75">
        <v>1.06</v>
      </c>
    </row>
    <row r="31" spans="1:2" x14ac:dyDescent="0.25">
      <c r="A31" s="74">
        <v>4</v>
      </c>
      <c r="B31" s="75">
        <v>1.08</v>
      </c>
    </row>
    <row r="32" spans="1:2" x14ac:dyDescent="0.25">
      <c r="A32" s="74">
        <v>5</v>
      </c>
      <c r="B32" s="75">
        <v>1.1000000000000001</v>
      </c>
    </row>
    <row r="33" spans="1:2" x14ac:dyDescent="0.25">
      <c r="A33" s="74">
        <v>6</v>
      </c>
      <c r="B33" s="75">
        <v>1.1299999999999999</v>
      </c>
    </row>
    <row r="34" spans="1:2" x14ac:dyDescent="0.25">
      <c r="A34" s="74">
        <v>7</v>
      </c>
      <c r="B34" s="75">
        <v>1.1499999999999999</v>
      </c>
    </row>
    <row r="35" spans="1:2" x14ac:dyDescent="0.25">
      <c r="A35" s="74">
        <v>8</v>
      </c>
      <c r="B35" s="75">
        <v>1.17</v>
      </c>
    </row>
    <row r="36" spans="1:2" x14ac:dyDescent="0.25">
      <c r="A36" s="74">
        <v>9</v>
      </c>
      <c r="B36" s="75">
        <v>1.2</v>
      </c>
    </row>
    <row r="37" spans="1:2" x14ac:dyDescent="0.25">
      <c r="A37" s="74">
        <v>10</v>
      </c>
      <c r="B37" s="75">
        <v>1.22</v>
      </c>
    </row>
    <row r="38" spans="1:2" x14ac:dyDescent="0.25">
      <c r="A38" s="74">
        <v>11</v>
      </c>
      <c r="B38" s="75">
        <v>1.24</v>
      </c>
    </row>
    <row r="39" spans="1:2" x14ac:dyDescent="0.25">
      <c r="A39" s="74">
        <v>12</v>
      </c>
      <c r="B39" s="75">
        <v>1.27</v>
      </c>
    </row>
    <row r="40" spans="1:2" x14ac:dyDescent="0.25">
      <c r="A40" s="74">
        <v>13</v>
      </c>
      <c r="B40" s="75">
        <v>1.29</v>
      </c>
    </row>
    <row r="41" spans="1:2" x14ac:dyDescent="0.25">
      <c r="A41" s="74">
        <v>14</v>
      </c>
      <c r="B41" s="75">
        <v>1.32</v>
      </c>
    </row>
    <row r="42" spans="1:2" x14ac:dyDescent="0.25">
      <c r="A42" s="74">
        <v>15</v>
      </c>
      <c r="B42" s="75">
        <v>1.35</v>
      </c>
    </row>
    <row r="43" spans="1:2" x14ac:dyDescent="0.25">
      <c r="A43" s="74">
        <v>16</v>
      </c>
      <c r="B43" s="75">
        <v>1.37</v>
      </c>
    </row>
    <row r="44" spans="1:2" x14ac:dyDescent="0.25">
      <c r="A44" s="74">
        <v>17</v>
      </c>
      <c r="B44" s="75">
        <v>1.4</v>
      </c>
    </row>
    <row r="45" spans="1:2" x14ac:dyDescent="0.25">
      <c r="A45" s="74">
        <v>18</v>
      </c>
      <c r="B45" s="75">
        <v>1.43</v>
      </c>
    </row>
    <row r="46" spans="1:2" x14ac:dyDescent="0.25">
      <c r="A46" s="74">
        <v>19</v>
      </c>
      <c r="B46" s="75">
        <v>1.46</v>
      </c>
    </row>
    <row r="47" spans="1:2" x14ac:dyDescent="0.25">
      <c r="A47" s="74">
        <v>20</v>
      </c>
      <c r="B47" s="75">
        <v>1.49</v>
      </c>
    </row>
    <row r="48" spans="1:2" x14ac:dyDescent="0.25">
      <c r="A48" s="74">
        <v>21</v>
      </c>
      <c r="B48" s="75">
        <v>1.52</v>
      </c>
    </row>
    <row r="49" spans="1:2" x14ac:dyDescent="0.25">
      <c r="A49" s="74">
        <v>22</v>
      </c>
      <c r="B49" s="75">
        <v>1.55</v>
      </c>
    </row>
    <row r="50" spans="1:2" x14ac:dyDescent="0.25">
      <c r="A50" s="74">
        <v>23</v>
      </c>
      <c r="B50" s="75">
        <v>1.58</v>
      </c>
    </row>
    <row r="51" spans="1:2" x14ac:dyDescent="0.25">
      <c r="A51" s="74">
        <v>24</v>
      </c>
      <c r="B51" s="75">
        <v>1.61</v>
      </c>
    </row>
    <row r="52" spans="1:2" x14ac:dyDescent="0.25">
      <c r="A52" s="74">
        <v>25</v>
      </c>
      <c r="B52" s="75">
        <v>1.64</v>
      </c>
    </row>
    <row r="53" spans="1:2" x14ac:dyDescent="0.25">
      <c r="A53" s="74">
        <v>26</v>
      </c>
      <c r="B53" s="75">
        <v>1.67</v>
      </c>
    </row>
    <row r="54" spans="1:2" x14ac:dyDescent="0.25">
      <c r="A54" s="74">
        <v>27</v>
      </c>
      <c r="B54" s="75">
        <v>1.71</v>
      </c>
    </row>
    <row r="55" spans="1:2" x14ac:dyDescent="0.25">
      <c r="A55" s="74">
        <v>28</v>
      </c>
      <c r="B55" s="75">
        <v>1.74</v>
      </c>
    </row>
    <row r="56" spans="1:2" x14ac:dyDescent="0.25">
      <c r="A56" s="74">
        <v>29</v>
      </c>
      <c r="B56" s="75">
        <v>1.78</v>
      </c>
    </row>
    <row r="57" spans="1:2" x14ac:dyDescent="0.25">
      <c r="A57" s="74">
        <v>30</v>
      </c>
      <c r="B57" s="75">
        <v>1.81</v>
      </c>
    </row>
    <row r="58" spans="1:2" x14ac:dyDescent="0.25">
      <c r="A58" s="74">
        <v>31</v>
      </c>
      <c r="B58" s="75">
        <v>1.85</v>
      </c>
    </row>
    <row r="59" spans="1:2" x14ac:dyDescent="0.25">
      <c r="A59" s="74">
        <v>32</v>
      </c>
      <c r="B59" s="75">
        <v>1.88</v>
      </c>
    </row>
    <row r="60" spans="1:2" x14ac:dyDescent="0.25">
      <c r="A60" s="74">
        <v>33</v>
      </c>
      <c r="B60" s="75">
        <v>1.92</v>
      </c>
    </row>
    <row r="61" spans="1:2" x14ac:dyDescent="0.25">
      <c r="A61" s="74">
        <v>34</v>
      </c>
      <c r="B61" s="75">
        <v>1.96</v>
      </c>
    </row>
    <row r="62" spans="1:2" x14ac:dyDescent="0.25">
      <c r="A62" s="74">
        <v>35</v>
      </c>
      <c r="B62" s="75">
        <v>2</v>
      </c>
    </row>
    <row r="63" spans="1:2" x14ac:dyDescent="0.25">
      <c r="A63" s="74">
        <v>36</v>
      </c>
      <c r="B63" s="75">
        <v>2.04</v>
      </c>
    </row>
    <row r="64" spans="1:2" x14ac:dyDescent="0.25">
      <c r="A64" s="74">
        <v>37</v>
      </c>
      <c r="B64" s="75">
        <v>2.08</v>
      </c>
    </row>
    <row r="65" spans="1:2" x14ac:dyDescent="0.25">
      <c r="A65" s="74">
        <v>38</v>
      </c>
      <c r="B65" s="75">
        <v>2.12</v>
      </c>
    </row>
    <row r="66" spans="1:2" x14ac:dyDescent="0.25">
      <c r="A66" s="74">
        <v>39</v>
      </c>
      <c r="B66" s="75">
        <v>2.16</v>
      </c>
    </row>
    <row r="67" spans="1:2" x14ac:dyDescent="0.25">
      <c r="A67" s="74">
        <v>40</v>
      </c>
      <c r="B67" s="75">
        <v>2.21</v>
      </c>
    </row>
    <row r="68" spans="1:2" x14ac:dyDescent="0.25">
      <c r="A68" s="74">
        <v>41</v>
      </c>
      <c r="B68" s="75">
        <v>2.25</v>
      </c>
    </row>
    <row r="69" spans="1:2" x14ac:dyDescent="0.25">
      <c r="A69" s="74">
        <v>42</v>
      </c>
      <c r="B69" s="75">
        <v>2.2999999999999998</v>
      </c>
    </row>
    <row r="70" spans="1:2" x14ac:dyDescent="0.25">
      <c r="A70" s="74">
        <v>43</v>
      </c>
      <c r="B70" s="75">
        <v>2.34</v>
      </c>
    </row>
    <row r="71" spans="1:2" x14ac:dyDescent="0.25">
      <c r="A71" s="74">
        <v>44</v>
      </c>
      <c r="B71" s="75">
        <v>2.39</v>
      </c>
    </row>
    <row r="72" spans="1:2" x14ac:dyDescent="0.25">
      <c r="A72" s="74">
        <v>45</v>
      </c>
      <c r="B72" s="75">
        <v>2.44</v>
      </c>
    </row>
    <row r="73" spans="1:2" x14ac:dyDescent="0.25">
      <c r="A73" s="74">
        <v>46</v>
      </c>
      <c r="B73" s="75">
        <v>2.4900000000000002</v>
      </c>
    </row>
    <row r="74" spans="1:2" x14ac:dyDescent="0.25">
      <c r="A74" s="74">
        <v>47</v>
      </c>
      <c r="B74" s="75">
        <v>2.54</v>
      </c>
    </row>
    <row r="75" spans="1:2" x14ac:dyDescent="0.25">
      <c r="A75" s="74">
        <v>48</v>
      </c>
      <c r="B75" s="75">
        <v>2.59</v>
      </c>
    </row>
    <row r="76" spans="1:2" x14ac:dyDescent="0.25">
      <c r="A76" s="74">
        <v>49</v>
      </c>
      <c r="B76" s="75">
        <v>2.64</v>
      </c>
    </row>
    <row r="77" spans="1:2" x14ac:dyDescent="0.25">
      <c r="A77" s="74">
        <v>50</v>
      </c>
      <c r="B77" s="75">
        <v>2.69</v>
      </c>
    </row>
  </sheetData>
  <sheetProtection algorithmName="SHA-512" hashValue="s7hlMi1gM9+OqV0AKFymoHq6Ef8XamcV9qMNiIpCpwtDdfI6YaeJnaspzv8xWSCuxKwe9Zw5r34fiPDh3KqUsA==" saltValue="951YSZ+ymiTvqkEMjHfjjQ==" spinCount="100000" sheet="1" objects="1" scenarios="1"/>
  <conditionalFormatting sqref="A6:A21">
    <cfRule type="expression" dxfId="207" priority="1" stopIfTrue="1">
      <formula>MOD(ROW(),2)=0</formula>
    </cfRule>
    <cfRule type="expression" dxfId="206" priority="2" stopIfTrue="1">
      <formula>MOD(ROW(),2)&lt;&gt;0</formula>
    </cfRule>
  </conditionalFormatting>
  <conditionalFormatting sqref="A26:A77">
    <cfRule type="expression" dxfId="205" priority="9" stopIfTrue="1">
      <formula>MOD(ROW(),2)=0</formula>
    </cfRule>
    <cfRule type="expression" dxfId="204" priority="10" stopIfTrue="1">
      <formula>MOD(ROW(),2)&lt;&gt;0</formula>
    </cfRule>
  </conditionalFormatting>
  <conditionalFormatting sqref="B6:B21">
    <cfRule type="expression" dxfId="203" priority="33" stopIfTrue="1">
      <formula>MOD(ROW(),2)=0</formula>
    </cfRule>
    <cfRule type="expression" dxfId="202" priority="34" stopIfTrue="1">
      <formula>MOD(ROW(),2)&lt;&gt;0</formula>
    </cfRule>
  </conditionalFormatting>
  <conditionalFormatting sqref="B17:B21">
    <cfRule type="expression" dxfId="201" priority="3" stopIfTrue="1">
      <formula>MOD(ROW(),2)=0</formula>
    </cfRule>
    <cfRule type="expression" dxfId="200" priority="4" stopIfTrue="1">
      <formula>MOD(ROW(),2)&lt;&gt;0</formula>
    </cfRule>
  </conditionalFormatting>
  <conditionalFormatting sqref="B26:B77">
    <cfRule type="expression" dxfId="199" priority="29" stopIfTrue="1">
      <formula>MOD(ROW(),2)=0</formula>
    </cfRule>
    <cfRule type="expression" dxfId="198" priority="30" stopIfTrue="1">
      <formula>MOD(ROW(),2)&lt;&gt;0</formula>
    </cfRule>
  </conditionalFormatting>
  <hyperlinks>
    <hyperlink ref="B24" location="Sheet1!A1" display="Assumptions" xr:uid="{FF8A3F98-6692-4D1B-A290-C3A4C8AB262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4"/>
  <dimension ref="A1:AE92"/>
  <sheetViews>
    <sheetView showGridLines="0" zoomScale="85" zoomScaleNormal="85" workbookViewId="0">
      <selection activeCell="B23" sqref="B23"/>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31" ht="21" x14ac:dyDescent="0.4">
      <c r="A1" s="39" t="s">
        <v>0</v>
      </c>
      <c r="B1" s="40"/>
      <c r="C1" s="40"/>
      <c r="D1" s="40"/>
      <c r="E1" s="40"/>
      <c r="F1" s="40"/>
      <c r="G1" s="40"/>
      <c r="H1" s="40"/>
      <c r="I1" s="40"/>
    </row>
    <row r="2" spans="1:31"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31" ht="15.6" x14ac:dyDescent="0.3">
      <c r="A3" s="43" t="str">
        <f>TABLE_FACTOR_TYPE_1&amp;" - x-"&amp;TABLE_SERIES_NUMBER_1</f>
        <v>Allocation - x-801</v>
      </c>
      <c r="B3" s="42"/>
      <c r="C3" s="42"/>
      <c r="D3" s="42"/>
      <c r="E3" s="42"/>
      <c r="F3" s="42"/>
      <c r="G3" s="42"/>
      <c r="H3" s="42"/>
      <c r="I3" s="42"/>
    </row>
    <row r="4" spans="1:31" x14ac:dyDescent="0.25">
      <c r="A4" s="44"/>
    </row>
    <row r="6" spans="1:31" x14ac:dyDescent="0.25">
      <c r="A6" s="87" t="s">
        <v>290</v>
      </c>
      <c r="B6" s="185" t="s">
        <v>291</v>
      </c>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row>
    <row r="7" spans="1:31" x14ac:dyDescent="0.25">
      <c r="A7" s="81" t="s">
        <v>804</v>
      </c>
      <c r="B7" s="185" t="s">
        <v>324</v>
      </c>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row>
    <row r="8" spans="1:31" x14ac:dyDescent="0.25">
      <c r="A8" s="81" t="s">
        <v>805</v>
      </c>
      <c r="B8" s="185" t="s">
        <v>85</v>
      </c>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row>
    <row r="9" spans="1:31" x14ac:dyDescent="0.25">
      <c r="A9" s="81" t="s">
        <v>296</v>
      </c>
      <c r="B9" s="185" t="s">
        <v>688</v>
      </c>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row>
    <row r="10" spans="1:31" x14ac:dyDescent="0.25">
      <c r="A10" s="81" t="s">
        <v>6</v>
      </c>
      <c r="B10" s="185" t="s">
        <v>689</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row>
    <row r="11" spans="1:31" x14ac:dyDescent="0.25">
      <c r="A11" s="81" t="s">
        <v>299</v>
      </c>
      <c r="B11" s="185" t="s">
        <v>404</v>
      </c>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row>
    <row r="12" spans="1:31" x14ac:dyDescent="0.25">
      <c r="A12" s="81" t="s">
        <v>301</v>
      </c>
      <c r="B12" s="185" t="s">
        <v>690</v>
      </c>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row>
    <row r="13" spans="1:31" x14ac:dyDescent="0.25">
      <c r="A13" s="81" t="s">
        <v>303</v>
      </c>
      <c r="B13" s="185">
        <v>0</v>
      </c>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row>
    <row r="14" spans="1:31" x14ac:dyDescent="0.25">
      <c r="A14" s="81" t="s">
        <v>305</v>
      </c>
      <c r="B14" s="185">
        <v>801</v>
      </c>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row>
    <row r="15" spans="1:31" x14ac:dyDescent="0.25">
      <c r="A15" s="81" t="s">
        <v>307</v>
      </c>
      <c r="B15" s="185" t="s">
        <v>691</v>
      </c>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row>
    <row r="16" spans="1:31" x14ac:dyDescent="0.25">
      <c r="A16" s="81" t="s">
        <v>309</v>
      </c>
      <c r="B16" s="185" t="s">
        <v>692</v>
      </c>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row>
    <row r="17" spans="1:31" x14ac:dyDescent="0.25">
      <c r="A17" s="81" t="s">
        <v>803</v>
      </c>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row>
    <row r="18" spans="1:31" x14ac:dyDescent="0.25">
      <c r="A18" s="81" t="s">
        <v>313</v>
      </c>
      <c r="B18" s="188">
        <v>45184</v>
      </c>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row>
    <row r="19" spans="1:31" x14ac:dyDescent="0.25">
      <c r="A19" s="81" t="s">
        <v>315</v>
      </c>
      <c r="B19" s="188"/>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row>
    <row r="20" spans="1:31" x14ac:dyDescent="0.25">
      <c r="A20" s="81" t="s">
        <v>317</v>
      </c>
      <c r="B20" s="185" t="s">
        <v>331</v>
      </c>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row>
    <row r="21" spans="1:31" x14ac:dyDescent="0.25">
      <c r="A21" s="77" t="s">
        <v>323</v>
      </c>
      <c r="B21" s="185" t="s">
        <v>332</v>
      </c>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row>
    <row r="23" spans="1:31" x14ac:dyDescent="0.25">
      <c r="B23" s="102" t="str">
        <f>HYPERLINK("#'Factor List'!A1","Back to Factor List")</f>
        <v>Back to Factor List</v>
      </c>
    </row>
    <row r="24" spans="1:31" x14ac:dyDescent="0.25">
      <c r="B24" s="102" t="s">
        <v>13</v>
      </c>
    </row>
    <row r="25" spans="1:31" x14ac:dyDescent="0.25">
      <c r="B25" s="102"/>
    </row>
    <row r="26" spans="1:31" x14ac:dyDescent="0.25">
      <c r="A26" s="178" t="s">
        <v>972</v>
      </c>
      <c r="B26" s="83">
        <v>50</v>
      </c>
      <c r="C26" s="83">
        <v>51</v>
      </c>
      <c r="D26" s="83">
        <v>52</v>
      </c>
      <c r="E26" s="83">
        <v>53</v>
      </c>
      <c r="F26" s="83">
        <v>54</v>
      </c>
      <c r="G26" s="83">
        <v>55</v>
      </c>
      <c r="H26" s="83">
        <v>56</v>
      </c>
      <c r="I26" s="83">
        <v>57</v>
      </c>
      <c r="J26" s="83">
        <v>58</v>
      </c>
      <c r="K26" s="83">
        <v>59</v>
      </c>
      <c r="L26" s="83">
        <v>60</v>
      </c>
      <c r="M26" s="83">
        <v>61</v>
      </c>
      <c r="N26" s="83">
        <v>62</v>
      </c>
      <c r="O26" s="83">
        <v>63</v>
      </c>
      <c r="P26" s="83">
        <v>64</v>
      </c>
      <c r="Q26" s="83">
        <v>65</v>
      </c>
      <c r="R26" s="83">
        <v>66</v>
      </c>
      <c r="S26" s="83">
        <v>67</v>
      </c>
      <c r="T26" s="83">
        <v>68</v>
      </c>
      <c r="U26" s="83">
        <v>69</v>
      </c>
      <c r="V26" s="83">
        <v>70</v>
      </c>
      <c r="W26" s="83">
        <v>71</v>
      </c>
      <c r="X26" s="83">
        <v>72</v>
      </c>
      <c r="Y26" s="83">
        <v>73</v>
      </c>
      <c r="Z26" s="83">
        <v>74</v>
      </c>
      <c r="AA26" s="83">
        <v>75</v>
      </c>
      <c r="AB26" s="83">
        <v>76</v>
      </c>
      <c r="AC26" s="83">
        <v>77</v>
      </c>
      <c r="AD26" s="83">
        <v>78</v>
      </c>
      <c r="AE26" s="83">
        <v>79</v>
      </c>
    </row>
    <row r="27" spans="1:31" x14ac:dyDescent="0.25">
      <c r="A27" s="95">
        <v>20</v>
      </c>
      <c r="B27" s="96">
        <v>2.1120000000000001</v>
      </c>
      <c r="C27" s="96">
        <v>1.9890000000000001</v>
      </c>
      <c r="D27" s="96">
        <v>1.873</v>
      </c>
      <c r="E27" s="96">
        <v>1.7649999999999999</v>
      </c>
      <c r="F27" s="96">
        <v>1.6619999999999999</v>
      </c>
      <c r="G27" s="96">
        <v>1.5660000000000001</v>
      </c>
      <c r="H27" s="96">
        <v>1.4750000000000001</v>
      </c>
      <c r="I27" s="96">
        <v>1.389</v>
      </c>
      <c r="J27" s="96">
        <v>1.3080000000000001</v>
      </c>
      <c r="K27" s="96">
        <v>1.232</v>
      </c>
      <c r="L27" s="96">
        <v>1.159</v>
      </c>
      <c r="M27" s="96">
        <v>1.091</v>
      </c>
      <c r="N27" s="96">
        <v>1.026</v>
      </c>
      <c r="O27" s="96">
        <v>0.96499999999999997</v>
      </c>
      <c r="P27" s="96">
        <v>0.90700000000000003</v>
      </c>
      <c r="Q27" s="96">
        <v>0.85199999999999998</v>
      </c>
      <c r="R27" s="96">
        <v>0.8</v>
      </c>
      <c r="S27" s="96">
        <v>0.751</v>
      </c>
      <c r="T27" s="96">
        <v>0.70399999999999996</v>
      </c>
      <c r="U27" s="96">
        <v>0.65900000000000003</v>
      </c>
      <c r="V27" s="96">
        <v>0.61699999999999999</v>
      </c>
      <c r="W27" s="96">
        <v>0.57699999999999996</v>
      </c>
      <c r="X27" s="96">
        <v>0.54</v>
      </c>
      <c r="Y27" s="96">
        <v>0.504</v>
      </c>
      <c r="Z27" s="96">
        <v>0.47099999999999997</v>
      </c>
      <c r="AA27" s="96">
        <v>0.439</v>
      </c>
      <c r="AB27" s="96">
        <v>0.40899999999999997</v>
      </c>
      <c r="AC27" s="96">
        <v>0.38200000000000001</v>
      </c>
      <c r="AD27" s="96">
        <v>0.35599999999999998</v>
      </c>
      <c r="AE27" s="96">
        <v>0.33100000000000002</v>
      </c>
    </row>
    <row r="28" spans="1:31" x14ac:dyDescent="0.25">
      <c r="A28" s="95">
        <v>21</v>
      </c>
      <c r="B28" s="89">
        <v>2.1669999999999998</v>
      </c>
      <c r="C28" s="89">
        <v>2.0390000000000001</v>
      </c>
      <c r="D28" s="89">
        <v>1.919</v>
      </c>
      <c r="E28" s="89">
        <v>1.806</v>
      </c>
      <c r="F28" s="89">
        <v>1.7</v>
      </c>
      <c r="G28" s="89">
        <v>1.601</v>
      </c>
      <c r="H28" s="89">
        <v>1.5069999999999999</v>
      </c>
      <c r="I28" s="89">
        <v>1.4179999999999999</v>
      </c>
      <c r="J28" s="89">
        <v>1.335</v>
      </c>
      <c r="K28" s="89">
        <v>1.256</v>
      </c>
      <c r="L28" s="89">
        <v>1.181</v>
      </c>
      <c r="M28" s="89">
        <v>1.111</v>
      </c>
      <c r="N28" s="89">
        <v>1.0449999999999999</v>
      </c>
      <c r="O28" s="89">
        <v>0.98199999999999998</v>
      </c>
      <c r="P28" s="89">
        <v>0.92200000000000004</v>
      </c>
      <c r="Q28" s="89">
        <v>0.86599999999999999</v>
      </c>
      <c r="R28" s="89">
        <v>0.81299999999999994</v>
      </c>
      <c r="S28" s="89">
        <v>0.76200000000000001</v>
      </c>
      <c r="T28" s="89">
        <v>0.71399999999999997</v>
      </c>
      <c r="U28" s="89">
        <v>0.66900000000000004</v>
      </c>
      <c r="V28" s="89">
        <v>0.626</v>
      </c>
      <c r="W28" s="89">
        <v>0.58499999999999996</v>
      </c>
      <c r="X28" s="89">
        <v>0.54700000000000004</v>
      </c>
      <c r="Y28" s="89">
        <v>0.51100000000000001</v>
      </c>
      <c r="Z28" s="89">
        <v>0.47699999999999998</v>
      </c>
      <c r="AA28" s="89">
        <v>0.44500000000000001</v>
      </c>
      <c r="AB28" s="89">
        <v>0.41499999999999998</v>
      </c>
      <c r="AC28" s="89">
        <v>0.38600000000000001</v>
      </c>
      <c r="AD28" s="89">
        <v>0.36</v>
      </c>
      <c r="AE28" s="89">
        <v>0.33500000000000002</v>
      </c>
    </row>
    <row r="29" spans="1:31" x14ac:dyDescent="0.25">
      <c r="A29" s="95">
        <v>22</v>
      </c>
      <c r="B29" s="89">
        <v>2.226</v>
      </c>
      <c r="C29" s="89">
        <v>2.0920000000000001</v>
      </c>
      <c r="D29" s="89">
        <v>1.968</v>
      </c>
      <c r="E29" s="89">
        <v>1.85</v>
      </c>
      <c r="F29" s="89">
        <v>1.7410000000000001</v>
      </c>
      <c r="G29" s="89">
        <v>1.637</v>
      </c>
      <c r="H29" s="89">
        <v>1.54</v>
      </c>
      <c r="I29" s="89">
        <v>1.4490000000000001</v>
      </c>
      <c r="J29" s="89">
        <v>1.3620000000000001</v>
      </c>
      <c r="K29" s="89">
        <v>1.2809999999999999</v>
      </c>
      <c r="L29" s="89">
        <v>1.2050000000000001</v>
      </c>
      <c r="M29" s="89">
        <v>1.1319999999999999</v>
      </c>
      <c r="N29" s="89">
        <v>1.0640000000000001</v>
      </c>
      <c r="O29" s="89">
        <v>0.999</v>
      </c>
      <c r="P29" s="89">
        <v>0.93799999999999994</v>
      </c>
      <c r="Q29" s="89">
        <v>0.88100000000000001</v>
      </c>
      <c r="R29" s="89">
        <v>0.82599999999999996</v>
      </c>
      <c r="S29" s="89">
        <v>0.77500000000000002</v>
      </c>
      <c r="T29" s="89">
        <v>0.72599999999999998</v>
      </c>
      <c r="U29" s="89">
        <v>0.67900000000000005</v>
      </c>
      <c r="V29" s="89">
        <v>0.63600000000000001</v>
      </c>
      <c r="W29" s="89">
        <v>0.59399999999999997</v>
      </c>
      <c r="X29" s="89">
        <v>0.55500000000000005</v>
      </c>
      <c r="Y29" s="89">
        <v>0.51800000000000002</v>
      </c>
      <c r="Z29" s="89">
        <v>0.48299999999999998</v>
      </c>
      <c r="AA29" s="89">
        <v>0.45100000000000001</v>
      </c>
      <c r="AB29" s="89">
        <v>0.42</v>
      </c>
      <c r="AC29" s="89">
        <v>0.39100000000000001</v>
      </c>
      <c r="AD29" s="89">
        <v>0.36399999999999999</v>
      </c>
      <c r="AE29" s="89">
        <v>0.33900000000000002</v>
      </c>
    </row>
    <row r="30" spans="1:31" x14ac:dyDescent="0.25">
      <c r="A30" s="95">
        <v>23</v>
      </c>
      <c r="B30" s="89">
        <v>2.2879999999999998</v>
      </c>
      <c r="C30" s="89">
        <v>2.149</v>
      </c>
      <c r="D30" s="89">
        <v>2.0190000000000001</v>
      </c>
      <c r="E30" s="89">
        <v>1.897</v>
      </c>
      <c r="F30" s="89">
        <v>1.7829999999999999</v>
      </c>
      <c r="G30" s="89">
        <v>1.6759999999999999</v>
      </c>
      <c r="H30" s="89">
        <v>1.575</v>
      </c>
      <c r="I30" s="89">
        <v>1.4810000000000001</v>
      </c>
      <c r="J30" s="89">
        <v>1.3919999999999999</v>
      </c>
      <c r="K30" s="89">
        <v>1.3080000000000001</v>
      </c>
      <c r="L30" s="89">
        <v>1.2290000000000001</v>
      </c>
      <c r="M30" s="89">
        <v>1.155</v>
      </c>
      <c r="N30" s="89">
        <v>1.0840000000000001</v>
      </c>
      <c r="O30" s="89">
        <v>1.018</v>
      </c>
      <c r="P30" s="89">
        <v>0.95499999999999996</v>
      </c>
      <c r="Q30" s="89">
        <v>0.89600000000000002</v>
      </c>
      <c r="R30" s="89">
        <v>0.84</v>
      </c>
      <c r="S30" s="89">
        <v>0.78800000000000003</v>
      </c>
      <c r="T30" s="89">
        <v>0.73699999999999999</v>
      </c>
      <c r="U30" s="89">
        <v>0.69</v>
      </c>
      <c r="V30" s="89">
        <v>0.64500000000000002</v>
      </c>
      <c r="W30" s="89">
        <v>0.60299999999999998</v>
      </c>
      <c r="X30" s="89">
        <v>0.56299999999999994</v>
      </c>
      <c r="Y30" s="89">
        <v>0.52600000000000002</v>
      </c>
      <c r="Z30" s="89">
        <v>0.49</v>
      </c>
      <c r="AA30" s="89">
        <v>0.45700000000000002</v>
      </c>
      <c r="AB30" s="89">
        <v>0.42599999999999999</v>
      </c>
      <c r="AC30" s="89">
        <v>0.39700000000000002</v>
      </c>
      <c r="AD30" s="89">
        <v>0.36899999999999999</v>
      </c>
      <c r="AE30" s="89">
        <v>0.34399999999999997</v>
      </c>
    </row>
    <row r="31" spans="1:31" x14ac:dyDescent="0.25">
      <c r="A31" s="95">
        <v>24</v>
      </c>
      <c r="B31" s="89">
        <v>2.355</v>
      </c>
      <c r="C31" s="89">
        <v>2.21</v>
      </c>
      <c r="D31" s="89">
        <v>2.0739999999999998</v>
      </c>
      <c r="E31" s="89">
        <v>1.9470000000000001</v>
      </c>
      <c r="F31" s="89">
        <v>1.8280000000000001</v>
      </c>
      <c r="G31" s="89">
        <v>1.7170000000000001</v>
      </c>
      <c r="H31" s="89">
        <v>1.613</v>
      </c>
      <c r="I31" s="89">
        <v>1.5149999999999999</v>
      </c>
      <c r="J31" s="89">
        <v>1.423</v>
      </c>
      <c r="K31" s="89">
        <v>1.3360000000000001</v>
      </c>
      <c r="L31" s="89">
        <v>1.2549999999999999</v>
      </c>
      <c r="M31" s="89">
        <v>1.1779999999999999</v>
      </c>
      <c r="N31" s="89">
        <v>1.1060000000000001</v>
      </c>
      <c r="O31" s="89">
        <v>1.038</v>
      </c>
      <c r="P31" s="89">
        <v>0.97299999999999998</v>
      </c>
      <c r="Q31" s="89">
        <v>0.91300000000000003</v>
      </c>
      <c r="R31" s="89">
        <v>0.85499999999999998</v>
      </c>
      <c r="S31" s="89">
        <v>0.80100000000000005</v>
      </c>
      <c r="T31" s="89">
        <v>0.75</v>
      </c>
      <c r="U31" s="89">
        <v>0.70099999999999996</v>
      </c>
      <c r="V31" s="89">
        <v>0.65600000000000003</v>
      </c>
      <c r="W31" s="89">
        <v>0.61199999999999999</v>
      </c>
      <c r="X31" s="89">
        <v>0.57199999999999995</v>
      </c>
      <c r="Y31" s="89">
        <v>0.53300000000000003</v>
      </c>
      <c r="Z31" s="89">
        <v>0.497</v>
      </c>
      <c r="AA31" s="89">
        <v>0.46300000000000002</v>
      </c>
      <c r="AB31" s="89">
        <v>0.432</v>
      </c>
      <c r="AC31" s="89">
        <v>0.40200000000000002</v>
      </c>
      <c r="AD31" s="89">
        <v>0.374</v>
      </c>
      <c r="AE31" s="89">
        <v>0.34799999999999998</v>
      </c>
    </row>
    <row r="32" spans="1:31" x14ac:dyDescent="0.25">
      <c r="A32" s="95">
        <v>25</v>
      </c>
      <c r="B32" s="89">
        <v>2.427</v>
      </c>
      <c r="C32" s="89">
        <v>2.2749999999999999</v>
      </c>
      <c r="D32" s="89">
        <v>2.133</v>
      </c>
      <c r="E32" s="89">
        <v>2</v>
      </c>
      <c r="F32" s="89">
        <v>1.877</v>
      </c>
      <c r="G32" s="89">
        <v>1.7609999999999999</v>
      </c>
      <c r="H32" s="89">
        <v>1.653</v>
      </c>
      <c r="I32" s="89">
        <v>1.5509999999999999</v>
      </c>
      <c r="J32" s="89">
        <v>1.456</v>
      </c>
      <c r="K32" s="89">
        <v>1.3660000000000001</v>
      </c>
      <c r="L32" s="89">
        <v>1.282</v>
      </c>
      <c r="M32" s="89">
        <v>1.2030000000000001</v>
      </c>
      <c r="N32" s="89">
        <v>1.1279999999999999</v>
      </c>
      <c r="O32" s="89">
        <v>1.0580000000000001</v>
      </c>
      <c r="P32" s="89">
        <v>0.99199999999999999</v>
      </c>
      <c r="Q32" s="89">
        <v>0.93</v>
      </c>
      <c r="R32" s="89">
        <v>0.871</v>
      </c>
      <c r="S32" s="89">
        <v>0.81499999999999995</v>
      </c>
      <c r="T32" s="89">
        <v>0.76300000000000001</v>
      </c>
      <c r="U32" s="89">
        <v>0.71299999999999997</v>
      </c>
      <c r="V32" s="89">
        <v>0.66600000000000004</v>
      </c>
      <c r="W32" s="89">
        <v>0.622</v>
      </c>
      <c r="X32" s="89">
        <v>0.58099999999999996</v>
      </c>
      <c r="Y32" s="89">
        <v>0.54100000000000004</v>
      </c>
      <c r="Z32" s="89">
        <v>0.505</v>
      </c>
      <c r="AA32" s="89">
        <v>0.47</v>
      </c>
      <c r="AB32" s="89">
        <v>0.438</v>
      </c>
      <c r="AC32" s="89">
        <v>0.40799999999999997</v>
      </c>
      <c r="AD32" s="89">
        <v>0.379</v>
      </c>
      <c r="AE32" s="89">
        <v>0.35299999999999998</v>
      </c>
    </row>
    <row r="33" spans="1:31" x14ac:dyDescent="0.25">
      <c r="A33" s="95">
        <v>26</v>
      </c>
      <c r="B33" s="89">
        <v>2.5030000000000001</v>
      </c>
      <c r="C33" s="89">
        <v>2.3439999999999999</v>
      </c>
      <c r="D33" s="89">
        <v>2.1949999999999998</v>
      </c>
      <c r="E33" s="89">
        <v>2.0569999999999999</v>
      </c>
      <c r="F33" s="89">
        <v>1.9279999999999999</v>
      </c>
      <c r="G33" s="89">
        <v>1.8080000000000001</v>
      </c>
      <c r="H33" s="89">
        <v>1.6950000000000001</v>
      </c>
      <c r="I33" s="89">
        <v>1.589</v>
      </c>
      <c r="J33" s="89">
        <v>1.4910000000000001</v>
      </c>
      <c r="K33" s="89">
        <v>1.3979999999999999</v>
      </c>
      <c r="L33" s="89">
        <v>1.3109999999999999</v>
      </c>
      <c r="M33" s="89">
        <v>1.2290000000000001</v>
      </c>
      <c r="N33" s="89">
        <v>1.1519999999999999</v>
      </c>
      <c r="O33" s="89">
        <v>1.08</v>
      </c>
      <c r="P33" s="89">
        <v>1.012</v>
      </c>
      <c r="Q33" s="89">
        <v>0.94799999999999995</v>
      </c>
      <c r="R33" s="89">
        <v>0.88700000000000001</v>
      </c>
      <c r="S33" s="89">
        <v>0.83</v>
      </c>
      <c r="T33" s="89">
        <v>0.77600000000000002</v>
      </c>
      <c r="U33" s="89">
        <v>0.72599999999999998</v>
      </c>
      <c r="V33" s="89">
        <v>0.67800000000000005</v>
      </c>
      <c r="W33" s="89">
        <v>0.63200000000000001</v>
      </c>
      <c r="X33" s="89">
        <v>0.59</v>
      </c>
      <c r="Y33" s="89">
        <v>0.55000000000000004</v>
      </c>
      <c r="Z33" s="89">
        <v>0.51300000000000001</v>
      </c>
      <c r="AA33" s="89">
        <v>0.47699999999999998</v>
      </c>
      <c r="AB33" s="89">
        <v>0.44400000000000001</v>
      </c>
      <c r="AC33" s="89">
        <v>0.41299999999999998</v>
      </c>
      <c r="AD33" s="89">
        <v>0.38500000000000001</v>
      </c>
      <c r="AE33" s="89">
        <v>0.35799999999999998</v>
      </c>
    </row>
    <row r="34" spans="1:31" x14ac:dyDescent="0.25">
      <c r="A34" s="95">
        <v>27</v>
      </c>
      <c r="B34" s="89">
        <v>2.5859999999999999</v>
      </c>
      <c r="C34" s="89">
        <v>2.4180000000000001</v>
      </c>
      <c r="D34" s="89">
        <v>2.2629999999999999</v>
      </c>
      <c r="E34" s="89">
        <v>2.1179999999999999</v>
      </c>
      <c r="F34" s="89">
        <v>1.9830000000000001</v>
      </c>
      <c r="G34" s="89">
        <v>1.857</v>
      </c>
      <c r="H34" s="89">
        <v>1.74</v>
      </c>
      <c r="I34" s="89">
        <v>1.63</v>
      </c>
      <c r="J34" s="89">
        <v>1.528</v>
      </c>
      <c r="K34" s="89">
        <v>1.4319999999999999</v>
      </c>
      <c r="L34" s="89">
        <v>1.341</v>
      </c>
      <c r="M34" s="89">
        <v>1.2569999999999999</v>
      </c>
      <c r="N34" s="89">
        <v>1.177</v>
      </c>
      <c r="O34" s="89">
        <v>1.103</v>
      </c>
      <c r="P34" s="89">
        <v>1.0329999999999999</v>
      </c>
      <c r="Q34" s="89">
        <v>0.96699999999999997</v>
      </c>
      <c r="R34" s="89">
        <v>0.90500000000000003</v>
      </c>
      <c r="S34" s="89">
        <v>0.84599999999999997</v>
      </c>
      <c r="T34" s="89">
        <v>0.79100000000000004</v>
      </c>
      <c r="U34" s="89">
        <v>0.73899999999999999</v>
      </c>
      <c r="V34" s="89">
        <v>0.69</v>
      </c>
      <c r="W34" s="89">
        <v>0.64300000000000002</v>
      </c>
      <c r="X34" s="89">
        <v>0.6</v>
      </c>
      <c r="Y34" s="89">
        <v>0.55900000000000005</v>
      </c>
      <c r="Z34" s="89">
        <v>0.52100000000000002</v>
      </c>
      <c r="AA34" s="89">
        <v>0.48499999999999999</v>
      </c>
      <c r="AB34" s="89">
        <v>0.45100000000000001</v>
      </c>
      <c r="AC34" s="89">
        <v>0.42</v>
      </c>
      <c r="AD34" s="89">
        <v>0.39</v>
      </c>
      <c r="AE34" s="89">
        <v>0.36299999999999999</v>
      </c>
    </row>
    <row r="35" spans="1:31" x14ac:dyDescent="0.25">
      <c r="A35" s="95">
        <v>28</v>
      </c>
      <c r="B35" s="89">
        <v>2.6739999999999999</v>
      </c>
      <c r="C35" s="89">
        <v>2.4980000000000002</v>
      </c>
      <c r="D35" s="89">
        <v>2.3340000000000001</v>
      </c>
      <c r="E35" s="89">
        <v>2.1829999999999998</v>
      </c>
      <c r="F35" s="89">
        <v>2.0419999999999998</v>
      </c>
      <c r="G35" s="89">
        <v>1.91</v>
      </c>
      <c r="H35" s="89">
        <v>1.788</v>
      </c>
      <c r="I35" s="89">
        <v>1.6739999999999999</v>
      </c>
      <c r="J35" s="89">
        <v>1.5669999999999999</v>
      </c>
      <c r="K35" s="89">
        <v>1.4670000000000001</v>
      </c>
      <c r="L35" s="89">
        <v>1.3740000000000001</v>
      </c>
      <c r="M35" s="89">
        <v>1.286</v>
      </c>
      <c r="N35" s="89">
        <v>1.204</v>
      </c>
      <c r="O35" s="89">
        <v>1.127</v>
      </c>
      <c r="P35" s="89">
        <v>1.0549999999999999</v>
      </c>
      <c r="Q35" s="89">
        <v>0.98699999999999999</v>
      </c>
      <c r="R35" s="89">
        <v>0.92300000000000004</v>
      </c>
      <c r="S35" s="89">
        <v>0.86299999999999999</v>
      </c>
      <c r="T35" s="89">
        <v>0.80600000000000005</v>
      </c>
      <c r="U35" s="89">
        <v>0.752</v>
      </c>
      <c r="V35" s="89">
        <v>0.70199999999999996</v>
      </c>
      <c r="W35" s="89">
        <v>0.65500000000000003</v>
      </c>
      <c r="X35" s="89">
        <v>0.61</v>
      </c>
      <c r="Y35" s="89">
        <v>0.56799999999999995</v>
      </c>
      <c r="Z35" s="89">
        <v>0.52900000000000003</v>
      </c>
      <c r="AA35" s="89">
        <v>0.49199999999999999</v>
      </c>
      <c r="AB35" s="89">
        <v>0.45800000000000002</v>
      </c>
      <c r="AC35" s="89">
        <v>0.42599999999999999</v>
      </c>
      <c r="AD35" s="89">
        <v>0.39600000000000002</v>
      </c>
      <c r="AE35" s="89">
        <v>0.36799999999999999</v>
      </c>
    </row>
    <row r="36" spans="1:31" x14ac:dyDescent="0.25">
      <c r="A36" s="95">
        <v>29</v>
      </c>
      <c r="B36" s="89">
        <v>2.77</v>
      </c>
      <c r="C36" s="89">
        <v>2.5840000000000001</v>
      </c>
      <c r="D36" s="89">
        <v>2.4119999999999999</v>
      </c>
      <c r="E36" s="89">
        <v>2.2519999999999998</v>
      </c>
      <c r="F36" s="89">
        <v>2.1040000000000001</v>
      </c>
      <c r="G36" s="89">
        <v>1.9670000000000001</v>
      </c>
      <c r="H36" s="89">
        <v>1.839</v>
      </c>
      <c r="I36" s="89">
        <v>1.72</v>
      </c>
      <c r="J36" s="89">
        <v>1.609</v>
      </c>
      <c r="K36" s="89">
        <v>1.5049999999999999</v>
      </c>
      <c r="L36" s="89">
        <v>1.4079999999999999</v>
      </c>
      <c r="M36" s="89">
        <v>1.3169999999999999</v>
      </c>
      <c r="N36" s="89">
        <v>1.232</v>
      </c>
      <c r="O36" s="89">
        <v>1.153</v>
      </c>
      <c r="P36" s="89">
        <v>1.0780000000000001</v>
      </c>
      <c r="Q36" s="89">
        <v>1.008</v>
      </c>
      <c r="R36" s="89">
        <v>0.94199999999999995</v>
      </c>
      <c r="S36" s="89">
        <v>0.88</v>
      </c>
      <c r="T36" s="89">
        <v>0.82199999999999995</v>
      </c>
      <c r="U36" s="89">
        <v>0.76700000000000002</v>
      </c>
      <c r="V36" s="89">
        <v>0.71499999999999997</v>
      </c>
      <c r="W36" s="89">
        <v>0.66600000000000004</v>
      </c>
      <c r="X36" s="89">
        <v>0.621</v>
      </c>
      <c r="Y36" s="89">
        <v>0.57799999999999996</v>
      </c>
      <c r="Z36" s="89">
        <v>0.53800000000000003</v>
      </c>
      <c r="AA36" s="89">
        <v>0.501</v>
      </c>
      <c r="AB36" s="89">
        <v>0.46500000000000002</v>
      </c>
      <c r="AC36" s="89">
        <v>0.433</v>
      </c>
      <c r="AD36" s="89">
        <v>0.40200000000000002</v>
      </c>
      <c r="AE36" s="89">
        <v>0.374</v>
      </c>
    </row>
    <row r="37" spans="1:31" x14ac:dyDescent="0.25">
      <c r="A37" s="95">
        <v>30</v>
      </c>
      <c r="B37" s="89">
        <v>2.8719999999999999</v>
      </c>
      <c r="C37" s="89">
        <v>2.6760000000000002</v>
      </c>
      <c r="D37" s="89">
        <v>2.4950000000000001</v>
      </c>
      <c r="E37" s="89">
        <v>2.327</v>
      </c>
      <c r="F37" s="89">
        <v>2.1720000000000002</v>
      </c>
      <c r="G37" s="89">
        <v>2.028</v>
      </c>
      <c r="H37" s="89">
        <v>1.8939999999999999</v>
      </c>
      <c r="I37" s="89">
        <v>1.7689999999999999</v>
      </c>
      <c r="J37" s="89">
        <v>1.6539999999999999</v>
      </c>
      <c r="K37" s="89">
        <v>1.546</v>
      </c>
      <c r="L37" s="89">
        <v>1.4450000000000001</v>
      </c>
      <c r="M37" s="89">
        <v>1.351</v>
      </c>
      <c r="N37" s="89">
        <v>1.262</v>
      </c>
      <c r="O37" s="89">
        <v>1.18</v>
      </c>
      <c r="P37" s="89">
        <v>1.103</v>
      </c>
      <c r="Q37" s="89">
        <v>1.03</v>
      </c>
      <c r="R37" s="89">
        <v>0.96199999999999997</v>
      </c>
      <c r="S37" s="89">
        <v>0.89800000000000002</v>
      </c>
      <c r="T37" s="89">
        <v>0.83799999999999997</v>
      </c>
      <c r="U37" s="89">
        <v>0.78200000000000003</v>
      </c>
      <c r="V37" s="89">
        <v>0.72899999999999998</v>
      </c>
      <c r="W37" s="89">
        <v>0.67900000000000005</v>
      </c>
      <c r="X37" s="89">
        <v>0.63200000000000001</v>
      </c>
      <c r="Y37" s="89">
        <v>0.58799999999999997</v>
      </c>
      <c r="Z37" s="89">
        <v>0.54700000000000004</v>
      </c>
      <c r="AA37" s="89">
        <v>0.50900000000000001</v>
      </c>
      <c r="AB37" s="89">
        <v>0.47299999999999998</v>
      </c>
      <c r="AC37" s="89">
        <v>0.44</v>
      </c>
      <c r="AD37" s="89">
        <v>0.40899999999999997</v>
      </c>
      <c r="AE37" s="89">
        <v>0.38</v>
      </c>
    </row>
    <row r="38" spans="1:31" x14ac:dyDescent="0.25">
      <c r="A38" s="95">
        <v>31</v>
      </c>
      <c r="B38" s="89">
        <v>2.984</v>
      </c>
      <c r="C38" s="89">
        <v>2.7759999999999998</v>
      </c>
      <c r="D38" s="89">
        <v>2.5840000000000001</v>
      </c>
      <c r="E38" s="89">
        <v>2.407</v>
      </c>
      <c r="F38" s="89">
        <v>2.2440000000000002</v>
      </c>
      <c r="G38" s="89">
        <v>2.093</v>
      </c>
      <c r="H38" s="89">
        <v>1.952</v>
      </c>
      <c r="I38" s="89">
        <v>1.8220000000000001</v>
      </c>
      <c r="J38" s="89">
        <v>1.7010000000000001</v>
      </c>
      <c r="K38" s="89">
        <v>1.589</v>
      </c>
      <c r="L38" s="89">
        <v>1.484</v>
      </c>
      <c r="M38" s="89">
        <v>1.3859999999999999</v>
      </c>
      <c r="N38" s="89">
        <v>1.294</v>
      </c>
      <c r="O38" s="89">
        <v>1.2090000000000001</v>
      </c>
      <c r="P38" s="89">
        <v>1.129</v>
      </c>
      <c r="Q38" s="89">
        <v>1.054</v>
      </c>
      <c r="R38" s="89">
        <v>0.98399999999999999</v>
      </c>
      <c r="S38" s="89">
        <v>0.91800000000000004</v>
      </c>
      <c r="T38" s="89">
        <v>0.85599999999999998</v>
      </c>
      <c r="U38" s="89">
        <v>0.79800000000000004</v>
      </c>
      <c r="V38" s="89">
        <v>0.74299999999999999</v>
      </c>
      <c r="W38" s="89">
        <v>0.69199999999999995</v>
      </c>
      <c r="X38" s="89">
        <v>0.64400000000000002</v>
      </c>
      <c r="Y38" s="89">
        <v>0.59899999999999998</v>
      </c>
      <c r="Z38" s="89">
        <v>0.55700000000000005</v>
      </c>
      <c r="AA38" s="89">
        <v>0.51800000000000002</v>
      </c>
      <c r="AB38" s="89">
        <v>0.48099999999999998</v>
      </c>
      <c r="AC38" s="89">
        <v>0.44700000000000001</v>
      </c>
      <c r="AD38" s="89">
        <v>0.41499999999999998</v>
      </c>
      <c r="AE38" s="89">
        <v>0.38600000000000001</v>
      </c>
    </row>
    <row r="39" spans="1:31" x14ac:dyDescent="0.25">
      <c r="A39" s="95">
        <v>32</v>
      </c>
      <c r="B39" s="89">
        <v>3.1040000000000001</v>
      </c>
      <c r="C39" s="89">
        <v>2.883</v>
      </c>
      <c r="D39" s="89">
        <v>2.681</v>
      </c>
      <c r="E39" s="89">
        <v>2.4940000000000002</v>
      </c>
      <c r="F39" s="89">
        <v>2.3220000000000001</v>
      </c>
      <c r="G39" s="89">
        <v>2.1619999999999999</v>
      </c>
      <c r="H39" s="89">
        <v>2.0150000000000001</v>
      </c>
      <c r="I39" s="89">
        <v>1.879</v>
      </c>
      <c r="J39" s="89">
        <v>1.752</v>
      </c>
      <c r="K39" s="89">
        <v>1.6339999999999999</v>
      </c>
      <c r="L39" s="89">
        <v>1.5249999999999999</v>
      </c>
      <c r="M39" s="89">
        <v>1.423</v>
      </c>
      <c r="N39" s="89">
        <v>1.3280000000000001</v>
      </c>
      <c r="O39" s="89">
        <v>1.2390000000000001</v>
      </c>
      <c r="P39" s="89">
        <v>1.157</v>
      </c>
      <c r="Q39" s="89">
        <v>1.079</v>
      </c>
      <c r="R39" s="89">
        <v>1.0069999999999999</v>
      </c>
      <c r="S39" s="89">
        <v>0.93799999999999994</v>
      </c>
      <c r="T39" s="89">
        <v>0.875</v>
      </c>
      <c r="U39" s="89">
        <v>0.81499999999999995</v>
      </c>
      <c r="V39" s="89">
        <v>0.75900000000000001</v>
      </c>
      <c r="W39" s="89">
        <v>0.70599999999999996</v>
      </c>
      <c r="X39" s="89">
        <v>0.65700000000000003</v>
      </c>
      <c r="Y39" s="89">
        <v>0.61099999999999999</v>
      </c>
      <c r="Z39" s="89">
        <v>0.56799999999999995</v>
      </c>
      <c r="AA39" s="89">
        <v>0.52700000000000002</v>
      </c>
      <c r="AB39" s="89">
        <v>0.49</v>
      </c>
      <c r="AC39" s="89">
        <v>0.45500000000000002</v>
      </c>
      <c r="AD39" s="89">
        <v>0.42199999999999999</v>
      </c>
      <c r="AE39" s="89">
        <v>0.39200000000000002</v>
      </c>
    </row>
    <row r="40" spans="1:31" x14ac:dyDescent="0.25">
      <c r="A40" s="95">
        <v>33</v>
      </c>
      <c r="B40" s="89">
        <v>3.2349999999999999</v>
      </c>
      <c r="C40" s="89">
        <v>3</v>
      </c>
      <c r="D40" s="89">
        <v>2.7850000000000001</v>
      </c>
      <c r="E40" s="89">
        <v>2.5870000000000002</v>
      </c>
      <c r="F40" s="89">
        <v>2.4049999999999998</v>
      </c>
      <c r="G40" s="89">
        <v>2.2370000000000001</v>
      </c>
      <c r="H40" s="89">
        <v>2.0830000000000002</v>
      </c>
      <c r="I40" s="89">
        <v>1.9390000000000001</v>
      </c>
      <c r="J40" s="89">
        <v>1.8069999999999999</v>
      </c>
      <c r="K40" s="89">
        <v>1.6839999999999999</v>
      </c>
      <c r="L40" s="89">
        <v>1.569</v>
      </c>
      <c r="M40" s="89">
        <v>1.4630000000000001</v>
      </c>
      <c r="N40" s="89">
        <v>1.3640000000000001</v>
      </c>
      <c r="O40" s="89">
        <v>1.272</v>
      </c>
      <c r="P40" s="89">
        <v>1.1859999999999999</v>
      </c>
      <c r="Q40" s="89">
        <v>1.1060000000000001</v>
      </c>
      <c r="R40" s="89">
        <v>1.0309999999999999</v>
      </c>
      <c r="S40" s="89">
        <v>0.96</v>
      </c>
      <c r="T40" s="89">
        <v>0.89400000000000002</v>
      </c>
      <c r="U40" s="89">
        <v>0.83299999999999996</v>
      </c>
      <c r="V40" s="89">
        <v>0.77500000000000002</v>
      </c>
      <c r="W40" s="89">
        <v>0.72099999999999997</v>
      </c>
      <c r="X40" s="89">
        <v>0.67</v>
      </c>
      <c r="Y40" s="89">
        <v>0.623</v>
      </c>
      <c r="Z40" s="89">
        <v>0.57899999999999996</v>
      </c>
      <c r="AA40" s="89">
        <v>0.53700000000000003</v>
      </c>
      <c r="AB40" s="89">
        <v>0.499</v>
      </c>
      <c r="AC40" s="89">
        <v>0.46300000000000002</v>
      </c>
      <c r="AD40" s="89">
        <v>0.43</v>
      </c>
      <c r="AE40" s="89">
        <v>0.39900000000000002</v>
      </c>
    </row>
    <row r="41" spans="1:31" x14ac:dyDescent="0.25">
      <c r="A41" s="95">
        <v>34</v>
      </c>
      <c r="B41" s="89">
        <v>3.3769999999999998</v>
      </c>
      <c r="C41" s="89">
        <v>3.1269999999999998</v>
      </c>
      <c r="D41" s="89">
        <v>2.8980000000000001</v>
      </c>
      <c r="E41" s="89">
        <v>2.6880000000000002</v>
      </c>
      <c r="F41" s="89">
        <v>2.4950000000000001</v>
      </c>
      <c r="G41" s="89">
        <v>2.3180000000000001</v>
      </c>
      <c r="H41" s="89">
        <v>2.1549999999999998</v>
      </c>
      <c r="I41" s="89">
        <v>2.004</v>
      </c>
      <c r="J41" s="89">
        <v>1.865</v>
      </c>
      <c r="K41" s="89">
        <v>1.736</v>
      </c>
      <c r="L41" s="89">
        <v>1.617</v>
      </c>
      <c r="M41" s="89">
        <v>1.506</v>
      </c>
      <c r="N41" s="89">
        <v>1.4019999999999999</v>
      </c>
      <c r="O41" s="89">
        <v>1.3069999999999999</v>
      </c>
      <c r="P41" s="89">
        <v>1.2170000000000001</v>
      </c>
      <c r="Q41" s="89">
        <v>1.1339999999999999</v>
      </c>
      <c r="R41" s="89">
        <v>1.056</v>
      </c>
      <c r="S41" s="89">
        <v>0.98299999999999998</v>
      </c>
      <c r="T41" s="89">
        <v>0.91500000000000004</v>
      </c>
      <c r="U41" s="89">
        <v>0.85099999999999998</v>
      </c>
      <c r="V41" s="89">
        <v>0.79200000000000004</v>
      </c>
      <c r="W41" s="89">
        <v>0.73599999999999999</v>
      </c>
      <c r="X41" s="89">
        <v>0.68400000000000005</v>
      </c>
      <c r="Y41" s="89">
        <v>0.63500000000000001</v>
      </c>
      <c r="Z41" s="89">
        <v>0.59</v>
      </c>
      <c r="AA41" s="89">
        <v>0.54800000000000004</v>
      </c>
      <c r="AB41" s="89">
        <v>0.50800000000000001</v>
      </c>
      <c r="AC41" s="89">
        <v>0.47099999999999997</v>
      </c>
      <c r="AD41" s="89">
        <v>0.437</v>
      </c>
      <c r="AE41" s="89">
        <v>0.40600000000000003</v>
      </c>
    </row>
    <row r="42" spans="1:31" x14ac:dyDescent="0.25">
      <c r="A42" s="95">
        <v>35</v>
      </c>
      <c r="B42" s="89">
        <v>3.5310000000000001</v>
      </c>
      <c r="C42" s="89">
        <v>3.2639999999999998</v>
      </c>
      <c r="D42" s="89">
        <v>3.02</v>
      </c>
      <c r="E42" s="89">
        <v>2.7970000000000002</v>
      </c>
      <c r="F42" s="89">
        <v>2.593</v>
      </c>
      <c r="G42" s="89">
        <v>2.4060000000000001</v>
      </c>
      <c r="H42" s="89">
        <v>2.2330000000000001</v>
      </c>
      <c r="I42" s="89">
        <v>2.0739999999999998</v>
      </c>
      <c r="J42" s="89">
        <v>1.9279999999999999</v>
      </c>
      <c r="K42" s="89">
        <v>1.792</v>
      </c>
      <c r="L42" s="89">
        <v>1.667</v>
      </c>
      <c r="M42" s="89">
        <v>1.5509999999999999</v>
      </c>
      <c r="N42" s="89">
        <v>1.4430000000000001</v>
      </c>
      <c r="O42" s="89">
        <v>1.343</v>
      </c>
      <c r="P42" s="89">
        <v>1.25</v>
      </c>
      <c r="Q42" s="89">
        <v>1.1639999999999999</v>
      </c>
      <c r="R42" s="89">
        <v>1.083</v>
      </c>
      <c r="S42" s="89">
        <v>1.008</v>
      </c>
      <c r="T42" s="89">
        <v>0.93700000000000006</v>
      </c>
      <c r="U42" s="89">
        <v>0.871</v>
      </c>
      <c r="V42" s="89">
        <v>0.81</v>
      </c>
      <c r="W42" s="89">
        <v>0.752</v>
      </c>
      <c r="X42" s="89">
        <v>0.69899999999999995</v>
      </c>
      <c r="Y42" s="89">
        <v>0.64900000000000002</v>
      </c>
      <c r="Z42" s="89">
        <v>0.60199999999999998</v>
      </c>
      <c r="AA42" s="89">
        <v>0.55800000000000005</v>
      </c>
      <c r="AB42" s="89">
        <v>0.51800000000000002</v>
      </c>
      <c r="AC42" s="89">
        <v>0.48</v>
      </c>
      <c r="AD42" s="89">
        <v>0.44600000000000001</v>
      </c>
      <c r="AE42" s="89">
        <v>0.41299999999999998</v>
      </c>
    </row>
    <row r="43" spans="1:31" x14ac:dyDescent="0.25">
      <c r="A43" s="95">
        <v>36</v>
      </c>
      <c r="B43" s="89">
        <v>3.7</v>
      </c>
      <c r="C43" s="89">
        <v>3.4140000000000001</v>
      </c>
      <c r="D43" s="89">
        <v>3.1539999999999999</v>
      </c>
      <c r="E43" s="89">
        <v>2.9159999999999999</v>
      </c>
      <c r="F43" s="89">
        <v>2.6989999999999998</v>
      </c>
      <c r="G43" s="89">
        <v>2.5</v>
      </c>
      <c r="H43" s="89">
        <v>2.3170000000000002</v>
      </c>
      <c r="I43" s="89">
        <v>2.15</v>
      </c>
      <c r="J43" s="89">
        <v>1.9950000000000001</v>
      </c>
      <c r="K43" s="89">
        <v>1.853</v>
      </c>
      <c r="L43" s="89">
        <v>1.7210000000000001</v>
      </c>
      <c r="M43" s="89">
        <v>1.6</v>
      </c>
      <c r="N43" s="89">
        <v>1.4870000000000001</v>
      </c>
      <c r="O43" s="89">
        <v>1.383</v>
      </c>
      <c r="P43" s="89">
        <v>1.286</v>
      </c>
      <c r="Q43" s="89">
        <v>1.196</v>
      </c>
      <c r="R43" s="89">
        <v>1.1120000000000001</v>
      </c>
      <c r="S43" s="89">
        <v>1.034</v>
      </c>
      <c r="T43" s="89">
        <v>0.96099999999999997</v>
      </c>
      <c r="U43" s="89">
        <v>0.89300000000000002</v>
      </c>
      <c r="V43" s="89">
        <v>0.82899999999999996</v>
      </c>
      <c r="W43" s="89">
        <v>0.76900000000000002</v>
      </c>
      <c r="X43" s="89">
        <v>0.71399999999999997</v>
      </c>
      <c r="Y43" s="89">
        <v>0.66300000000000003</v>
      </c>
      <c r="Z43" s="89">
        <v>0.61499999999999999</v>
      </c>
      <c r="AA43" s="89">
        <v>0.56999999999999995</v>
      </c>
      <c r="AB43" s="89">
        <v>0.52800000000000002</v>
      </c>
      <c r="AC43" s="89">
        <v>0.49</v>
      </c>
      <c r="AD43" s="89">
        <v>0.45400000000000001</v>
      </c>
      <c r="AE43" s="89">
        <v>0.42099999999999999</v>
      </c>
    </row>
    <row r="44" spans="1:31" x14ac:dyDescent="0.25">
      <c r="A44" s="95">
        <v>37</v>
      </c>
      <c r="B44" s="89">
        <v>3.8839999999999999</v>
      </c>
      <c r="C44" s="89">
        <v>3.5779999999999998</v>
      </c>
      <c r="D44" s="89">
        <v>3.2989999999999999</v>
      </c>
      <c r="E44" s="89">
        <v>3.0449999999999999</v>
      </c>
      <c r="F44" s="89">
        <v>2.8140000000000001</v>
      </c>
      <c r="G44" s="89">
        <v>2.6019999999999999</v>
      </c>
      <c r="H44" s="89">
        <v>2.4089999999999998</v>
      </c>
      <c r="I44" s="89">
        <v>2.2309999999999999</v>
      </c>
      <c r="J44" s="89">
        <v>2.0680000000000001</v>
      </c>
      <c r="K44" s="89">
        <v>1.9179999999999999</v>
      </c>
      <c r="L44" s="89">
        <v>1.78</v>
      </c>
      <c r="M44" s="89">
        <v>1.6519999999999999</v>
      </c>
      <c r="N44" s="89">
        <v>1.534</v>
      </c>
      <c r="O44" s="89">
        <v>1.425</v>
      </c>
      <c r="P44" s="89">
        <v>1.3240000000000001</v>
      </c>
      <c r="Q44" s="89">
        <v>1.23</v>
      </c>
      <c r="R44" s="89">
        <v>1.143</v>
      </c>
      <c r="S44" s="89">
        <v>1.0609999999999999</v>
      </c>
      <c r="T44" s="89">
        <v>0.98599999999999999</v>
      </c>
      <c r="U44" s="89">
        <v>0.91500000000000004</v>
      </c>
      <c r="V44" s="89">
        <v>0.84899999999999998</v>
      </c>
      <c r="W44" s="89">
        <v>0.78800000000000003</v>
      </c>
      <c r="X44" s="89">
        <v>0.73099999999999998</v>
      </c>
      <c r="Y44" s="89">
        <v>0.67700000000000005</v>
      </c>
      <c r="Z44" s="89">
        <v>0.628</v>
      </c>
      <c r="AA44" s="89">
        <v>0.58199999999999996</v>
      </c>
      <c r="AB44" s="89">
        <v>0.53900000000000003</v>
      </c>
      <c r="AC44" s="89">
        <v>0.5</v>
      </c>
      <c r="AD44" s="89">
        <v>0.46300000000000002</v>
      </c>
      <c r="AE44" s="89">
        <v>0.42899999999999999</v>
      </c>
    </row>
    <row r="45" spans="1:31" x14ac:dyDescent="0.25">
      <c r="A45" s="95">
        <v>38</v>
      </c>
      <c r="B45" s="89">
        <v>4.0860000000000003</v>
      </c>
      <c r="C45" s="89">
        <v>3.7570000000000001</v>
      </c>
      <c r="D45" s="89">
        <v>3.4569999999999999</v>
      </c>
      <c r="E45" s="89">
        <v>3.1859999999999999</v>
      </c>
      <c r="F45" s="89">
        <v>2.9390000000000001</v>
      </c>
      <c r="G45" s="89">
        <v>2.7130000000000001</v>
      </c>
      <c r="H45" s="89">
        <v>2.508</v>
      </c>
      <c r="I45" s="89">
        <v>2.319</v>
      </c>
      <c r="J45" s="89">
        <v>2.1469999999999998</v>
      </c>
      <c r="K45" s="89">
        <v>1.988</v>
      </c>
      <c r="L45" s="89">
        <v>1.843</v>
      </c>
      <c r="M45" s="89">
        <v>1.708</v>
      </c>
      <c r="N45" s="89">
        <v>1.585</v>
      </c>
      <c r="O45" s="89">
        <v>1.47</v>
      </c>
      <c r="P45" s="89">
        <v>1.3640000000000001</v>
      </c>
      <c r="Q45" s="89">
        <v>1.266</v>
      </c>
      <c r="R45" s="89">
        <v>1.175</v>
      </c>
      <c r="S45" s="89">
        <v>1.091</v>
      </c>
      <c r="T45" s="89">
        <v>1.012</v>
      </c>
      <c r="U45" s="89">
        <v>0.93899999999999995</v>
      </c>
      <c r="V45" s="89">
        <v>0.871</v>
      </c>
      <c r="W45" s="89">
        <v>0.80700000000000005</v>
      </c>
      <c r="X45" s="89">
        <v>0.748</v>
      </c>
      <c r="Y45" s="89">
        <v>0.69299999999999995</v>
      </c>
      <c r="Z45" s="89">
        <v>0.64200000000000002</v>
      </c>
      <c r="AA45" s="89">
        <v>0.59499999999999997</v>
      </c>
      <c r="AB45" s="89">
        <v>0.55100000000000005</v>
      </c>
      <c r="AC45" s="89">
        <v>0.51</v>
      </c>
      <c r="AD45" s="89">
        <v>0.47199999999999998</v>
      </c>
      <c r="AE45" s="89">
        <v>0.438</v>
      </c>
    </row>
    <row r="46" spans="1:31" x14ac:dyDescent="0.25">
      <c r="A46" s="95">
        <v>39</v>
      </c>
      <c r="B46" s="89">
        <v>4.3079999999999998</v>
      </c>
      <c r="C46" s="89">
        <v>3.9529999999999998</v>
      </c>
      <c r="D46" s="89">
        <v>3.6309999999999998</v>
      </c>
      <c r="E46" s="89">
        <v>3.339</v>
      </c>
      <c r="F46" s="89">
        <v>3.0750000000000002</v>
      </c>
      <c r="G46" s="89">
        <v>2.8340000000000001</v>
      </c>
      <c r="H46" s="89">
        <v>2.6150000000000002</v>
      </c>
      <c r="I46" s="89">
        <v>2.415</v>
      </c>
      <c r="J46" s="89">
        <v>2.2320000000000002</v>
      </c>
      <c r="K46" s="89">
        <v>2.0640000000000001</v>
      </c>
      <c r="L46" s="89">
        <v>1.91</v>
      </c>
      <c r="M46" s="89">
        <v>1.7689999999999999</v>
      </c>
      <c r="N46" s="89">
        <v>1.639</v>
      </c>
      <c r="O46" s="89">
        <v>1.5189999999999999</v>
      </c>
      <c r="P46" s="89">
        <v>1.4079999999999999</v>
      </c>
      <c r="Q46" s="89">
        <v>1.3049999999999999</v>
      </c>
      <c r="R46" s="89">
        <v>1.21</v>
      </c>
      <c r="S46" s="89">
        <v>1.1220000000000001</v>
      </c>
      <c r="T46" s="89">
        <v>1.04</v>
      </c>
      <c r="U46" s="89">
        <v>0.96399999999999997</v>
      </c>
      <c r="V46" s="89">
        <v>0.89300000000000002</v>
      </c>
      <c r="W46" s="89">
        <v>0.82699999999999996</v>
      </c>
      <c r="X46" s="89">
        <v>0.76600000000000001</v>
      </c>
      <c r="Y46" s="89">
        <v>0.71</v>
      </c>
      <c r="Z46" s="89">
        <v>0.65700000000000003</v>
      </c>
      <c r="AA46" s="89">
        <v>0.60799999999999998</v>
      </c>
      <c r="AB46" s="89">
        <v>0.56299999999999994</v>
      </c>
      <c r="AC46" s="89">
        <v>0.52100000000000002</v>
      </c>
      <c r="AD46" s="89">
        <v>0.48199999999999998</v>
      </c>
      <c r="AE46" s="89">
        <v>0.44700000000000001</v>
      </c>
    </row>
    <row r="47" spans="1:31" x14ac:dyDescent="0.25">
      <c r="A47" s="95">
        <v>40</v>
      </c>
      <c r="B47" s="89">
        <v>4.5519999999999996</v>
      </c>
      <c r="C47" s="89">
        <v>4.1680000000000001</v>
      </c>
      <c r="D47" s="89">
        <v>3.8210000000000002</v>
      </c>
      <c r="E47" s="89">
        <v>3.508</v>
      </c>
      <c r="F47" s="89">
        <v>3.2240000000000002</v>
      </c>
      <c r="G47" s="89">
        <v>2.9660000000000002</v>
      </c>
      <c r="H47" s="89">
        <v>2.7320000000000002</v>
      </c>
      <c r="I47" s="89">
        <v>2.5190000000000001</v>
      </c>
      <c r="J47" s="89">
        <v>2.3239999999999998</v>
      </c>
      <c r="K47" s="89">
        <v>2.1459999999999999</v>
      </c>
      <c r="L47" s="89">
        <v>1.9830000000000001</v>
      </c>
      <c r="M47" s="89">
        <v>1.8340000000000001</v>
      </c>
      <c r="N47" s="89">
        <v>1.6970000000000001</v>
      </c>
      <c r="O47" s="89">
        <v>1.571</v>
      </c>
      <c r="P47" s="89">
        <v>1.454</v>
      </c>
      <c r="Q47" s="89">
        <v>1.347</v>
      </c>
      <c r="R47" s="89">
        <v>1.248</v>
      </c>
      <c r="S47" s="89">
        <v>1.1559999999999999</v>
      </c>
      <c r="T47" s="89">
        <v>1.07</v>
      </c>
      <c r="U47" s="89">
        <v>0.99099999999999999</v>
      </c>
      <c r="V47" s="89">
        <v>0.91800000000000004</v>
      </c>
      <c r="W47" s="89">
        <v>0.84899999999999998</v>
      </c>
      <c r="X47" s="89">
        <v>0.78600000000000003</v>
      </c>
      <c r="Y47" s="89">
        <v>0.72699999999999998</v>
      </c>
      <c r="Z47" s="89">
        <v>0.67300000000000004</v>
      </c>
      <c r="AA47" s="89">
        <v>0.623</v>
      </c>
      <c r="AB47" s="89">
        <v>0.57599999999999996</v>
      </c>
      <c r="AC47" s="89">
        <v>0.53300000000000003</v>
      </c>
      <c r="AD47" s="89">
        <v>0.49299999999999999</v>
      </c>
      <c r="AE47" s="89">
        <v>0.45600000000000002</v>
      </c>
    </row>
    <row r="48" spans="1:31" x14ac:dyDescent="0.25">
      <c r="A48" s="95">
        <v>41</v>
      </c>
      <c r="B48" s="89">
        <v>4.8209999999999997</v>
      </c>
      <c r="C48" s="89">
        <v>4.4050000000000002</v>
      </c>
      <c r="D48" s="89">
        <v>4.03</v>
      </c>
      <c r="E48" s="89">
        <v>3.6920000000000002</v>
      </c>
      <c r="F48" s="89">
        <v>3.3860000000000001</v>
      </c>
      <c r="G48" s="89">
        <v>3.11</v>
      </c>
      <c r="H48" s="89">
        <v>2.859</v>
      </c>
      <c r="I48" s="89">
        <v>2.6309999999999998</v>
      </c>
      <c r="J48" s="89">
        <v>2.4239999999999999</v>
      </c>
      <c r="K48" s="89">
        <v>2.2349999999999999</v>
      </c>
      <c r="L48" s="89">
        <v>2.0630000000000002</v>
      </c>
      <c r="M48" s="89">
        <v>1.905</v>
      </c>
      <c r="N48" s="89">
        <v>1.76</v>
      </c>
      <c r="O48" s="89">
        <v>1.627</v>
      </c>
      <c r="P48" s="89">
        <v>1.504</v>
      </c>
      <c r="Q48" s="89">
        <v>1.3919999999999999</v>
      </c>
      <c r="R48" s="89">
        <v>1.288</v>
      </c>
      <c r="S48" s="89">
        <v>1.1910000000000001</v>
      </c>
      <c r="T48" s="89">
        <v>1.1020000000000001</v>
      </c>
      <c r="U48" s="89">
        <v>1.02</v>
      </c>
      <c r="V48" s="89">
        <v>0.94299999999999995</v>
      </c>
      <c r="W48" s="89">
        <v>0.872</v>
      </c>
      <c r="X48" s="89">
        <v>0.80700000000000005</v>
      </c>
      <c r="Y48" s="89">
        <v>0.746</v>
      </c>
      <c r="Z48" s="89">
        <v>0.69</v>
      </c>
      <c r="AA48" s="89">
        <v>0.63800000000000001</v>
      </c>
      <c r="AB48" s="89">
        <v>0.59</v>
      </c>
      <c r="AC48" s="89">
        <v>0.54500000000000004</v>
      </c>
      <c r="AD48" s="89">
        <v>0.504</v>
      </c>
      <c r="AE48" s="89">
        <v>0.46600000000000003</v>
      </c>
    </row>
    <row r="49" spans="1:31" x14ac:dyDescent="0.25">
      <c r="A49" s="95">
        <v>42</v>
      </c>
      <c r="B49" s="89">
        <v>5.117</v>
      </c>
      <c r="C49" s="89">
        <v>4.665</v>
      </c>
      <c r="D49" s="89">
        <v>4.2590000000000003</v>
      </c>
      <c r="E49" s="89">
        <v>3.8940000000000001</v>
      </c>
      <c r="F49" s="89">
        <v>3.5649999999999999</v>
      </c>
      <c r="G49" s="89">
        <v>3.2669999999999999</v>
      </c>
      <c r="H49" s="89">
        <v>2.9980000000000002</v>
      </c>
      <c r="I49" s="89">
        <v>2.7549999999999999</v>
      </c>
      <c r="J49" s="89">
        <v>2.5329999999999999</v>
      </c>
      <c r="K49" s="89">
        <v>2.3319999999999999</v>
      </c>
      <c r="L49" s="89">
        <v>2.1480000000000001</v>
      </c>
      <c r="M49" s="89">
        <v>1.9810000000000001</v>
      </c>
      <c r="N49" s="89">
        <v>1.8280000000000001</v>
      </c>
      <c r="O49" s="89">
        <v>1.6870000000000001</v>
      </c>
      <c r="P49" s="89">
        <v>1.5580000000000001</v>
      </c>
      <c r="Q49" s="89">
        <v>1.44</v>
      </c>
      <c r="R49" s="89">
        <v>1.331</v>
      </c>
      <c r="S49" s="89">
        <v>1.23</v>
      </c>
      <c r="T49" s="89">
        <v>1.137</v>
      </c>
      <c r="U49" s="89">
        <v>1.0509999999999999</v>
      </c>
      <c r="V49" s="89">
        <v>0.97099999999999997</v>
      </c>
      <c r="W49" s="89">
        <v>0.89700000000000002</v>
      </c>
      <c r="X49" s="89">
        <v>0.82899999999999996</v>
      </c>
      <c r="Y49" s="89">
        <v>0.76600000000000001</v>
      </c>
      <c r="Z49" s="89">
        <v>0.70799999999999996</v>
      </c>
      <c r="AA49" s="89">
        <v>0.65400000000000003</v>
      </c>
      <c r="AB49" s="89">
        <v>0.60399999999999998</v>
      </c>
      <c r="AC49" s="89">
        <v>0.55800000000000005</v>
      </c>
      <c r="AD49" s="89">
        <v>0.51600000000000001</v>
      </c>
      <c r="AE49" s="89">
        <v>0.47699999999999998</v>
      </c>
    </row>
    <row r="50" spans="1:31" x14ac:dyDescent="0.25">
      <c r="A50" s="95">
        <v>43</v>
      </c>
      <c r="B50" s="89">
        <v>5.444</v>
      </c>
      <c r="C50" s="89">
        <v>4.9530000000000003</v>
      </c>
      <c r="D50" s="89">
        <v>4.5119999999999996</v>
      </c>
      <c r="E50" s="89">
        <v>4.117</v>
      </c>
      <c r="F50" s="89">
        <v>3.7610000000000001</v>
      </c>
      <c r="G50" s="89">
        <v>3.44</v>
      </c>
      <c r="H50" s="89">
        <v>3.1509999999999998</v>
      </c>
      <c r="I50" s="89">
        <v>2.8889999999999998</v>
      </c>
      <c r="J50" s="89">
        <v>2.6520000000000001</v>
      </c>
      <c r="K50" s="89">
        <v>2.4369999999999998</v>
      </c>
      <c r="L50" s="89">
        <v>2.242</v>
      </c>
      <c r="M50" s="89">
        <v>2.0640000000000001</v>
      </c>
      <c r="N50" s="89">
        <v>1.901</v>
      </c>
      <c r="O50" s="89">
        <v>1.752</v>
      </c>
      <c r="P50" s="89">
        <v>1.6160000000000001</v>
      </c>
      <c r="Q50" s="89">
        <v>1.492</v>
      </c>
      <c r="R50" s="89">
        <v>1.377</v>
      </c>
      <c r="S50" s="89">
        <v>1.2709999999999999</v>
      </c>
      <c r="T50" s="89">
        <v>1.1739999999999999</v>
      </c>
      <c r="U50" s="89">
        <v>1.0840000000000001</v>
      </c>
      <c r="V50" s="89">
        <v>1</v>
      </c>
      <c r="W50" s="89">
        <v>0.92300000000000004</v>
      </c>
      <c r="X50" s="89">
        <v>0.85199999999999998</v>
      </c>
      <c r="Y50" s="89">
        <v>0.78700000000000003</v>
      </c>
      <c r="Z50" s="89">
        <v>0.72699999999999998</v>
      </c>
      <c r="AA50" s="89">
        <v>0.67100000000000004</v>
      </c>
      <c r="AB50" s="89">
        <v>0.61899999999999999</v>
      </c>
      <c r="AC50" s="89">
        <v>0.57199999999999995</v>
      </c>
      <c r="AD50" s="89">
        <v>0.52800000000000002</v>
      </c>
      <c r="AE50" s="89">
        <v>0.48799999999999999</v>
      </c>
    </row>
    <row r="51" spans="1:31" x14ac:dyDescent="0.25">
      <c r="A51" s="95">
        <v>44</v>
      </c>
      <c r="B51" s="89">
        <v>5.8070000000000004</v>
      </c>
      <c r="C51" s="89">
        <v>5.2709999999999999</v>
      </c>
      <c r="D51" s="89">
        <v>4.7919999999999998</v>
      </c>
      <c r="E51" s="89">
        <v>4.3620000000000001</v>
      </c>
      <c r="F51" s="89">
        <v>3.9769999999999999</v>
      </c>
      <c r="G51" s="89">
        <v>3.63</v>
      </c>
      <c r="H51" s="89">
        <v>3.3180000000000001</v>
      </c>
      <c r="I51" s="89">
        <v>3.036</v>
      </c>
      <c r="J51" s="89">
        <v>2.782</v>
      </c>
      <c r="K51" s="89">
        <v>2.552</v>
      </c>
      <c r="L51" s="89">
        <v>2.343</v>
      </c>
      <c r="M51" s="89">
        <v>2.153</v>
      </c>
      <c r="N51" s="89">
        <v>1.9810000000000001</v>
      </c>
      <c r="O51" s="89">
        <v>1.823</v>
      </c>
      <c r="P51" s="89">
        <v>1.679</v>
      </c>
      <c r="Q51" s="89">
        <v>1.5469999999999999</v>
      </c>
      <c r="R51" s="89">
        <v>1.427</v>
      </c>
      <c r="S51" s="89">
        <v>1.3149999999999999</v>
      </c>
      <c r="T51" s="89">
        <v>1.2130000000000001</v>
      </c>
      <c r="U51" s="89">
        <v>1.119</v>
      </c>
      <c r="V51" s="89">
        <v>1.032</v>
      </c>
      <c r="W51" s="89">
        <v>0.95099999999999996</v>
      </c>
      <c r="X51" s="89">
        <v>0.878</v>
      </c>
      <c r="Y51" s="89">
        <v>0.81</v>
      </c>
      <c r="Z51" s="89">
        <v>0.747</v>
      </c>
      <c r="AA51" s="89">
        <v>0.68899999999999995</v>
      </c>
      <c r="AB51" s="89">
        <v>0.63600000000000001</v>
      </c>
      <c r="AC51" s="89">
        <v>0.58599999999999997</v>
      </c>
      <c r="AD51" s="89">
        <v>0.54100000000000004</v>
      </c>
      <c r="AE51" s="89">
        <v>0.5</v>
      </c>
    </row>
    <row r="52" spans="1:31" x14ac:dyDescent="0.25">
      <c r="A52" s="95">
        <v>45</v>
      </c>
      <c r="B52" s="89">
        <v>6.2080000000000002</v>
      </c>
      <c r="C52" s="89">
        <v>5.6230000000000002</v>
      </c>
      <c r="D52" s="89">
        <v>5.101</v>
      </c>
      <c r="E52" s="89">
        <v>4.633</v>
      </c>
      <c r="F52" s="89">
        <v>4.2140000000000004</v>
      </c>
      <c r="G52" s="89">
        <v>3.839</v>
      </c>
      <c r="H52" s="89">
        <v>3.5019999999999998</v>
      </c>
      <c r="I52" s="89">
        <v>3.198</v>
      </c>
      <c r="J52" s="89">
        <v>2.9239999999999999</v>
      </c>
      <c r="K52" s="89">
        <v>2.677</v>
      </c>
      <c r="L52" s="89">
        <v>2.4540000000000002</v>
      </c>
      <c r="M52" s="89">
        <v>2.2509999999999999</v>
      </c>
      <c r="N52" s="89">
        <v>2.0670000000000002</v>
      </c>
      <c r="O52" s="89">
        <v>1.9</v>
      </c>
      <c r="P52" s="89">
        <v>1.7470000000000001</v>
      </c>
      <c r="Q52" s="89">
        <v>1.6080000000000001</v>
      </c>
      <c r="R52" s="89">
        <v>1.48</v>
      </c>
      <c r="S52" s="89">
        <v>1.363</v>
      </c>
      <c r="T52" s="89">
        <v>1.256</v>
      </c>
      <c r="U52" s="89">
        <v>1.157</v>
      </c>
      <c r="V52" s="89">
        <v>1.0660000000000001</v>
      </c>
      <c r="W52" s="89">
        <v>0.98199999999999998</v>
      </c>
      <c r="X52" s="89">
        <v>0.90500000000000003</v>
      </c>
      <c r="Y52" s="89">
        <v>0.83399999999999996</v>
      </c>
      <c r="Z52" s="89">
        <v>0.76800000000000002</v>
      </c>
      <c r="AA52" s="89">
        <v>0.70799999999999996</v>
      </c>
      <c r="AB52" s="89">
        <v>0.65300000000000002</v>
      </c>
      <c r="AC52" s="89">
        <v>0.60199999999999998</v>
      </c>
      <c r="AD52" s="89">
        <v>0.55500000000000005</v>
      </c>
      <c r="AE52" s="89">
        <v>0.51200000000000001</v>
      </c>
    </row>
    <row r="53" spans="1:31" x14ac:dyDescent="0.25">
      <c r="A53" s="95">
        <v>46</v>
      </c>
      <c r="B53" s="89">
        <v>6.6529999999999996</v>
      </c>
      <c r="C53" s="89">
        <v>6.0129999999999999</v>
      </c>
      <c r="D53" s="89">
        <v>5.4429999999999996</v>
      </c>
      <c r="E53" s="89">
        <v>4.9329999999999998</v>
      </c>
      <c r="F53" s="89">
        <v>4.4770000000000003</v>
      </c>
      <c r="G53" s="89">
        <v>4.069</v>
      </c>
      <c r="H53" s="89">
        <v>3.7040000000000002</v>
      </c>
      <c r="I53" s="89">
        <v>3.3759999999999999</v>
      </c>
      <c r="J53" s="89">
        <v>3.081</v>
      </c>
      <c r="K53" s="89">
        <v>2.8149999999999999</v>
      </c>
      <c r="L53" s="89">
        <v>2.5750000000000002</v>
      </c>
      <c r="M53" s="89">
        <v>2.3580000000000001</v>
      </c>
      <c r="N53" s="89">
        <v>2.1619999999999999</v>
      </c>
      <c r="O53" s="89">
        <v>1.9830000000000001</v>
      </c>
      <c r="P53" s="89">
        <v>1.821</v>
      </c>
      <c r="Q53" s="89">
        <v>1.673</v>
      </c>
      <c r="R53" s="89">
        <v>1.538</v>
      </c>
      <c r="S53" s="89">
        <v>1.415</v>
      </c>
      <c r="T53" s="89">
        <v>1.3009999999999999</v>
      </c>
      <c r="U53" s="89">
        <v>1.1970000000000001</v>
      </c>
      <c r="V53" s="89">
        <v>1.1020000000000001</v>
      </c>
      <c r="W53" s="89">
        <v>1.014</v>
      </c>
      <c r="X53" s="89">
        <v>0.93300000000000005</v>
      </c>
      <c r="Y53" s="89">
        <v>0.85899999999999999</v>
      </c>
      <c r="Z53" s="89">
        <v>0.79100000000000004</v>
      </c>
      <c r="AA53" s="89">
        <v>0.72899999999999998</v>
      </c>
      <c r="AB53" s="89">
        <v>0.67100000000000004</v>
      </c>
      <c r="AC53" s="89">
        <v>0.61799999999999999</v>
      </c>
      <c r="AD53" s="89">
        <v>0.56999999999999995</v>
      </c>
      <c r="AE53" s="89">
        <v>0.52600000000000002</v>
      </c>
    </row>
    <row r="54" spans="1:31" x14ac:dyDescent="0.25">
      <c r="A54" s="95">
        <v>47</v>
      </c>
      <c r="B54" s="89">
        <v>7.1479999999999997</v>
      </c>
      <c r="C54" s="89">
        <v>6.4470000000000001</v>
      </c>
      <c r="D54" s="89">
        <v>5.8220000000000001</v>
      </c>
      <c r="E54" s="89">
        <v>5.2649999999999997</v>
      </c>
      <c r="F54" s="89">
        <v>4.7679999999999998</v>
      </c>
      <c r="G54" s="89">
        <v>4.3239999999999998</v>
      </c>
      <c r="H54" s="89">
        <v>3.927</v>
      </c>
      <c r="I54" s="89">
        <v>3.5720000000000001</v>
      </c>
      <c r="J54" s="89">
        <v>3.2530000000000001</v>
      </c>
      <c r="K54" s="89">
        <v>2.9660000000000002</v>
      </c>
      <c r="L54" s="89">
        <v>2.7080000000000002</v>
      </c>
      <c r="M54" s="89">
        <v>2.4750000000000001</v>
      </c>
      <c r="N54" s="89">
        <v>2.2650000000000001</v>
      </c>
      <c r="O54" s="89">
        <v>2.0739999999999998</v>
      </c>
      <c r="P54" s="89">
        <v>1.9019999999999999</v>
      </c>
      <c r="Q54" s="89">
        <v>1.7450000000000001</v>
      </c>
      <c r="R54" s="89">
        <v>1.601</v>
      </c>
      <c r="S54" s="89">
        <v>1.47</v>
      </c>
      <c r="T54" s="89">
        <v>1.351</v>
      </c>
      <c r="U54" s="89">
        <v>1.2410000000000001</v>
      </c>
      <c r="V54" s="89">
        <v>1.141</v>
      </c>
      <c r="W54" s="89">
        <v>1.0489999999999999</v>
      </c>
      <c r="X54" s="89">
        <v>0.96399999999999997</v>
      </c>
      <c r="Y54" s="89">
        <v>0.88700000000000001</v>
      </c>
      <c r="Z54" s="89">
        <v>0.81599999999999995</v>
      </c>
      <c r="AA54" s="89">
        <v>0.751</v>
      </c>
      <c r="AB54" s="89">
        <v>0.69099999999999995</v>
      </c>
      <c r="AC54" s="89">
        <v>0.63600000000000001</v>
      </c>
      <c r="AD54" s="89">
        <v>0.58599999999999997</v>
      </c>
      <c r="AE54" s="89">
        <v>0.54</v>
      </c>
    </row>
    <row r="55" spans="1:31" x14ac:dyDescent="0.25">
      <c r="A55" s="95">
        <v>48</v>
      </c>
      <c r="B55" s="89">
        <v>7.6970000000000001</v>
      </c>
      <c r="C55" s="89">
        <v>6.9279999999999999</v>
      </c>
      <c r="D55" s="89">
        <v>6.2430000000000003</v>
      </c>
      <c r="E55" s="89">
        <v>5.6340000000000003</v>
      </c>
      <c r="F55" s="89">
        <v>5.0910000000000002</v>
      </c>
      <c r="G55" s="89">
        <v>4.6070000000000002</v>
      </c>
      <c r="H55" s="89">
        <v>4.1740000000000004</v>
      </c>
      <c r="I55" s="89">
        <v>3.7879999999999998</v>
      </c>
      <c r="J55" s="89">
        <v>3.4420000000000002</v>
      </c>
      <c r="K55" s="89">
        <v>3.1320000000000001</v>
      </c>
      <c r="L55" s="89">
        <v>2.8540000000000001</v>
      </c>
      <c r="M55" s="89">
        <v>2.6040000000000001</v>
      </c>
      <c r="N55" s="89">
        <v>2.3780000000000001</v>
      </c>
      <c r="O55" s="89">
        <v>2.1739999999999999</v>
      </c>
      <c r="P55" s="89">
        <v>1.9890000000000001</v>
      </c>
      <c r="Q55" s="89">
        <v>1.8220000000000001</v>
      </c>
      <c r="R55" s="89">
        <v>1.67</v>
      </c>
      <c r="S55" s="89">
        <v>1.5309999999999999</v>
      </c>
      <c r="T55" s="89">
        <v>1.4039999999999999</v>
      </c>
      <c r="U55" s="89">
        <v>1.2889999999999999</v>
      </c>
      <c r="V55" s="89">
        <v>1.1830000000000001</v>
      </c>
      <c r="W55" s="89">
        <v>1.0860000000000001</v>
      </c>
      <c r="X55" s="89">
        <v>0.997</v>
      </c>
      <c r="Y55" s="89">
        <v>0.91600000000000004</v>
      </c>
      <c r="Z55" s="89">
        <v>0.84199999999999997</v>
      </c>
      <c r="AA55" s="89">
        <v>0.77400000000000002</v>
      </c>
      <c r="AB55" s="89">
        <v>0.71199999999999997</v>
      </c>
      <c r="AC55" s="89">
        <v>0.65500000000000003</v>
      </c>
      <c r="AD55" s="89">
        <v>0.60199999999999998</v>
      </c>
      <c r="AE55" s="89">
        <v>0.55500000000000005</v>
      </c>
    </row>
    <row r="56" spans="1:31" x14ac:dyDescent="0.25">
      <c r="A56" s="95">
        <v>49</v>
      </c>
      <c r="B56" s="89">
        <v>8.3089999999999993</v>
      </c>
      <c r="C56" s="89">
        <v>7.4640000000000004</v>
      </c>
      <c r="D56" s="89">
        <v>6.7119999999999997</v>
      </c>
      <c r="E56" s="89">
        <v>6.0439999999999996</v>
      </c>
      <c r="F56" s="89">
        <v>5.4489999999999998</v>
      </c>
      <c r="G56" s="89">
        <v>4.92</v>
      </c>
      <c r="H56" s="89">
        <v>4.4480000000000004</v>
      </c>
      <c r="I56" s="89">
        <v>4.0270000000000001</v>
      </c>
      <c r="J56" s="89">
        <v>3.6520000000000001</v>
      </c>
      <c r="K56" s="89">
        <v>3.3159999999999998</v>
      </c>
      <c r="L56" s="89">
        <v>3.0150000000000001</v>
      </c>
      <c r="M56" s="89">
        <v>2.7450000000000001</v>
      </c>
      <c r="N56" s="89">
        <v>2.5019999999999998</v>
      </c>
      <c r="O56" s="89">
        <v>2.2829999999999999</v>
      </c>
      <c r="P56" s="89">
        <v>2.085</v>
      </c>
      <c r="Q56" s="89">
        <v>1.9059999999999999</v>
      </c>
      <c r="R56" s="89">
        <v>1.744</v>
      </c>
      <c r="S56" s="89">
        <v>1.597</v>
      </c>
      <c r="T56" s="89">
        <v>1.4630000000000001</v>
      </c>
      <c r="U56" s="89">
        <v>1.34</v>
      </c>
      <c r="V56" s="89">
        <v>1.2290000000000001</v>
      </c>
      <c r="W56" s="89">
        <v>1.1259999999999999</v>
      </c>
      <c r="X56" s="89">
        <v>1.0329999999999999</v>
      </c>
      <c r="Y56" s="89">
        <v>0.94799999999999995</v>
      </c>
      <c r="Z56" s="89">
        <v>0.87</v>
      </c>
      <c r="AA56" s="89">
        <v>0.79900000000000004</v>
      </c>
      <c r="AB56" s="89">
        <v>0.73399999999999999</v>
      </c>
      <c r="AC56" s="89">
        <v>0.67500000000000004</v>
      </c>
      <c r="AD56" s="89">
        <v>0.62</v>
      </c>
      <c r="AE56" s="89">
        <v>0.57099999999999995</v>
      </c>
    </row>
    <row r="57" spans="1:31" x14ac:dyDescent="0.25">
      <c r="A57" s="95">
        <v>50</v>
      </c>
      <c r="B57" s="89">
        <v>8.99</v>
      </c>
      <c r="C57" s="89">
        <v>8.06</v>
      </c>
      <c r="D57" s="89">
        <v>7.234</v>
      </c>
      <c r="E57" s="89">
        <v>6.5</v>
      </c>
      <c r="F57" s="89">
        <v>5.8479999999999999</v>
      </c>
      <c r="G57" s="89">
        <v>5.2679999999999998</v>
      </c>
      <c r="H57" s="89">
        <v>4.7519999999999998</v>
      </c>
      <c r="I57" s="89">
        <v>4.2930000000000001</v>
      </c>
      <c r="J57" s="89">
        <v>3.8839999999999999</v>
      </c>
      <c r="K57" s="89">
        <v>3.5190000000000001</v>
      </c>
      <c r="L57" s="89">
        <v>3.1920000000000002</v>
      </c>
      <c r="M57" s="89">
        <v>2.9</v>
      </c>
      <c r="N57" s="89">
        <v>2.6379999999999999</v>
      </c>
      <c r="O57" s="89">
        <v>2.4020000000000001</v>
      </c>
      <c r="P57" s="89">
        <v>2.19</v>
      </c>
      <c r="Q57" s="89">
        <v>1.9990000000000001</v>
      </c>
      <c r="R57" s="89">
        <v>1.8260000000000001</v>
      </c>
      <c r="S57" s="89">
        <v>1.669</v>
      </c>
      <c r="T57" s="89">
        <v>1.526</v>
      </c>
      <c r="U57" s="89">
        <v>1.3959999999999999</v>
      </c>
      <c r="V57" s="89">
        <v>1.278</v>
      </c>
      <c r="W57" s="89">
        <v>1.17</v>
      </c>
      <c r="X57" s="89">
        <v>1.0720000000000001</v>
      </c>
      <c r="Y57" s="89">
        <v>0.98299999999999998</v>
      </c>
      <c r="Z57" s="89">
        <v>0.90100000000000002</v>
      </c>
      <c r="AA57" s="89">
        <v>0.82599999999999996</v>
      </c>
      <c r="AB57" s="89">
        <v>0.75800000000000001</v>
      </c>
      <c r="AC57" s="89">
        <v>0.69599999999999995</v>
      </c>
      <c r="AD57" s="89">
        <v>0.64</v>
      </c>
      <c r="AE57" s="89">
        <v>0.58799999999999997</v>
      </c>
    </row>
    <row r="58" spans="1:31" x14ac:dyDescent="0.25">
      <c r="A58" s="95">
        <v>51</v>
      </c>
      <c r="B58" s="89">
        <v>9.75</v>
      </c>
      <c r="C58" s="89">
        <v>8.7260000000000009</v>
      </c>
      <c r="D58" s="89">
        <v>7.8159999999999998</v>
      </c>
      <c r="E58" s="89">
        <v>7.0090000000000003</v>
      </c>
      <c r="F58" s="89">
        <v>6.2919999999999998</v>
      </c>
      <c r="G58" s="89">
        <v>5.6550000000000002</v>
      </c>
      <c r="H58" s="89">
        <v>5.09</v>
      </c>
      <c r="I58" s="89">
        <v>4.5880000000000001</v>
      </c>
      <c r="J58" s="89">
        <v>4.141</v>
      </c>
      <c r="K58" s="89">
        <v>3.7440000000000002</v>
      </c>
      <c r="L58" s="89">
        <v>3.3889999999999998</v>
      </c>
      <c r="M58" s="89">
        <v>3.0720000000000001</v>
      </c>
      <c r="N58" s="89">
        <v>2.7879999999999998</v>
      </c>
      <c r="O58" s="89">
        <v>2.5339999999999998</v>
      </c>
      <c r="P58" s="89">
        <v>2.306</v>
      </c>
      <c r="Q58" s="89">
        <v>2.1</v>
      </c>
      <c r="R58" s="89">
        <v>1.915</v>
      </c>
      <c r="S58" s="89">
        <v>1.7470000000000001</v>
      </c>
      <c r="T58" s="89">
        <v>1.595</v>
      </c>
      <c r="U58" s="89">
        <v>1.4570000000000001</v>
      </c>
      <c r="V58" s="89">
        <v>1.3320000000000001</v>
      </c>
      <c r="W58" s="89">
        <v>1.2170000000000001</v>
      </c>
      <c r="X58" s="89">
        <v>1.1140000000000001</v>
      </c>
      <c r="Y58" s="89">
        <v>1.02</v>
      </c>
      <c r="Z58" s="89">
        <v>0.93400000000000005</v>
      </c>
      <c r="AA58" s="89">
        <v>0.85599999999999998</v>
      </c>
      <c r="AB58" s="89">
        <v>0.78400000000000003</v>
      </c>
      <c r="AC58" s="89">
        <v>0.71899999999999997</v>
      </c>
      <c r="AD58" s="89">
        <v>0.66</v>
      </c>
      <c r="AE58" s="89">
        <v>0.60599999999999998</v>
      </c>
    </row>
    <row r="59" spans="1:31" x14ac:dyDescent="0.25">
      <c r="A59" s="95">
        <v>52</v>
      </c>
      <c r="B59" s="89">
        <v>10.597</v>
      </c>
      <c r="C59" s="89">
        <v>9.468</v>
      </c>
      <c r="D59" s="89">
        <v>8.4649999999999999</v>
      </c>
      <c r="E59" s="89">
        <v>7.5759999999999996</v>
      </c>
      <c r="F59" s="89">
        <v>6.7869999999999999</v>
      </c>
      <c r="G59" s="89">
        <v>6.0880000000000001</v>
      </c>
      <c r="H59" s="89">
        <v>5.4669999999999996</v>
      </c>
      <c r="I59" s="89">
        <v>4.9169999999999998</v>
      </c>
      <c r="J59" s="89">
        <v>4.4279999999999999</v>
      </c>
      <c r="K59" s="89">
        <v>3.9929999999999999</v>
      </c>
      <c r="L59" s="89">
        <v>3.6070000000000002</v>
      </c>
      <c r="M59" s="89">
        <v>3.262</v>
      </c>
      <c r="N59" s="89">
        <v>2.9550000000000001</v>
      </c>
      <c r="O59" s="89">
        <v>2.68</v>
      </c>
      <c r="P59" s="89">
        <v>2.4329999999999998</v>
      </c>
      <c r="Q59" s="89">
        <v>2.2120000000000002</v>
      </c>
      <c r="R59" s="89">
        <v>2.0129999999999999</v>
      </c>
      <c r="S59" s="89">
        <v>1.833</v>
      </c>
      <c r="T59" s="89">
        <v>1.67</v>
      </c>
      <c r="U59" s="89">
        <v>1.5229999999999999</v>
      </c>
      <c r="V59" s="89">
        <v>1.39</v>
      </c>
      <c r="W59" s="89">
        <v>1.2689999999999999</v>
      </c>
      <c r="X59" s="89">
        <v>1.159</v>
      </c>
      <c r="Y59" s="89">
        <v>1.06</v>
      </c>
      <c r="Z59" s="89">
        <v>0.96899999999999997</v>
      </c>
      <c r="AA59" s="89">
        <v>0.88700000000000001</v>
      </c>
      <c r="AB59" s="89">
        <v>0.81200000000000006</v>
      </c>
      <c r="AC59" s="89">
        <v>0.74399999999999999</v>
      </c>
      <c r="AD59" s="89">
        <v>0.68200000000000005</v>
      </c>
      <c r="AE59" s="89">
        <v>0.626</v>
      </c>
    </row>
    <row r="60" spans="1:31" x14ac:dyDescent="0.25">
      <c r="A60" s="95">
        <v>53</v>
      </c>
      <c r="B60" s="89">
        <v>11.542999999999999</v>
      </c>
      <c r="C60" s="89">
        <v>10.297000000000001</v>
      </c>
      <c r="D60" s="89">
        <v>9.1910000000000007</v>
      </c>
      <c r="E60" s="89">
        <v>8.2100000000000009</v>
      </c>
      <c r="F60" s="89">
        <v>7.3410000000000002</v>
      </c>
      <c r="G60" s="89">
        <v>6.5709999999999997</v>
      </c>
      <c r="H60" s="89">
        <v>5.8879999999999999</v>
      </c>
      <c r="I60" s="89">
        <v>5.2830000000000004</v>
      </c>
      <c r="J60" s="89">
        <v>4.7469999999999999</v>
      </c>
      <c r="K60" s="89">
        <v>4.2720000000000002</v>
      </c>
      <c r="L60" s="89">
        <v>3.8490000000000002</v>
      </c>
      <c r="M60" s="89">
        <v>3.4740000000000002</v>
      </c>
      <c r="N60" s="89">
        <v>3.1389999999999998</v>
      </c>
      <c r="O60" s="89">
        <v>2.8410000000000002</v>
      </c>
      <c r="P60" s="89">
        <v>2.5739999999999998</v>
      </c>
      <c r="Q60" s="89">
        <v>2.335</v>
      </c>
      <c r="R60" s="89">
        <v>2.12</v>
      </c>
      <c r="S60" s="89">
        <v>1.927</v>
      </c>
      <c r="T60" s="89">
        <v>1.7529999999999999</v>
      </c>
      <c r="U60" s="89">
        <v>1.5960000000000001</v>
      </c>
      <c r="V60" s="89">
        <v>1.454</v>
      </c>
      <c r="W60" s="89">
        <v>1.325</v>
      </c>
      <c r="X60" s="89">
        <v>1.2090000000000001</v>
      </c>
      <c r="Y60" s="89">
        <v>1.103</v>
      </c>
      <c r="Z60" s="89">
        <v>1.008</v>
      </c>
      <c r="AA60" s="89">
        <v>0.92100000000000004</v>
      </c>
      <c r="AB60" s="89">
        <v>0.84199999999999997</v>
      </c>
      <c r="AC60" s="89">
        <v>0.77100000000000002</v>
      </c>
      <c r="AD60" s="89">
        <v>0.70599999999999996</v>
      </c>
      <c r="AE60" s="89">
        <v>0.64700000000000002</v>
      </c>
    </row>
    <row r="61" spans="1:31" x14ac:dyDescent="0.25">
      <c r="A61" s="95">
        <v>54</v>
      </c>
      <c r="B61" s="89">
        <v>12.599</v>
      </c>
      <c r="C61" s="89">
        <v>11.224</v>
      </c>
      <c r="D61" s="89">
        <v>10.002000000000001</v>
      </c>
      <c r="E61" s="89">
        <v>8.9190000000000005</v>
      </c>
      <c r="F61" s="89">
        <v>7.96</v>
      </c>
      <c r="G61" s="89">
        <v>7.11</v>
      </c>
      <c r="H61" s="89">
        <v>6.3579999999999997</v>
      </c>
      <c r="I61" s="89">
        <v>5.6929999999999996</v>
      </c>
      <c r="J61" s="89">
        <v>5.1029999999999998</v>
      </c>
      <c r="K61" s="89">
        <v>4.5819999999999999</v>
      </c>
      <c r="L61" s="89">
        <v>4.1189999999999998</v>
      </c>
      <c r="M61" s="89">
        <v>3.7090000000000001</v>
      </c>
      <c r="N61" s="89">
        <v>3.3439999999999999</v>
      </c>
      <c r="O61" s="89">
        <v>3.0190000000000001</v>
      </c>
      <c r="P61" s="89">
        <v>2.7290000000000001</v>
      </c>
      <c r="Q61" s="89">
        <v>2.4710000000000001</v>
      </c>
      <c r="R61" s="89">
        <v>2.2389999999999999</v>
      </c>
      <c r="S61" s="89">
        <v>2.0310000000000001</v>
      </c>
      <c r="T61" s="89">
        <v>1.8440000000000001</v>
      </c>
      <c r="U61" s="89">
        <v>1.6759999999999999</v>
      </c>
      <c r="V61" s="89">
        <v>1.524</v>
      </c>
      <c r="W61" s="89">
        <v>1.3859999999999999</v>
      </c>
      <c r="X61" s="89">
        <v>1.2629999999999999</v>
      </c>
      <c r="Y61" s="89">
        <v>1.151</v>
      </c>
      <c r="Z61" s="89">
        <v>1.05</v>
      </c>
      <c r="AA61" s="89">
        <v>0.95799999999999996</v>
      </c>
      <c r="AB61" s="89">
        <v>0.875</v>
      </c>
      <c r="AC61" s="89">
        <v>0.8</v>
      </c>
      <c r="AD61" s="89">
        <v>0.73199999999999998</v>
      </c>
      <c r="AE61" s="89">
        <v>0.67</v>
      </c>
    </row>
    <row r="62" spans="1:31" x14ac:dyDescent="0.25">
      <c r="A62" s="95">
        <v>55</v>
      </c>
      <c r="B62" s="89">
        <v>13.778</v>
      </c>
      <c r="C62" s="89">
        <v>12.259</v>
      </c>
      <c r="D62" s="89">
        <v>10.91</v>
      </c>
      <c r="E62" s="89">
        <v>9.7129999999999992</v>
      </c>
      <c r="F62" s="89">
        <v>8.6530000000000005</v>
      </c>
      <c r="G62" s="89">
        <v>7.7149999999999999</v>
      </c>
      <c r="H62" s="89">
        <v>6.8849999999999998</v>
      </c>
      <c r="I62" s="89">
        <v>6.1509999999999998</v>
      </c>
      <c r="J62" s="89">
        <v>5.5019999999999998</v>
      </c>
      <c r="K62" s="89">
        <v>4.9279999999999999</v>
      </c>
      <c r="L62" s="89">
        <v>4.4210000000000003</v>
      </c>
      <c r="M62" s="89">
        <v>3.9710000000000001</v>
      </c>
      <c r="N62" s="89">
        <v>3.5720000000000001</v>
      </c>
      <c r="O62" s="89">
        <v>3.218</v>
      </c>
      <c r="P62" s="89">
        <v>2.9020000000000001</v>
      </c>
      <c r="Q62" s="89">
        <v>2.6219999999999999</v>
      </c>
      <c r="R62" s="89">
        <v>2.371</v>
      </c>
      <c r="S62" s="89">
        <v>2.1459999999999999</v>
      </c>
      <c r="T62" s="89">
        <v>1.944</v>
      </c>
      <c r="U62" s="89">
        <v>1.764</v>
      </c>
      <c r="V62" s="89">
        <v>1.601</v>
      </c>
      <c r="W62" s="89">
        <v>1.454</v>
      </c>
      <c r="X62" s="89">
        <v>1.3220000000000001</v>
      </c>
      <c r="Y62" s="89">
        <v>1.2030000000000001</v>
      </c>
      <c r="Z62" s="89">
        <v>1.095</v>
      </c>
      <c r="AA62" s="89">
        <v>0.998</v>
      </c>
      <c r="AB62" s="89">
        <v>0.91100000000000003</v>
      </c>
      <c r="AC62" s="89">
        <v>0.83099999999999996</v>
      </c>
      <c r="AD62" s="89">
        <v>0.76</v>
      </c>
      <c r="AE62" s="89">
        <v>0.69499999999999995</v>
      </c>
    </row>
    <row r="63" spans="1:31" x14ac:dyDescent="0.25">
      <c r="A63" s="95">
        <v>56</v>
      </c>
      <c r="B63" s="89">
        <v>15.097</v>
      </c>
      <c r="C63" s="89">
        <v>13.417999999999999</v>
      </c>
      <c r="D63" s="89">
        <v>11.926</v>
      </c>
      <c r="E63" s="89">
        <v>10.602</v>
      </c>
      <c r="F63" s="89">
        <v>9.43</v>
      </c>
      <c r="G63" s="89">
        <v>8.3919999999999995</v>
      </c>
      <c r="H63" s="89">
        <v>7.4749999999999996</v>
      </c>
      <c r="I63" s="89">
        <v>6.6639999999999997</v>
      </c>
      <c r="J63" s="89">
        <v>5.9480000000000004</v>
      </c>
      <c r="K63" s="89">
        <v>5.3159999999999998</v>
      </c>
      <c r="L63" s="89">
        <v>4.758</v>
      </c>
      <c r="M63" s="89">
        <v>4.2640000000000002</v>
      </c>
      <c r="N63" s="89">
        <v>3.8260000000000001</v>
      </c>
      <c r="O63" s="89">
        <v>3.4390000000000001</v>
      </c>
      <c r="P63" s="89">
        <v>3.0950000000000002</v>
      </c>
      <c r="Q63" s="89">
        <v>2.7890000000000001</v>
      </c>
      <c r="R63" s="89">
        <v>2.5169999999999999</v>
      </c>
      <c r="S63" s="89">
        <v>2.2730000000000001</v>
      </c>
      <c r="T63" s="89">
        <v>2.0550000000000002</v>
      </c>
      <c r="U63" s="89">
        <v>1.86</v>
      </c>
      <c r="V63" s="89">
        <v>1.6850000000000001</v>
      </c>
      <c r="W63" s="89">
        <v>1.5269999999999999</v>
      </c>
      <c r="X63" s="89">
        <v>1.3859999999999999</v>
      </c>
      <c r="Y63" s="89">
        <v>1.26</v>
      </c>
      <c r="Z63" s="89">
        <v>1.145</v>
      </c>
      <c r="AA63" s="89">
        <v>1.042</v>
      </c>
      <c r="AB63" s="89">
        <v>0.94899999999999995</v>
      </c>
      <c r="AC63" s="89">
        <v>0.86599999999999999</v>
      </c>
      <c r="AD63" s="89">
        <v>0.79</v>
      </c>
      <c r="AE63" s="89">
        <v>0.72199999999999998</v>
      </c>
    </row>
    <row r="64" spans="1:31" x14ac:dyDescent="0.25">
      <c r="A64" s="95">
        <v>57</v>
      </c>
      <c r="B64" s="89">
        <v>16.571000000000002</v>
      </c>
      <c r="C64" s="89">
        <v>14.715</v>
      </c>
      <c r="D64" s="89">
        <v>13.064</v>
      </c>
      <c r="E64" s="89">
        <v>11.599</v>
      </c>
      <c r="F64" s="89">
        <v>10.3</v>
      </c>
      <c r="G64" s="89">
        <v>9.1519999999999992</v>
      </c>
      <c r="H64" s="89">
        <v>8.1359999999999992</v>
      </c>
      <c r="I64" s="89">
        <v>7.24</v>
      </c>
      <c r="J64" s="89">
        <v>6.4489999999999998</v>
      </c>
      <c r="K64" s="89">
        <v>5.7510000000000003</v>
      </c>
      <c r="L64" s="89">
        <v>5.1349999999999998</v>
      </c>
      <c r="M64" s="89">
        <v>4.5919999999999996</v>
      </c>
      <c r="N64" s="89">
        <v>4.1109999999999998</v>
      </c>
      <c r="O64" s="89">
        <v>3.6859999999999999</v>
      </c>
      <c r="P64" s="89">
        <v>3.3090000000000002</v>
      </c>
      <c r="Q64" s="89">
        <v>2.976</v>
      </c>
      <c r="R64" s="89">
        <v>2.6789999999999998</v>
      </c>
      <c r="S64" s="89">
        <v>2.4140000000000001</v>
      </c>
      <c r="T64" s="89">
        <v>2.1779999999999999</v>
      </c>
      <c r="U64" s="89">
        <v>1.9670000000000001</v>
      </c>
      <c r="V64" s="89">
        <v>1.778</v>
      </c>
      <c r="W64" s="89">
        <v>1.609</v>
      </c>
      <c r="X64" s="89">
        <v>1.458</v>
      </c>
      <c r="Y64" s="89">
        <v>1.3220000000000001</v>
      </c>
      <c r="Z64" s="89">
        <v>1.2</v>
      </c>
      <c r="AA64" s="89">
        <v>1.0900000000000001</v>
      </c>
      <c r="AB64" s="89">
        <v>0.99199999999999999</v>
      </c>
      <c r="AC64" s="89">
        <v>0.90300000000000002</v>
      </c>
      <c r="AD64" s="89">
        <v>0.82299999999999995</v>
      </c>
      <c r="AE64" s="89">
        <v>0.751</v>
      </c>
    </row>
    <row r="65" spans="1:31" x14ac:dyDescent="0.25">
      <c r="A65" s="95">
        <v>58</v>
      </c>
      <c r="B65" s="89">
        <v>18.221</v>
      </c>
      <c r="C65" s="89">
        <v>16.167000000000002</v>
      </c>
      <c r="D65" s="89">
        <v>14.339</v>
      </c>
      <c r="E65" s="89">
        <v>12.717000000000001</v>
      </c>
      <c r="F65" s="89">
        <v>11.278</v>
      </c>
      <c r="G65" s="89">
        <v>10.005000000000001</v>
      </c>
      <c r="H65" s="89">
        <v>8.8800000000000008</v>
      </c>
      <c r="I65" s="89">
        <v>7.8869999999999996</v>
      </c>
      <c r="J65" s="89">
        <v>7.0110000000000001</v>
      </c>
      <c r="K65" s="89">
        <v>6.2389999999999999</v>
      </c>
      <c r="L65" s="89">
        <v>5.5590000000000002</v>
      </c>
      <c r="M65" s="89">
        <v>4.9589999999999996</v>
      </c>
      <c r="N65" s="89">
        <v>4.43</v>
      </c>
      <c r="O65" s="89">
        <v>3.9620000000000002</v>
      </c>
      <c r="P65" s="89">
        <v>3.5489999999999999</v>
      </c>
      <c r="Q65" s="89">
        <v>3.1840000000000002</v>
      </c>
      <c r="R65" s="89">
        <v>2.859</v>
      </c>
      <c r="S65" s="89">
        <v>2.5710000000000002</v>
      </c>
      <c r="T65" s="89">
        <v>2.3140000000000001</v>
      </c>
      <c r="U65" s="89">
        <v>2.0859999999999999</v>
      </c>
      <c r="V65" s="89">
        <v>1.8819999999999999</v>
      </c>
      <c r="W65" s="89">
        <v>1.6990000000000001</v>
      </c>
      <c r="X65" s="89">
        <v>1.536</v>
      </c>
      <c r="Y65" s="89">
        <v>1.39</v>
      </c>
      <c r="Z65" s="89">
        <v>1.26</v>
      </c>
      <c r="AA65" s="89">
        <v>1.143</v>
      </c>
      <c r="AB65" s="89">
        <v>1.038</v>
      </c>
      <c r="AC65" s="89">
        <v>0.94299999999999995</v>
      </c>
      <c r="AD65" s="89">
        <v>0.85899999999999999</v>
      </c>
      <c r="AE65" s="89">
        <v>0.78300000000000003</v>
      </c>
    </row>
    <row r="66" spans="1:31" x14ac:dyDescent="0.25">
      <c r="A66" s="95">
        <v>59</v>
      </c>
      <c r="B66" s="89">
        <v>20.065999999999999</v>
      </c>
      <c r="C66" s="89">
        <v>17.794</v>
      </c>
      <c r="D66" s="89">
        <v>15.77</v>
      </c>
      <c r="E66" s="89">
        <v>13.971</v>
      </c>
      <c r="F66" s="89">
        <v>12.375999999999999</v>
      </c>
      <c r="G66" s="89">
        <v>10.962999999999999</v>
      </c>
      <c r="H66" s="89">
        <v>9.7149999999999999</v>
      </c>
      <c r="I66" s="89">
        <v>8.6140000000000008</v>
      </c>
      <c r="J66" s="89">
        <v>7.6429999999999998</v>
      </c>
      <c r="K66" s="89">
        <v>6.7880000000000003</v>
      </c>
      <c r="L66" s="89">
        <v>6.0350000000000001</v>
      </c>
      <c r="M66" s="89">
        <v>5.3719999999999999</v>
      </c>
      <c r="N66" s="89">
        <v>4.7880000000000003</v>
      </c>
      <c r="O66" s="89">
        <v>4.2720000000000002</v>
      </c>
      <c r="P66" s="89">
        <v>3.8180000000000001</v>
      </c>
      <c r="Q66" s="89">
        <v>3.4169999999999998</v>
      </c>
      <c r="R66" s="89">
        <v>3.0609999999999999</v>
      </c>
      <c r="S66" s="89">
        <v>2.746</v>
      </c>
      <c r="T66" s="89">
        <v>2.4660000000000002</v>
      </c>
      <c r="U66" s="89">
        <v>2.218</v>
      </c>
      <c r="V66" s="89">
        <v>1.996</v>
      </c>
      <c r="W66" s="89">
        <v>1.798</v>
      </c>
      <c r="X66" s="89">
        <v>1.623</v>
      </c>
      <c r="Y66" s="89">
        <v>1.466</v>
      </c>
      <c r="Z66" s="89">
        <v>1.3260000000000001</v>
      </c>
      <c r="AA66" s="89">
        <v>1.2</v>
      </c>
      <c r="AB66" s="89">
        <v>1.0880000000000001</v>
      </c>
      <c r="AC66" s="89">
        <v>0.98799999999999999</v>
      </c>
      <c r="AD66" s="89">
        <v>0.89800000000000002</v>
      </c>
      <c r="AE66" s="89">
        <v>0.81699999999999995</v>
      </c>
    </row>
    <row r="67" spans="1:31" x14ac:dyDescent="0.25">
      <c r="A67" s="95">
        <v>60</v>
      </c>
      <c r="B67" s="89">
        <v>22.132999999999999</v>
      </c>
      <c r="C67" s="89">
        <v>19.617999999999999</v>
      </c>
      <c r="D67" s="89">
        <v>17.375</v>
      </c>
      <c r="E67" s="89">
        <v>15.38</v>
      </c>
      <c r="F67" s="89">
        <v>13.609</v>
      </c>
      <c r="G67" s="89">
        <v>12.042</v>
      </c>
      <c r="H67" s="89">
        <v>10.656000000000001</v>
      </c>
      <c r="I67" s="89">
        <v>9.4329999999999998</v>
      </c>
      <c r="J67" s="89">
        <v>8.3550000000000004</v>
      </c>
      <c r="K67" s="89">
        <v>7.4059999999999997</v>
      </c>
      <c r="L67" s="89">
        <v>6.5709999999999997</v>
      </c>
      <c r="M67" s="89">
        <v>5.8369999999999997</v>
      </c>
      <c r="N67" s="89">
        <v>5.19</v>
      </c>
      <c r="O67" s="89">
        <v>4.6210000000000004</v>
      </c>
      <c r="P67" s="89">
        <v>4.12</v>
      </c>
      <c r="Q67" s="89">
        <v>3.6779999999999999</v>
      </c>
      <c r="R67" s="89">
        <v>3.2869999999999999</v>
      </c>
      <c r="S67" s="89">
        <v>2.9420000000000002</v>
      </c>
      <c r="T67" s="89">
        <v>2.6360000000000001</v>
      </c>
      <c r="U67" s="89">
        <v>2.3639999999999999</v>
      </c>
      <c r="V67" s="89">
        <v>2.1230000000000002</v>
      </c>
      <c r="W67" s="89">
        <v>1.9079999999999999</v>
      </c>
      <c r="X67" s="89">
        <v>1.718</v>
      </c>
      <c r="Y67" s="89">
        <v>1.5489999999999999</v>
      </c>
      <c r="Z67" s="89">
        <v>1.399</v>
      </c>
      <c r="AA67" s="89">
        <v>1.264</v>
      </c>
      <c r="AB67" s="89">
        <v>1.1439999999999999</v>
      </c>
      <c r="AC67" s="89">
        <v>1.036</v>
      </c>
      <c r="AD67" s="89">
        <v>0.94</v>
      </c>
      <c r="AE67" s="89">
        <v>0.85499999999999998</v>
      </c>
    </row>
    <row r="68" spans="1:31" x14ac:dyDescent="0.25">
      <c r="A68" s="95">
        <v>61</v>
      </c>
      <c r="B68" s="89">
        <v>24.449000000000002</v>
      </c>
      <c r="C68" s="89">
        <v>21.664000000000001</v>
      </c>
      <c r="D68" s="89">
        <v>19.177</v>
      </c>
      <c r="E68" s="89">
        <v>16.963000000000001</v>
      </c>
      <c r="F68" s="89">
        <v>14.997</v>
      </c>
      <c r="G68" s="89">
        <v>13.255000000000001</v>
      </c>
      <c r="H68" s="89">
        <v>11.715</v>
      </c>
      <c r="I68" s="89">
        <v>10.355</v>
      </c>
      <c r="J68" s="89">
        <v>9.157</v>
      </c>
      <c r="K68" s="89">
        <v>8.1029999999999998</v>
      </c>
      <c r="L68" s="89">
        <v>7.1749999999999998</v>
      </c>
      <c r="M68" s="89">
        <v>6.36</v>
      </c>
      <c r="N68" s="89">
        <v>5.6429999999999998</v>
      </c>
      <c r="O68" s="89">
        <v>5.0129999999999999</v>
      </c>
      <c r="P68" s="89">
        <v>4.4589999999999996</v>
      </c>
      <c r="Q68" s="89">
        <v>3.9710000000000001</v>
      </c>
      <c r="R68" s="89">
        <v>3.5409999999999999</v>
      </c>
      <c r="S68" s="89">
        <v>3.161</v>
      </c>
      <c r="T68" s="89">
        <v>2.8250000000000002</v>
      </c>
      <c r="U68" s="89">
        <v>2.5289999999999999</v>
      </c>
      <c r="V68" s="89">
        <v>2.2650000000000001</v>
      </c>
      <c r="W68" s="89">
        <v>2.0310000000000001</v>
      </c>
      <c r="X68" s="89">
        <v>1.825</v>
      </c>
      <c r="Y68" s="89">
        <v>1.6419999999999999</v>
      </c>
      <c r="Z68" s="89">
        <v>1.4790000000000001</v>
      </c>
      <c r="AA68" s="89">
        <v>1.3340000000000001</v>
      </c>
      <c r="AB68" s="89">
        <v>1.2050000000000001</v>
      </c>
      <c r="AC68" s="89">
        <v>1.0900000000000001</v>
      </c>
      <c r="AD68" s="89">
        <v>0.98699999999999999</v>
      </c>
      <c r="AE68" s="89">
        <v>0.89600000000000002</v>
      </c>
    </row>
    <row r="69" spans="1:31" x14ac:dyDescent="0.25">
      <c r="A69" s="95">
        <v>62</v>
      </c>
      <c r="B69" s="89">
        <v>27.045999999999999</v>
      </c>
      <c r="C69" s="89">
        <v>23.96</v>
      </c>
      <c r="D69" s="89">
        <v>21.201000000000001</v>
      </c>
      <c r="E69" s="89">
        <v>18.744</v>
      </c>
      <c r="F69" s="89">
        <v>16.559000000000001</v>
      </c>
      <c r="G69" s="89">
        <v>14.622</v>
      </c>
      <c r="H69" s="89">
        <v>12.907999999999999</v>
      </c>
      <c r="I69" s="89">
        <v>11.395</v>
      </c>
      <c r="J69" s="89">
        <v>10.061999999999999</v>
      </c>
      <c r="K69" s="89">
        <v>8.8889999999999993</v>
      </c>
      <c r="L69" s="89">
        <v>7.8570000000000002</v>
      </c>
      <c r="M69" s="89">
        <v>6.9509999999999996</v>
      </c>
      <c r="N69" s="89">
        <v>6.1550000000000002</v>
      </c>
      <c r="O69" s="89">
        <v>5.4550000000000001</v>
      </c>
      <c r="P69" s="89">
        <v>4.8410000000000002</v>
      </c>
      <c r="Q69" s="89">
        <v>4.3010000000000002</v>
      </c>
      <c r="R69" s="89">
        <v>3.8260000000000001</v>
      </c>
      <c r="S69" s="89">
        <v>3.407</v>
      </c>
      <c r="T69" s="89">
        <v>3.0379999999999998</v>
      </c>
      <c r="U69" s="89">
        <v>2.7120000000000002</v>
      </c>
      <c r="V69" s="89">
        <v>2.4239999999999999</v>
      </c>
      <c r="W69" s="89">
        <v>2.1680000000000001</v>
      </c>
      <c r="X69" s="89">
        <v>1.944</v>
      </c>
      <c r="Y69" s="89">
        <v>1.7450000000000001</v>
      </c>
      <c r="Z69" s="89">
        <v>1.5680000000000001</v>
      </c>
      <c r="AA69" s="89">
        <v>1.4119999999999999</v>
      </c>
      <c r="AB69" s="89">
        <v>1.2729999999999999</v>
      </c>
      <c r="AC69" s="89">
        <v>1.149</v>
      </c>
      <c r="AD69" s="89">
        <v>1.0389999999999999</v>
      </c>
      <c r="AE69" s="89">
        <v>0.94099999999999995</v>
      </c>
    </row>
    <row r="70" spans="1:31" x14ac:dyDescent="0.25">
      <c r="A70" s="95">
        <v>63</v>
      </c>
      <c r="B70" s="89">
        <v>29.957999999999998</v>
      </c>
      <c r="C70" s="89">
        <v>26.539000000000001</v>
      </c>
      <c r="D70" s="89">
        <v>23.477</v>
      </c>
      <c r="E70" s="89">
        <v>20.748000000000001</v>
      </c>
      <c r="F70" s="89">
        <v>18.318000000000001</v>
      </c>
      <c r="G70" s="89">
        <v>16.163</v>
      </c>
      <c r="H70" s="89">
        <v>14.255000000000001</v>
      </c>
      <c r="I70" s="89">
        <v>12.569000000000001</v>
      </c>
      <c r="J70" s="89">
        <v>11.083</v>
      </c>
      <c r="K70" s="89">
        <v>9.7769999999999992</v>
      </c>
      <c r="L70" s="89">
        <v>8.6280000000000001</v>
      </c>
      <c r="M70" s="89">
        <v>7.6180000000000003</v>
      </c>
      <c r="N70" s="89">
        <v>6.7320000000000002</v>
      </c>
      <c r="O70" s="89">
        <v>5.9550000000000001</v>
      </c>
      <c r="P70" s="89">
        <v>5.2720000000000002</v>
      </c>
      <c r="Q70" s="89">
        <v>4.6740000000000004</v>
      </c>
      <c r="R70" s="89">
        <v>4.1479999999999997</v>
      </c>
      <c r="S70" s="89">
        <v>3.6850000000000001</v>
      </c>
      <c r="T70" s="89">
        <v>3.2770000000000001</v>
      </c>
      <c r="U70" s="89">
        <v>2.919</v>
      </c>
      <c r="V70" s="89">
        <v>2.6019999999999999</v>
      </c>
      <c r="W70" s="89">
        <v>2.3220000000000001</v>
      </c>
      <c r="X70" s="89">
        <v>2.0760000000000001</v>
      </c>
      <c r="Y70" s="89">
        <v>1.859</v>
      </c>
      <c r="Z70" s="89">
        <v>1.6679999999999999</v>
      </c>
      <c r="AA70" s="89">
        <v>1.498</v>
      </c>
      <c r="AB70" s="89">
        <v>1.347</v>
      </c>
      <c r="AC70" s="89">
        <v>1.214</v>
      </c>
      <c r="AD70" s="89">
        <v>1.0960000000000001</v>
      </c>
      <c r="AE70" s="89">
        <v>0.99099999999999999</v>
      </c>
    </row>
    <row r="71" spans="1:31" x14ac:dyDescent="0.25">
      <c r="A71" s="95">
        <v>64</v>
      </c>
      <c r="B71" s="89">
        <v>33.228000000000002</v>
      </c>
      <c r="C71" s="89">
        <v>29.437000000000001</v>
      </c>
      <c r="D71" s="89">
        <v>26.038</v>
      </c>
      <c r="E71" s="89">
        <v>23.004000000000001</v>
      </c>
      <c r="F71" s="89">
        <v>20.302</v>
      </c>
      <c r="G71" s="89">
        <v>17.901</v>
      </c>
      <c r="H71" s="89">
        <v>15.775</v>
      </c>
      <c r="I71" s="89">
        <v>13.896000000000001</v>
      </c>
      <c r="J71" s="89">
        <v>12.239000000000001</v>
      </c>
      <c r="K71" s="89">
        <v>10.781000000000001</v>
      </c>
      <c r="L71" s="89">
        <v>9.4990000000000006</v>
      </c>
      <c r="M71" s="89">
        <v>8.3740000000000006</v>
      </c>
      <c r="N71" s="89">
        <v>7.3860000000000001</v>
      </c>
      <c r="O71" s="89">
        <v>6.52</v>
      </c>
      <c r="P71" s="89">
        <v>5.76</v>
      </c>
      <c r="Q71" s="89">
        <v>5.0949999999999998</v>
      </c>
      <c r="R71" s="89">
        <v>4.5110000000000001</v>
      </c>
      <c r="S71" s="89">
        <v>3.9980000000000002</v>
      </c>
      <c r="T71" s="89">
        <v>3.5470000000000002</v>
      </c>
      <c r="U71" s="89">
        <v>3.1509999999999998</v>
      </c>
      <c r="V71" s="89">
        <v>2.802</v>
      </c>
      <c r="W71" s="89">
        <v>2.4940000000000002</v>
      </c>
      <c r="X71" s="89">
        <v>2.2250000000000001</v>
      </c>
      <c r="Y71" s="89">
        <v>1.988</v>
      </c>
      <c r="Z71" s="89">
        <v>1.778</v>
      </c>
      <c r="AA71" s="89">
        <v>1.5940000000000001</v>
      </c>
      <c r="AB71" s="89">
        <v>1.431</v>
      </c>
      <c r="AC71" s="89">
        <v>1.286</v>
      </c>
      <c r="AD71" s="89">
        <v>1.159</v>
      </c>
      <c r="AE71" s="89">
        <v>1.046</v>
      </c>
    </row>
    <row r="72" spans="1:31" x14ac:dyDescent="0.25">
      <c r="A72" s="95">
        <v>65</v>
      </c>
      <c r="B72" s="89">
        <v>36.904000000000003</v>
      </c>
      <c r="C72" s="89">
        <v>32.698</v>
      </c>
      <c r="D72" s="89">
        <v>28.922999999999998</v>
      </c>
      <c r="E72" s="89">
        <v>25.548999999999999</v>
      </c>
      <c r="F72" s="89">
        <v>22.54</v>
      </c>
      <c r="G72" s="89">
        <v>19.864999999999998</v>
      </c>
      <c r="H72" s="89">
        <v>17.494</v>
      </c>
      <c r="I72" s="89">
        <v>15.397</v>
      </c>
      <c r="J72" s="89">
        <v>13.545999999999999</v>
      </c>
      <c r="K72" s="89">
        <v>11.917999999999999</v>
      </c>
      <c r="L72" s="89">
        <v>10.487</v>
      </c>
      <c r="M72" s="89">
        <v>9.23</v>
      </c>
      <c r="N72" s="89">
        <v>8.1270000000000007</v>
      </c>
      <c r="O72" s="89">
        <v>7.16</v>
      </c>
      <c r="P72" s="89">
        <v>6.3129999999999997</v>
      </c>
      <c r="Q72" s="89">
        <v>5.5720000000000001</v>
      </c>
      <c r="R72" s="89">
        <v>4.9219999999999997</v>
      </c>
      <c r="S72" s="89">
        <v>4.3520000000000003</v>
      </c>
      <c r="T72" s="89">
        <v>3.851</v>
      </c>
      <c r="U72" s="89">
        <v>3.4129999999999998</v>
      </c>
      <c r="V72" s="89">
        <v>3.0270000000000001</v>
      </c>
      <c r="W72" s="89">
        <v>2.6869999999999998</v>
      </c>
      <c r="X72" s="89">
        <v>2.391</v>
      </c>
      <c r="Y72" s="89">
        <v>2.1309999999999998</v>
      </c>
      <c r="Z72" s="89">
        <v>1.9019999999999999</v>
      </c>
      <c r="AA72" s="89">
        <v>1.7010000000000001</v>
      </c>
      <c r="AB72" s="89">
        <v>1.5229999999999999</v>
      </c>
      <c r="AC72" s="89">
        <v>1.367</v>
      </c>
      <c r="AD72" s="89">
        <v>1.2290000000000001</v>
      </c>
      <c r="AE72" s="89">
        <v>1.107</v>
      </c>
    </row>
    <row r="73" spans="1:31" x14ac:dyDescent="0.25">
      <c r="A73" s="95">
        <v>66</v>
      </c>
      <c r="B73" s="89">
        <v>41.042999999999999</v>
      </c>
      <c r="C73" s="89">
        <v>36.372999999999998</v>
      </c>
      <c r="D73" s="89">
        <v>32.177</v>
      </c>
      <c r="E73" s="89">
        <v>28.422000000000001</v>
      </c>
      <c r="F73" s="89">
        <v>25.068999999999999</v>
      </c>
      <c r="G73" s="89">
        <v>22.087</v>
      </c>
      <c r="H73" s="89">
        <v>19.439</v>
      </c>
      <c r="I73" s="89">
        <v>17.097000000000001</v>
      </c>
      <c r="J73" s="89">
        <v>15.029</v>
      </c>
      <c r="K73" s="89">
        <v>13.209</v>
      </c>
      <c r="L73" s="89">
        <v>11.608000000000001</v>
      </c>
      <c r="M73" s="89">
        <v>10.202</v>
      </c>
      <c r="N73" s="89">
        <v>8.9689999999999994</v>
      </c>
      <c r="O73" s="89">
        <v>7.8879999999999999</v>
      </c>
      <c r="P73" s="89">
        <v>6.9409999999999998</v>
      </c>
      <c r="Q73" s="89">
        <v>6.1139999999999999</v>
      </c>
      <c r="R73" s="89">
        <v>5.3890000000000002</v>
      </c>
      <c r="S73" s="89">
        <v>4.7530000000000001</v>
      </c>
      <c r="T73" s="89">
        <v>4.1959999999999997</v>
      </c>
      <c r="U73" s="89">
        <v>3.7090000000000001</v>
      </c>
      <c r="V73" s="89">
        <v>3.282</v>
      </c>
      <c r="W73" s="89">
        <v>2.9060000000000001</v>
      </c>
      <c r="X73" s="89">
        <v>2.5790000000000002</v>
      </c>
      <c r="Y73" s="89">
        <v>2.2930000000000001</v>
      </c>
      <c r="Z73" s="89">
        <v>2.0409999999999999</v>
      </c>
      <c r="AA73" s="89">
        <v>1.821</v>
      </c>
      <c r="AB73" s="89">
        <v>1.627</v>
      </c>
      <c r="AC73" s="89">
        <v>1.456</v>
      </c>
      <c r="AD73" s="89">
        <v>1.306</v>
      </c>
      <c r="AE73" s="89">
        <v>1.175</v>
      </c>
    </row>
    <row r="74" spans="1:31" x14ac:dyDescent="0.25">
      <c r="A74" s="95">
        <v>67</v>
      </c>
      <c r="B74" s="89">
        <v>45.710999999999999</v>
      </c>
      <c r="C74" s="89">
        <v>40.521999999999998</v>
      </c>
      <c r="D74" s="89">
        <v>35.853000000000002</v>
      </c>
      <c r="E74" s="89">
        <v>31.67</v>
      </c>
      <c r="F74" s="89">
        <v>27.931999999999999</v>
      </c>
      <c r="G74" s="89">
        <v>24.603000000000002</v>
      </c>
      <c r="H74" s="89">
        <v>21.645</v>
      </c>
      <c r="I74" s="89">
        <v>19.026</v>
      </c>
      <c r="J74" s="89">
        <v>16.713000000000001</v>
      </c>
      <c r="K74" s="89">
        <v>14.675000000000001</v>
      </c>
      <c r="L74" s="89">
        <v>12.882</v>
      </c>
      <c r="M74" s="89">
        <v>11.307</v>
      </c>
      <c r="N74" s="89">
        <v>9.9260000000000002</v>
      </c>
      <c r="O74" s="89">
        <v>8.7159999999999993</v>
      </c>
      <c r="P74" s="89">
        <v>7.6559999999999997</v>
      </c>
      <c r="Q74" s="89">
        <v>6.73</v>
      </c>
      <c r="R74" s="89">
        <v>5.92</v>
      </c>
      <c r="S74" s="89">
        <v>5.2089999999999996</v>
      </c>
      <c r="T74" s="89">
        <v>4.5880000000000001</v>
      </c>
      <c r="U74" s="89">
        <v>4.0449999999999999</v>
      </c>
      <c r="V74" s="89">
        <v>3.57</v>
      </c>
      <c r="W74" s="89">
        <v>3.153</v>
      </c>
      <c r="X74" s="89">
        <v>2.7909999999999999</v>
      </c>
      <c r="Y74" s="89">
        <v>2.4750000000000001</v>
      </c>
      <c r="Z74" s="89">
        <v>2.198</v>
      </c>
      <c r="AA74" s="89">
        <v>1.9550000000000001</v>
      </c>
      <c r="AB74" s="89">
        <v>1.7430000000000001</v>
      </c>
      <c r="AC74" s="89">
        <v>1.5569999999999999</v>
      </c>
      <c r="AD74" s="89">
        <v>1.393</v>
      </c>
      <c r="AE74" s="89">
        <v>1.25</v>
      </c>
    </row>
    <row r="75" spans="1:31" x14ac:dyDescent="0.25">
      <c r="A75" s="95">
        <v>68</v>
      </c>
      <c r="B75" s="89">
        <v>50.984000000000002</v>
      </c>
      <c r="C75" s="89">
        <v>45.212000000000003</v>
      </c>
      <c r="D75" s="89">
        <v>40.012</v>
      </c>
      <c r="E75" s="89">
        <v>35.348999999999997</v>
      </c>
      <c r="F75" s="89">
        <v>31.177</v>
      </c>
      <c r="G75" s="89">
        <v>27.457000000000001</v>
      </c>
      <c r="H75" s="89">
        <v>24.15</v>
      </c>
      <c r="I75" s="89">
        <v>21.219000000000001</v>
      </c>
      <c r="J75" s="89">
        <v>18.626999999999999</v>
      </c>
      <c r="K75" s="89">
        <v>16.344000000000001</v>
      </c>
      <c r="L75" s="89">
        <v>14.334</v>
      </c>
      <c r="M75" s="89">
        <v>12.567</v>
      </c>
      <c r="N75" s="89">
        <v>11.016999999999999</v>
      </c>
      <c r="O75" s="89">
        <v>9.6590000000000007</v>
      </c>
      <c r="P75" s="89">
        <v>8.4710000000000001</v>
      </c>
      <c r="Q75" s="89">
        <v>7.4329999999999998</v>
      </c>
      <c r="R75" s="89">
        <v>6.5250000000000004</v>
      </c>
      <c r="S75" s="89">
        <v>5.7290000000000001</v>
      </c>
      <c r="T75" s="89">
        <v>5.0350000000000001</v>
      </c>
      <c r="U75" s="89">
        <v>4.4279999999999999</v>
      </c>
      <c r="V75" s="89">
        <v>3.8980000000000001</v>
      </c>
      <c r="W75" s="89">
        <v>3.4340000000000002</v>
      </c>
      <c r="X75" s="89">
        <v>3.032</v>
      </c>
      <c r="Y75" s="89">
        <v>2.681</v>
      </c>
      <c r="Z75" s="89">
        <v>2.375</v>
      </c>
      <c r="AA75" s="89">
        <v>2.1070000000000002</v>
      </c>
      <c r="AB75" s="89">
        <v>1.8740000000000001</v>
      </c>
      <c r="AC75" s="89">
        <v>1.669</v>
      </c>
      <c r="AD75" s="89">
        <v>1.4910000000000001</v>
      </c>
      <c r="AE75" s="89">
        <v>1.3340000000000001</v>
      </c>
    </row>
    <row r="76" spans="1:31" x14ac:dyDescent="0.25">
      <c r="A76" s="95">
        <v>69</v>
      </c>
      <c r="B76" s="89">
        <v>56.954999999999998</v>
      </c>
      <c r="C76" s="89">
        <v>50.527000000000001</v>
      </c>
      <c r="D76" s="89">
        <v>44.728999999999999</v>
      </c>
      <c r="E76" s="89">
        <v>39.524000000000001</v>
      </c>
      <c r="F76" s="89">
        <v>34.862000000000002</v>
      </c>
      <c r="G76" s="89">
        <v>30.702000000000002</v>
      </c>
      <c r="H76" s="89">
        <v>26.998999999999999</v>
      </c>
      <c r="I76" s="89">
        <v>23.715</v>
      </c>
      <c r="J76" s="89">
        <v>20.808</v>
      </c>
      <c r="K76" s="89">
        <v>18.245999999999999</v>
      </c>
      <c r="L76" s="89">
        <v>15.989000000000001</v>
      </c>
      <c r="M76" s="89">
        <v>14.005000000000001</v>
      </c>
      <c r="N76" s="89">
        <v>12.263999999999999</v>
      </c>
      <c r="O76" s="89">
        <v>10.738</v>
      </c>
      <c r="P76" s="89">
        <v>9.4030000000000005</v>
      </c>
      <c r="Q76" s="89">
        <v>8.2360000000000007</v>
      </c>
      <c r="R76" s="89">
        <v>7.2160000000000002</v>
      </c>
      <c r="S76" s="89">
        <v>6.3230000000000004</v>
      </c>
      <c r="T76" s="89">
        <v>5.5449999999999999</v>
      </c>
      <c r="U76" s="89">
        <v>4.8650000000000002</v>
      </c>
      <c r="V76" s="89">
        <v>4.2720000000000002</v>
      </c>
      <c r="W76" s="89">
        <v>3.7530000000000001</v>
      </c>
      <c r="X76" s="89">
        <v>3.3050000000000002</v>
      </c>
      <c r="Y76" s="89">
        <v>2.915</v>
      </c>
      <c r="Z76" s="89">
        <v>2.5760000000000001</v>
      </c>
      <c r="AA76" s="89">
        <v>2.2789999999999999</v>
      </c>
      <c r="AB76" s="89">
        <v>2.0219999999999998</v>
      </c>
      <c r="AC76" s="89">
        <v>1.7969999999999999</v>
      </c>
      <c r="AD76" s="89">
        <v>1.6</v>
      </c>
      <c r="AE76" s="89">
        <v>1.429</v>
      </c>
    </row>
    <row r="77" spans="1:31" x14ac:dyDescent="0.25">
      <c r="A77" s="95">
        <v>70</v>
      </c>
      <c r="B77" s="89">
        <v>63.73</v>
      </c>
      <c r="C77" s="89">
        <v>56.561</v>
      </c>
      <c r="D77" s="89">
        <v>50.088000000000001</v>
      </c>
      <c r="E77" s="89">
        <v>44.271000000000001</v>
      </c>
      <c r="F77" s="89">
        <v>39.055999999999997</v>
      </c>
      <c r="G77" s="89">
        <v>34.396000000000001</v>
      </c>
      <c r="H77" s="89">
        <v>30.245999999999999</v>
      </c>
      <c r="I77" s="89">
        <v>26.561</v>
      </c>
      <c r="J77" s="89">
        <v>23.297999999999998</v>
      </c>
      <c r="K77" s="89">
        <v>20.419</v>
      </c>
      <c r="L77" s="89">
        <v>17.882000000000001</v>
      </c>
      <c r="M77" s="89">
        <v>15.65</v>
      </c>
      <c r="N77" s="89">
        <v>13.691000000000001</v>
      </c>
      <c r="O77" s="89">
        <v>11.973000000000001</v>
      </c>
      <c r="P77" s="89">
        <v>10.47</v>
      </c>
      <c r="Q77" s="89">
        <v>9.157</v>
      </c>
      <c r="R77" s="89">
        <v>8.0090000000000003</v>
      </c>
      <c r="S77" s="89">
        <v>7.0039999999999996</v>
      </c>
      <c r="T77" s="89">
        <v>6.1280000000000001</v>
      </c>
      <c r="U77" s="89">
        <v>5.3650000000000002</v>
      </c>
      <c r="V77" s="89">
        <v>4.7</v>
      </c>
      <c r="W77" s="89">
        <v>4.1180000000000003</v>
      </c>
      <c r="X77" s="89">
        <v>3.617</v>
      </c>
      <c r="Y77" s="89">
        <v>3.1819999999999999</v>
      </c>
      <c r="Z77" s="89">
        <v>2.8039999999999998</v>
      </c>
      <c r="AA77" s="89">
        <v>2.4750000000000001</v>
      </c>
      <c r="AB77" s="89">
        <v>2.1890000000000001</v>
      </c>
      <c r="AC77" s="89">
        <v>1.9410000000000001</v>
      </c>
      <c r="AD77" s="89">
        <v>1.724</v>
      </c>
      <c r="AE77" s="89">
        <v>1.536</v>
      </c>
    </row>
    <row r="78" spans="1:31" x14ac:dyDescent="0.25">
      <c r="A78" s="95">
        <v>71</v>
      </c>
      <c r="B78" s="89">
        <v>71.421999999999997</v>
      </c>
      <c r="C78" s="89">
        <v>63.417000000000002</v>
      </c>
      <c r="D78" s="89">
        <v>56.18</v>
      </c>
      <c r="E78" s="89">
        <v>49.670999999999999</v>
      </c>
      <c r="F78" s="89">
        <v>43.828000000000003</v>
      </c>
      <c r="G78" s="89">
        <v>38.603999999999999</v>
      </c>
      <c r="H78" s="89">
        <v>33.945999999999998</v>
      </c>
      <c r="I78" s="89">
        <v>29.806999999999999</v>
      </c>
      <c r="J78" s="89">
        <v>26.138999999999999</v>
      </c>
      <c r="K78" s="89">
        <v>22.901</v>
      </c>
      <c r="L78" s="89">
        <v>20.045000000000002</v>
      </c>
      <c r="M78" s="89">
        <v>17.530999999999999</v>
      </c>
      <c r="N78" s="89">
        <v>15.324</v>
      </c>
      <c r="O78" s="89">
        <v>13.387</v>
      </c>
      <c r="P78" s="89">
        <v>11.692</v>
      </c>
      <c r="Q78" s="89">
        <v>10.212</v>
      </c>
      <c r="R78" s="89">
        <v>8.9169999999999998</v>
      </c>
      <c r="S78" s="89">
        <v>7.7839999999999998</v>
      </c>
      <c r="T78" s="89">
        <v>6.7969999999999997</v>
      </c>
      <c r="U78" s="89">
        <v>5.9379999999999997</v>
      </c>
      <c r="V78" s="89">
        <v>5.19</v>
      </c>
      <c r="W78" s="89">
        <v>4.5359999999999996</v>
      </c>
      <c r="X78" s="89">
        <v>3.9740000000000002</v>
      </c>
      <c r="Y78" s="89">
        <v>3.4860000000000002</v>
      </c>
      <c r="Z78" s="89">
        <v>3.0640000000000001</v>
      </c>
      <c r="AA78" s="89">
        <v>2.6970000000000001</v>
      </c>
      <c r="AB78" s="89">
        <v>2.379</v>
      </c>
      <c r="AC78" s="89">
        <v>2.1040000000000001</v>
      </c>
      <c r="AD78" s="89">
        <v>1.8640000000000001</v>
      </c>
      <c r="AE78" s="89">
        <v>1.657</v>
      </c>
    </row>
    <row r="79" spans="1:31" x14ac:dyDescent="0.25">
      <c r="A79" s="95">
        <v>72</v>
      </c>
      <c r="B79" s="89">
        <v>80.171000000000006</v>
      </c>
      <c r="C79" s="89">
        <v>71.218000000000004</v>
      </c>
      <c r="D79" s="89">
        <v>63.115000000000002</v>
      </c>
      <c r="E79" s="89">
        <v>55.820999999999998</v>
      </c>
      <c r="F79" s="89">
        <v>49.268000000000001</v>
      </c>
      <c r="G79" s="89">
        <v>43.402999999999999</v>
      </c>
      <c r="H79" s="89">
        <v>38.167999999999999</v>
      </c>
      <c r="I79" s="89">
        <v>33.514000000000003</v>
      </c>
      <c r="J79" s="89">
        <v>29.385999999999999</v>
      </c>
      <c r="K79" s="89">
        <v>25.74</v>
      </c>
      <c r="L79" s="89">
        <v>22.521000000000001</v>
      </c>
      <c r="M79" s="89">
        <v>19.686</v>
      </c>
      <c r="N79" s="89">
        <v>17.195</v>
      </c>
      <c r="O79" s="89">
        <v>15.009</v>
      </c>
      <c r="P79" s="89">
        <v>13.093999999999999</v>
      </c>
      <c r="Q79" s="89">
        <v>11.422000000000001</v>
      </c>
      <c r="R79" s="89">
        <v>9.9589999999999996</v>
      </c>
      <c r="S79" s="89">
        <v>8.68</v>
      </c>
      <c r="T79" s="89">
        <v>7.5650000000000004</v>
      </c>
      <c r="U79" s="89">
        <v>6.5949999999999998</v>
      </c>
      <c r="V79" s="89">
        <v>5.7510000000000003</v>
      </c>
      <c r="W79" s="89">
        <v>5.0140000000000002</v>
      </c>
      <c r="X79" s="89">
        <v>4.3819999999999997</v>
      </c>
      <c r="Y79" s="89">
        <v>3.8340000000000001</v>
      </c>
      <c r="Z79" s="89">
        <v>3.3610000000000002</v>
      </c>
      <c r="AA79" s="89">
        <v>2.95</v>
      </c>
      <c r="AB79" s="89">
        <v>2.5960000000000001</v>
      </c>
      <c r="AC79" s="89">
        <v>2.2890000000000001</v>
      </c>
      <c r="AD79" s="89">
        <v>2.0230000000000001</v>
      </c>
      <c r="AE79" s="89">
        <v>1.7929999999999999</v>
      </c>
    </row>
    <row r="80" spans="1:31" x14ac:dyDescent="0.25">
      <c r="A80" s="95">
        <v>73</v>
      </c>
      <c r="B80" s="89">
        <v>90.156000000000006</v>
      </c>
      <c r="C80" s="89">
        <v>80.126000000000005</v>
      </c>
      <c r="D80" s="89">
        <v>71.039000000000001</v>
      </c>
      <c r="E80" s="89">
        <v>62.850999999999999</v>
      </c>
      <c r="F80" s="89">
        <v>55.488</v>
      </c>
      <c r="G80" s="89">
        <v>48.893000000000001</v>
      </c>
      <c r="H80" s="89">
        <v>43.003</v>
      </c>
      <c r="I80" s="89">
        <v>37.761000000000003</v>
      </c>
      <c r="J80" s="89">
        <v>33.107999999999997</v>
      </c>
      <c r="K80" s="89">
        <v>28.995999999999999</v>
      </c>
      <c r="L80" s="89">
        <v>25.363</v>
      </c>
      <c r="M80" s="89">
        <v>22.161000000000001</v>
      </c>
      <c r="N80" s="89">
        <v>19.346</v>
      </c>
      <c r="O80" s="89">
        <v>16.873999999999999</v>
      </c>
      <c r="P80" s="89">
        <v>14.708</v>
      </c>
      <c r="Q80" s="89">
        <v>12.816000000000001</v>
      </c>
      <c r="R80" s="89">
        <v>11.16</v>
      </c>
      <c r="S80" s="89">
        <v>9.7110000000000003</v>
      </c>
      <c r="T80" s="89">
        <v>8.4489999999999998</v>
      </c>
      <c r="U80" s="89">
        <v>7.351</v>
      </c>
      <c r="V80" s="89">
        <v>6.3970000000000002</v>
      </c>
      <c r="W80" s="89">
        <v>5.5640000000000001</v>
      </c>
      <c r="X80" s="89">
        <v>4.8499999999999996</v>
      </c>
      <c r="Y80" s="89">
        <v>4.234</v>
      </c>
      <c r="Z80" s="89">
        <v>3.7010000000000001</v>
      </c>
      <c r="AA80" s="89">
        <v>3.24</v>
      </c>
      <c r="AB80" s="89">
        <v>2.843</v>
      </c>
      <c r="AC80" s="89">
        <v>2.5</v>
      </c>
      <c r="AD80" s="89">
        <v>2.2040000000000002</v>
      </c>
      <c r="AE80" s="89">
        <v>1.9490000000000001</v>
      </c>
    </row>
    <row r="81" spans="1:31" x14ac:dyDescent="0.25">
      <c r="A81" s="95">
        <v>74</v>
      </c>
      <c r="B81" s="89">
        <v>101.59399999999999</v>
      </c>
      <c r="C81" s="89">
        <v>90.334000000000003</v>
      </c>
      <c r="D81" s="89">
        <v>80.122</v>
      </c>
      <c r="E81" s="89">
        <v>70.914000000000001</v>
      </c>
      <c r="F81" s="89">
        <v>62.625</v>
      </c>
      <c r="G81" s="89">
        <v>55.195999999999998</v>
      </c>
      <c r="H81" s="89">
        <v>48.554000000000002</v>
      </c>
      <c r="I81" s="89">
        <v>42.64</v>
      </c>
      <c r="J81" s="89">
        <v>37.387</v>
      </c>
      <c r="K81" s="89">
        <v>32.741999999999997</v>
      </c>
      <c r="L81" s="89">
        <v>28.635000000000002</v>
      </c>
      <c r="M81" s="89">
        <v>25.013000000000002</v>
      </c>
      <c r="N81" s="89">
        <v>21.826000000000001</v>
      </c>
      <c r="O81" s="89">
        <v>19.026</v>
      </c>
      <c r="P81" s="89">
        <v>16.571000000000002</v>
      </c>
      <c r="Q81" s="89">
        <v>14.426</v>
      </c>
      <c r="R81" s="89">
        <v>12.547000000000001</v>
      </c>
      <c r="S81" s="89">
        <v>10.903</v>
      </c>
      <c r="T81" s="89">
        <v>9.4719999999999995</v>
      </c>
      <c r="U81" s="89">
        <v>8.2260000000000009</v>
      </c>
      <c r="V81" s="89">
        <v>7.1429999999999998</v>
      </c>
      <c r="W81" s="89">
        <v>6.1989999999999998</v>
      </c>
      <c r="X81" s="89">
        <v>5.391</v>
      </c>
      <c r="Y81" s="89">
        <v>4.694</v>
      </c>
      <c r="Z81" s="89">
        <v>4.0919999999999996</v>
      </c>
      <c r="AA81" s="89">
        <v>3.5739999999999998</v>
      </c>
      <c r="AB81" s="89">
        <v>3.1269999999999998</v>
      </c>
      <c r="AC81" s="89">
        <v>2.7429999999999999</v>
      </c>
      <c r="AD81" s="89">
        <v>2.411</v>
      </c>
      <c r="AE81" s="89">
        <v>2.1259999999999999</v>
      </c>
    </row>
    <row r="82" spans="1:31" x14ac:dyDescent="0.25">
      <c r="A82" s="95">
        <v>75</v>
      </c>
      <c r="B82" s="89">
        <v>114.729</v>
      </c>
      <c r="C82" s="89">
        <v>102.063</v>
      </c>
      <c r="D82" s="89">
        <v>90.561999999999998</v>
      </c>
      <c r="E82" s="89">
        <v>80.183999999999997</v>
      </c>
      <c r="F82" s="89">
        <v>70.834999999999994</v>
      </c>
      <c r="G82" s="89">
        <v>62.448</v>
      </c>
      <c r="H82" s="89">
        <v>54.945</v>
      </c>
      <c r="I82" s="89">
        <v>48.26</v>
      </c>
      <c r="J82" s="89">
        <v>42.317</v>
      </c>
      <c r="K82" s="89">
        <v>37.06</v>
      </c>
      <c r="L82" s="89">
        <v>32.409999999999997</v>
      </c>
      <c r="M82" s="89">
        <v>28.305</v>
      </c>
      <c r="N82" s="89">
        <v>24.690999999999999</v>
      </c>
      <c r="O82" s="89">
        <v>21.513000000000002</v>
      </c>
      <c r="P82" s="89">
        <v>18.725999999999999</v>
      </c>
      <c r="Q82" s="89">
        <v>16.289000000000001</v>
      </c>
      <c r="R82" s="89">
        <v>14.154</v>
      </c>
      <c r="S82" s="89">
        <v>12.285</v>
      </c>
      <c r="T82" s="89">
        <v>10.656000000000001</v>
      </c>
      <c r="U82" s="89">
        <v>9.2379999999999995</v>
      </c>
      <c r="V82" s="89">
        <v>8.0069999999999997</v>
      </c>
      <c r="W82" s="89">
        <v>6.9329999999999998</v>
      </c>
      <c r="X82" s="89">
        <v>6.016</v>
      </c>
      <c r="Y82" s="89">
        <v>5.2249999999999996</v>
      </c>
      <c r="Z82" s="89">
        <v>4.5449999999999999</v>
      </c>
      <c r="AA82" s="89">
        <v>3.9580000000000002</v>
      </c>
      <c r="AB82" s="89">
        <v>3.4540000000000002</v>
      </c>
      <c r="AC82" s="89">
        <v>3.0209999999999999</v>
      </c>
      <c r="AD82" s="89">
        <v>2.649</v>
      </c>
      <c r="AE82" s="89">
        <v>2.3290000000000002</v>
      </c>
    </row>
    <row r="83" spans="1:31" x14ac:dyDescent="0.25">
      <c r="A83" s="95">
        <v>76</v>
      </c>
      <c r="B83" s="89">
        <v>129.86199999999999</v>
      </c>
      <c r="C83" s="89">
        <v>115.581</v>
      </c>
      <c r="D83" s="89">
        <v>102.599</v>
      </c>
      <c r="E83" s="89">
        <v>90.875</v>
      </c>
      <c r="F83" s="89">
        <v>80.305000000000007</v>
      </c>
      <c r="G83" s="89">
        <v>70.816000000000003</v>
      </c>
      <c r="H83" s="89">
        <v>62.322000000000003</v>
      </c>
      <c r="I83" s="89">
        <v>54.749000000000002</v>
      </c>
      <c r="J83" s="89">
        <v>48.014000000000003</v>
      </c>
      <c r="K83" s="89">
        <v>42.052999999999997</v>
      </c>
      <c r="L83" s="89">
        <v>36.776000000000003</v>
      </c>
      <c r="M83" s="89">
        <v>32.115000000000002</v>
      </c>
      <c r="N83" s="89">
        <v>28.009</v>
      </c>
      <c r="O83" s="89">
        <v>24.396999999999998</v>
      </c>
      <c r="P83" s="89">
        <v>21.225999999999999</v>
      </c>
      <c r="Q83" s="89">
        <v>18.452000000000002</v>
      </c>
      <c r="R83" s="89">
        <v>16.02</v>
      </c>
      <c r="S83" s="89">
        <v>13.888999999999999</v>
      </c>
      <c r="T83" s="89">
        <v>12.032</v>
      </c>
      <c r="U83" s="89">
        <v>10.414999999999999</v>
      </c>
      <c r="V83" s="89">
        <v>9.0109999999999992</v>
      </c>
      <c r="W83" s="89">
        <v>7.7859999999999996</v>
      </c>
      <c r="X83" s="89">
        <v>6.742</v>
      </c>
      <c r="Y83" s="89">
        <v>5.8419999999999996</v>
      </c>
      <c r="Z83" s="89">
        <v>5.0679999999999996</v>
      </c>
      <c r="AA83" s="89">
        <v>4.4029999999999996</v>
      </c>
      <c r="AB83" s="89">
        <v>3.8319999999999999</v>
      </c>
      <c r="AC83" s="89">
        <v>3.343</v>
      </c>
      <c r="AD83" s="89">
        <v>2.923</v>
      </c>
      <c r="AE83" s="89">
        <v>2.5630000000000002</v>
      </c>
    </row>
    <row r="84" spans="1:31" x14ac:dyDescent="0.25">
      <c r="A84" s="95">
        <v>77</v>
      </c>
      <c r="B84" s="89">
        <v>147.35</v>
      </c>
      <c r="C84" s="89">
        <v>131.208</v>
      </c>
      <c r="D84" s="89">
        <v>116.51900000000001</v>
      </c>
      <c r="E84" s="89">
        <v>103.242</v>
      </c>
      <c r="F84" s="89">
        <v>91.263000000000005</v>
      </c>
      <c r="G84" s="89">
        <v>80.501000000000005</v>
      </c>
      <c r="H84" s="89">
        <v>70.861999999999995</v>
      </c>
      <c r="I84" s="89">
        <v>62.264000000000003</v>
      </c>
      <c r="J84" s="89">
        <v>54.613</v>
      </c>
      <c r="K84" s="89">
        <v>47.838999999999999</v>
      </c>
      <c r="L84" s="89">
        <v>41.838999999999999</v>
      </c>
      <c r="M84" s="89">
        <v>36.536000000000001</v>
      </c>
      <c r="N84" s="89">
        <v>31.861999999999998</v>
      </c>
      <c r="O84" s="89">
        <v>27.745999999999999</v>
      </c>
      <c r="P84" s="89">
        <v>24.132000000000001</v>
      </c>
      <c r="Q84" s="89">
        <v>20.968</v>
      </c>
      <c r="R84" s="89">
        <v>18.193000000000001</v>
      </c>
      <c r="S84" s="89">
        <v>15.757999999999999</v>
      </c>
      <c r="T84" s="89">
        <v>13.635</v>
      </c>
      <c r="U84" s="89">
        <v>11.786</v>
      </c>
      <c r="V84" s="89">
        <v>10.180999999999999</v>
      </c>
      <c r="W84" s="89">
        <v>8.7799999999999994</v>
      </c>
      <c r="X84" s="89">
        <v>7.5860000000000003</v>
      </c>
      <c r="Y84" s="89">
        <v>6.5590000000000002</v>
      </c>
      <c r="Z84" s="89">
        <v>5.6760000000000002</v>
      </c>
      <c r="AA84" s="89">
        <v>4.9189999999999996</v>
      </c>
      <c r="AB84" s="89">
        <v>4.2699999999999996</v>
      </c>
      <c r="AC84" s="89">
        <v>3.7149999999999999</v>
      </c>
      <c r="AD84" s="89">
        <v>3.24</v>
      </c>
      <c r="AE84" s="89">
        <v>2.8330000000000002</v>
      </c>
    </row>
    <row r="85" spans="1:31" x14ac:dyDescent="0.25">
      <c r="A85" s="95">
        <v>78</v>
      </c>
      <c r="B85" s="89">
        <v>167.59700000000001</v>
      </c>
      <c r="C85" s="89">
        <v>149.31</v>
      </c>
      <c r="D85" s="89">
        <v>132.649</v>
      </c>
      <c r="E85" s="89">
        <v>117.577</v>
      </c>
      <c r="F85" s="89">
        <v>103.967</v>
      </c>
      <c r="G85" s="89">
        <v>91.731999999999999</v>
      </c>
      <c r="H85" s="89">
        <v>80.766999999999996</v>
      </c>
      <c r="I85" s="89">
        <v>70.981999999999999</v>
      </c>
      <c r="J85" s="89">
        <v>62.27</v>
      </c>
      <c r="K85" s="89">
        <v>54.555</v>
      </c>
      <c r="L85" s="89">
        <v>47.719000000000001</v>
      </c>
      <c r="M85" s="89">
        <v>41.673999999999999</v>
      </c>
      <c r="N85" s="89">
        <v>36.341999999999999</v>
      </c>
      <c r="O85" s="89">
        <v>31.643999999999998</v>
      </c>
      <c r="P85" s="89">
        <v>27.515999999999998</v>
      </c>
      <c r="Q85" s="89">
        <v>23.9</v>
      </c>
      <c r="R85" s="89">
        <v>20.725000000000001</v>
      </c>
      <c r="S85" s="89">
        <v>17.937999999999999</v>
      </c>
      <c r="T85" s="89">
        <v>15.506</v>
      </c>
      <c r="U85" s="89">
        <v>13.385999999999999</v>
      </c>
      <c r="V85" s="89">
        <v>11.545999999999999</v>
      </c>
      <c r="W85" s="89">
        <v>9.9380000000000006</v>
      </c>
      <c r="X85" s="89">
        <v>8.57</v>
      </c>
      <c r="Y85" s="89">
        <v>7.3940000000000001</v>
      </c>
      <c r="Z85" s="89">
        <v>6.3840000000000003</v>
      </c>
      <c r="AA85" s="89">
        <v>5.5190000000000001</v>
      </c>
      <c r="AB85" s="89">
        <v>4.7789999999999999</v>
      </c>
      <c r="AC85" s="89">
        <v>4.1470000000000002</v>
      </c>
      <c r="AD85" s="89">
        <v>3.6070000000000002</v>
      </c>
      <c r="AE85" s="89">
        <v>3.1459999999999999</v>
      </c>
    </row>
    <row r="86" spans="1:31" x14ac:dyDescent="0.25">
      <c r="A86" s="95">
        <v>79</v>
      </c>
      <c r="B86" s="89">
        <v>191.07599999999999</v>
      </c>
      <c r="C86" s="89">
        <v>170.31100000000001</v>
      </c>
      <c r="D86" s="89">
        <v>151.369</v>
      </c>
      <c r="E86" s="89">
        <v>134.21899999999999</v>
      </c>
      <c r="F86" s="89">
        <v>118.71899999999999</v>
      </c>
      <c r="G86" s="89">
        <v>104.776</v>
      </c>
      <c r="H86" s="89">
        <v>92.272999999999996</v>
      </c>
      <c r="I86" s="89">
        <v>81.111000000000004</v>
      </c>
      <c r="J86" s="89">
        <v>71.168999999999997</v>
      </c>
      <c r="K86" s="89">
        <v>62.363</v>
      </c>
      <c r="L86" s="89">
        <v>54.557000000000002</v>
      </c>
      <c r="M86" s="89">
        <v>47.651000000000003</v>
      </c>
      <c r="N86" s="89">
        <v>41.557000000000002</v>
      </c>
      <c r="O86" s="89">
        <v>36.183999999999997</v>
      </c>
      <c r="P86" s="89">
        <v>31.46</v>
      </c>
      <c r="Q86" s="89">
        <v>27.32</v>
      </c>
      <c r="R86" s="89">
        <v>23.681999999999999</v>
      </c>
      <c r="S86" s="89">
        <v>20.484000000000002</v>
      </c>
      <c r="T86" s="89">
        <v>17.690999999999999</v>
      </c>
      <c r="U86" s="89">
        <v>15.256</v>
      </c>
      <c r="V86" s="89">
        <v>13.141</v>
      </c>
      <c r="W86" s="89">
        <v>11.291</v>
      </c>
      <c r="X86" s="89">
        <v>9.7189999999999994</v>
      </c>
      <c r="Y86" s="89">
        <v>8.3680000000000003</v>
      </c>
      <c r="Z86" s="89">
        <v>7.21</v>
      </c>
      <c r="AA86" s="89">
        <v>6.218</v>
      </c>
      <c r="AB86" s="89">
        <v>5.3710000000000004</v>
      </c>
      <c r="AC86" s="89">
        <v>4.649</v>
      </c>
      <c r="AD86" s="89">
        <v>4.0330000000000004</v>
      </c>
      <c r="AE86" s="89">
        <v>3.508</v>
      </c>
    </row>
    <row r="87" spans="1:31" x14ac:dyDescent="0.25">
      <c r="A87" s="95">
        <v>80</v>
      </c>
      <c r="B87" s="89">
        <v>218.32900000000001</v>
      </c>
      <c r="C87" s="89">
        <v>194.702</v>
      </c>
      <c r="D87" s="89">
        <v>173.119</v>
      </c>
      <c r="E87" s="89">
        <v>153.56100000000001</v>
      </c>
      <c r="F87" s="89">
        <v>135.86799999999999</v>
      </c>
      <c r="G87" s="89">
        <v>119.943</v>
      </c>
      <c r="H87" s="89">
        <v>105.652</v>
      </c>
      <c r="I87" s="89">
        <v>92.89</v>
      </c>
      <c r="J87" s="89">
        <v>81.519000000000005</v>
      </c>
      <c r="K87" s="89">
        <v>71.447999999999993</v>
      </c>
      <c r="L87" s="89">
        <v>62.515000000000001</v>
      </c>
      <c r="M87" s="89">
        <v>54.610999999999997</v>
      </c>
      <c r="N87" s="89">
        <v>47.633000000000003</v>
      </c>
      <c r="O87" s="89">
        <v>41.476999999999997</v>
      </c>
      <c r="P87" s="89">
        <v>36.061</v>
      </c>
      <c r="Q87" s="89">
        <v>31.312000000000001</v>
      </c>
      <c r="R87" s="89">
        <v>27.135000000000002</v>
      </c>
      <c r="S87" s="89">
        <v>23.459</v>
      </c>
      <c r="T87" s="89">
        <v>20.247</v>
      </c>
      <c r="U87" s="89">
        <v>17.443999999999999</v>
      </c>
      <c r="V87" s="89">
        <v>15.006</v>
      </c>
      <c r="W87" s="89">
        <v>12.872999999999999</v>
      </c>
      <c r="X87" s="89">
        <v>11.061999999999999</v>
      </c>
      <c r="Y87" s="89">
        <v>9.5060000000000002</v>
      </c>
      <c r="Z87" s="89">
        <v>8.173</v>
      </c>
      <c r="AA87" s="89">
        <v>7.0330000000000004</v>
      </c>
      <c r="AB87" s="89">
        <v>6.0609999999999999</v>
      </c>
      <c r="AC87" s="89">
        <v>5.234</v>
      </c>
      <c r="AD87" s="89">
        <v>4.5289999999999999</v>
      </c>
      <c r="AE87" s="89">
        <v>3.9289999999999998</v>
      </c>
    </row>
    <row r="88" spans="1:31" x14ac:dyDescent="0.25">
      <c r="A88" s="95">
        <v>81</v>
      </c>
      <c r="B88" s="89">
        <v>249.96899999999999</v>
      </c>
      <c r="C88" s="89">
        <v>223.035</v>
      </c>
      <c r="D88" s="89">
        <v>198.39599999999999</v>
      </c>
      <c r="E88" s="89">
        <v>176.048</v>
      </c>
      <c r="F88" s="89">
        <v>155.81100000000001</v>
      </c>
      <c r="G88" s="89">
        <v>137.583</v>
      </c>
      <c r="H88" s="89">
        <v>121.21599999999999</v>
      </c>
      <c r="I88" s="89">
        <v>106.59399999999999</v>
      </c>
      <c r="J88" s="89">
        <v>93.563000000000002</v>
      </c>
      <c r="K88" s="89">
        <v>82.019000000000005</v>
      </c>
      <c r="L88" s="89">
        <v>71.78</v>
      </c>
      <c r="M88" s="89">
        <v>62.715000000000003</v>
      </c>
      <c r="N88" s="89">
        <v>54.710999999999999</v>
      </c>
      <c r="O88" s="89">
        <v>47.646000000000001</v>
      </c>
      <c r="P88" s="89">
        <v>41.427</v>
      </c>
      <c r="Q88" s="89">
        <v>35.972000000000001</v>
      </c>
      <c r="R88" s="89">
        <v>31.17</v>
      </c>
      <c r="S88" s="89">
        <v>26.937000000000001</v>
      </c>
      <c r="T88" s="89">
        <v>23.234999999999999</v>
      </c>
      <c r="U88" s="89">
        <v>20.001999999999999</v>
      </c>
      <c r="V88" s="89">
        <v>17.187999999999999</v>
      </c>
      <c r="W88" s="89">
        <v>14.724</v>
      </c>
      <c r="X88" s="89">
        <v>12.632</v>
      </c>
      <c r="Y88" s="89">
        <v>10.836</v>
      </c>
      <c r="Z88" s="89">
        <v>9.2989999999999995</v>
      </c>
      <c r="AA88" s="89">
        <v>7.984</v>
      </c>
      <c r="AB88" s="89">
        <v>6.8659999999999997</v>
      </c>
      <c r="AC88" s="89">
        <v>5.9139999999999997</v>
      </c>
      <c r="AD88" s="89">
        <v>5.1050000000000004</v>
      </c>
      <c r="AE88" s="89">
        <v>4.4180000000000001</v>
      </c>
    </row>
    <row r="89" spans="1:31" x14ac:dyDescent="0.25">
      <c r="A89" s="95">
        <v>82</v>
      </c>
      <c r="B89" s="89">
        <v>286.73399999999998</v>
      </c>
      <c r="C89" s="89">
        <v>255.97800000000001</v>
      </c>
      <c r="D89" s="89">
        <v>227.80199999999999</v>
      </c>
      <c r="E89" s="89">
        <v>202.22</v>
      </c>
      <c r="F89" s="89">
        <v>179.03</v>
      </c>
      <c r="G89" s="89">
        <v>158.125</v>
      </c>
      <c r="H89" s="89">
        <v>139.34299999999999</v>
      </c>
      <c r="I89" s="89">
        <v>122.557</v>
      </c>
      <c r="J89" s="89">
        <v>107.592</v>
      </c>
      <c r="K89" s="89">
        <v>94.335999999999999</v>
      </c>
      <c r="L89" s="89">
        <v>82.575000000000003</v>
      </c>
      <c r="M89" s="89">
        <v>72.162000000000006</v>
      </c>
      <c r="N89" s="89">
        <v>62.963999999999999</v>
      </c>
      <c r="O89" s="89">
        <v>54.843000000000004</v>
      </c>
      <c r="P89" s="89">
        <v>47.691000000000003</v>
      </c>
      <c r="Q89" s="89">
        <v>41.415999999999997</v>
      </c>
      <c r="R89" s="89">
        <v>35.886000000000003</v>
      </c>
      <c r="S89" s="89">
        <v>31.006</v>
      </c>
      <c r="T89" s="89">
        <v>26.733000000000001</v>
      </c>
      <c r="U89" s="89">
        <v>22.998000000000001</v>
      </c>
      <c r="V89" s="89">
        <v>19.744</v>
      </c>
      <c r="W89" s="89">
        <v>16.89</v>
      </c>
      <c r="X89" s="89">
        <v>14.468999999999999</v>
      </c>
      <c r="Y89" s="89">
        <v>12.391999999999999</v>
      </c>
      <c r="Z89" s="89">
        <v>10.614000000000001</v>
      </c>
      <c r="AA89" s="89">
        <v>9.0950000000000006</v>
      </c>
      <c r="AB89" s="89">
        <v>7.8040000000000003</v>
      </c>
      <c r="AC89" s="89">
        <v>6.7080000000000002</v>
      </c>
      <c r="AD89" s="89">
        <v>5.7770000000000001</v>
      </c>
      <c r="AE89" s="89">
        <v>4.9870000000000001</v>
      </c>
    </row>
    <row r="90" spans="1:31" x14ac:dyDescent="0.25">
      <c r="A90" s="95">
        <v>83</v>
      </c>
      <c r="B90" s="89">
        <v>329.529</v>
      </c>
      <c r="C90" s="89">
        <v>294.35199999999998</v>
      </c>
      <c r="D90" s="89">
        <v>262.07400000000001</v>
      </c>
      <c r="E90" s="89">
        <v>232.738</v>
      </c>
      <c r="F90" s="89">
        <v>206.114</v>
      </c>
      <c r="G90" s="89">
        <v>182.09399999999999</v>
      </c>
      <c r="H90" s="89">
        <v>160.49600000000001</v>
      </c>
      <c r="I90" s="89">
        <v>141.18600000000001</v>
      </c>
      <c r="J90" s="89">
        <v>123.965</v>
      </c>
      <c r="K90" s="89">
        <v>108.71299999999999</v>
      </c>
      <c r="L90" s="89">
        <v>95.177999999999997</v>
      </c>
      <c r="M90" s="89">
        <v>83.191999999999993</v>
      </c>
      <c r="N90" s="89">
        <v>72.603999999999999</v>
      </c>
      <c r="O90" s="89">
        <v>63.252000000000002</v>
      </c>
      <c r="P90" s="89">
        <v>55.015000000000001</v>
      </c>
      <c r="Q90" s="89">
        <v>47.784999999999997</v>
      </c>
      <c r="R90" s="89">
        <v>41.408000000000001</v>
      </c>
      <c r="S90" s="89">
        <v>35.773000000000003</v>
      </c>
      <c r="T90" s="89">
        <v>30.834</v>
      </c>
      <c r="U90" s="89">
        <v>26.510999999999999</v>
      </c>
      <c r="V90" s="89">
        <v>22.742000000000001</v>
      </c>
      <c r="W90" s="89">
        <v>19.43</v>
      </c>
      <c r="X90" s="89">
        <v>16.623000000000001</v>
      </c>
      <c r="Y90" s="89">
        <v>14.215</v>
      </c>
      <c r="Z90" s="89">
        <v>12.154999999999999</v>
      </c>
      <c r="AA90" s="89">
        <v>10.396000000000001</v>
      </c>
      <c r="AB90" s="89">
        <v>8.9030000000000005</v>
      </c>
      <c r="AC90" s="89">
        <v>7.6360000000000001</v>
      </c>
      <c r="AD90" s="89">
        <v>6.5609999999999999</v>
      </c>
      <c r="AE90" s="89">
        <v>5.6509999999999998</v>
      </c>
    </row>
    <row r="91" spans="1:31" x14ac:dyDescent="0.25">
      <c r="A91" s="95">
        <v>84</v>
      </c>
      <c r="B91" s="89">
        <v>379.45499999999998</v>
      </c>
      <c r="C91" s="89">
        <v>339.15</v>
      </c>
      <c r="D91" s="89">
        <v>302.108</v>
      </c>
      <c r="E91" s="89">
        <v>268.40499999999997</v>
      </c>
      <c r="F91" s="89">
        <v>237.78200000000001</v>
      </c>
      <c r="G91" s="89">
        <v>210.12700000000001</v>
      </c>
      <c r="H91" s="89">
        <v>185.24199999999999</v>
      </c>
      <c r="I91" s="89">
        <v>162.982</v>
      </c>
      <c r="J91" s="89">
        <v>143.12200000000001</v>
      </c>
      <c r="K91" s="89">
        <v>125.535</v>
      </c>
      <c r="L91" s="89">
        <v>109.926</v>
      </c>
      <c r="M91" s="89">
        <v>96.102000000000004</v>
      </c>
      <c r="N91" s="89">
        <v>83.89</v>
      </c>
      <c r="O91" s="89">
        <v>73.100999999999999</v>
      </c>
      <c r="P91" s="89">
        <v>63.595999999999997</v>
      </c>
      <c r="Q91" s="89">
        <v>55.253</v>
      </c>
      <c r="R91" s="89">
        <v>47.887999999999998</v>
      </c>
      <c r="S91" s="89">
        <v>41.371000000000002</v>
      </c>
      <c r="T91" s="89">
        <v>35.652999999999999</v>
      </c>
      <c r="U91" s="89">
        <v>30.640999999999998</v>
      </c>
      <c r="V91" s="89">
        <v>26.268000000000001</v>
      </c>
      <c r="W91" s="89">
        <v>22.417000000000002</v>
      </c>
      <c r="X91" s="89">
        <v>19.155000000000001</v>
      </c>
      <c r="Y91" s="89">
        <v>16.356999999999999</v>
      </c>
      <c r="Z91" s="89">
        <v>13.964</v>
      </c>
      <c r="AA91" s="89">
        <v>11.922000000000001</v>
      </c>
      <c r="AB91" s="89">
        <v>10.19</v>
      </c>
      <c r="AC91" s="89">
        <v>8.7219999999999995</v>
      </c>
      <c r="AD91" s="89">
        <v>7.4790000000000001</v>
      </c>
      <c r="AE91" s="89">
        <v>6.4269999999999996</v>
      </c>
    </row>
    <row r="92" spans="1:31" x14ac:dyDescent="0.25">
      <c r="A92" s="95">
        <v>85</v>
      </c>
      <c r="B92" s="89">
        <v>437.75299999999999</v>
      </c>
      <c r="C92" s="89">
        <v>391.49799999999999</v>
      </c>
      <c r="D92" s="89">
        <v>348.91899999999998</v>
      </c>
      <c r="E92" s="89">
        <v>310.13400000000001</v>
      </c>
      <c r="F92" s="89">
        <v>274.84800000000001</v>
      </c>
      <c r="G92" s="89">
        <v>242.95099999999999</v>
      </c>
      <c r="H92" s="89">
        <v>214.22300000000001</v>
      </c>
      <c r="I92" s="89">
        <v>188.511</v>
      </c>
      <c r="J92" s="89">
        <v>165.56200000000001</v>
      </c>
      <c r="K92" s="89">
        <v>145.24199999999999</v>
      </c>
      <c r="L92" s="89">
        <v>127.20399999999999</v>
      </c>
      <c r="M92" s="89">
        <v>111.22799999999999</v>
      </c>
      <c r="N92" s="89">
        <v>97.114999999999995</v>
      </c>
      <c r="O92" s="89">
        <v>84.644999999999996</v>
      </c>
      <c r="P92" s="89">
        <v>73.659000000000006</v>
      </c>
      <c r="Q92" s="89">
        <v>64.016000000000005</v>
      </c>
      <c r="R92" s="89">
        <v>55.497</v>
      </c>
      <c r="S92" s="89">
        <v>47.948999999999998</v>
      </c>
      <c r="T92" s="89">
        <v>41.319000000000003</v>
      </c>
      <c r="U92" s="89">
        <v>35.5</v>
      </c>
      <c r="V92" s="89">
        <v>30.417000000000002</v>
      </c>
      <c r="W92" s="89">
        <v>25.93</v>
      </c>
      <c r="X92" s="89">
        <v>22.134</v>
      </c>
      <c r="Y92" s="89">
        <v>18.876000000000001</v>
      </c>
      <c r="Z92" s="89">
        <v>16.09</v>
      </c>
      <c r="AA92" s="89">
        <v>13.714</v>
      </c>
      <c r="AB92" s="89">
        <v>11.702</v>
      </c>
      <c r="AC92" s="89">
        <v>9.9969999999999999</v>
      </c>
      <c r="AD92" s="89">
        <v>8.5549999999999997</v>
      </c>
      <c r="AE92" s="89">
        <v>7.335</v>
      </c>
    </row>
  </sheetData>
  <sheetProtection algorithmName="SHA-512" hashValue="HcHcugOYkYSz+6oQ0L7aK8AsrPCv+fVTupomE6oscsj/mAxMwAyXf6SMdEabzZ6DvXdfeg0q16FMQOiG1Za6IQ==" saltValue="Ewtm+9z26bQZRxn/QSt8HA==" spinCount="100000" sheet="1" objects="1" scenarios="1"/>
  <conditionalFormatting sqref="A6:A21">
    <cfRule type="expression" dxfId="197" priority="5" stopIfTrue="1">
      <formula>MOD(ROW(),2)=0</formula>
    </cfRule>
    <cfRule type="expression" dxfId="196" priority="6" stopIfTrue="1">
      <formula>MOD(ROW(),2)&lt;&gt;0</formula>
    </cfRule>
  </conditionalFormatting>
  <conditionalFormatting sqref="A27:A92">
    <cfRule type="expression" dxfId="195" priority="19" stopIfTrue="1">
      <formula>MOD(ROW(),2)=0</formula>
    </cfRule>
    <cfRule type="expression" dxfId="194" priority="20" stopIfTrue="1">
      <formula>MOD(ROW(),2)&lt;&gt;0</formula>
    </cfRule>
  </conditionalFormatting>
  <conditionalFormatting sqref="B18:B21">
    <cfRule type="expression" dxfId="193" priority="1" stopIfTrue="1">
      <formula>MOD(ROW(),2)=0</formula>
    </cfRule>
    <cfRule type="expression" dxfId="192" priority="2" stopIfTrue="1">
      <formula>MOD(ROW(),2)&lt;&gt;0</formula>
    </cfRule>
  </conditionalFormatting>
  <conditionalFormatting sqref="B6:AE21">
    <cfRule type="expression" dxfId="191" priority="31" stopIfTrue="1">
      <formula>MOD(ROW(),2)=0</formula>
    </cfRule>
    <cfRule type="expression" dxfId="190" priority="32" stopIfTrue="1">
      <formula>MOD(ROW(),2)&lt;&gt;0</formula>
    </cfRule>
  </conditionalFormatting>
  <conditionalFormatting sqref="B26:AE92">
    <cfRule type="expression" dxfId="189" priority="15" stopIfTrue="1">
      <formula>MOD(ROW(),2)=0</formula>
    </cfRule>
    <cfRule type="expression" dxfId="188" priority="16" stopIfTrue="1">
      <formula>MOD(ROW(),2)&lt;&gt;0</formula>
    </cfRule>
  </conditionalFormatting>
  <conditionalFormatting sqref="C6:AE21">
    <cfRule type="expression" dxfId="187" priority="3" stopIfTrue="1">
      <formula>MOD(ROW(),2)=0</formula>
    </cfRule>
    <cfRule type="expression" dxfId="186" priority="4" stopIfTrue="1">
      <formula>MOD(ROW(),2)&lt;&gt;0</formula>
    </cfRule>
  </conditionalFormatting>
  <hyperlinks>
    <hyperlink ref="B24" location="Sheet1!A1" display="Assumptions" xr:uid="{F0685906-C3B9-49E4-AE9B-23661184D90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1"/>
  <dimension ref="A1:E85"/>
  <sheetViews>
    <sheetView showGridLines="0" zoomScale="85" zoomScaleNormal="85" workbookViewId="0">
      <selection activeCell="A4" sqref="A4"/>
    </sheetView>
  </sheetViews>
  <sheetFormatPr defaultColWidth="10" defaultRowHeight="13.2" x14ac:dyDescent="0.25"/>
  <cols>
    <col min="1" max="1" width="31.5546875" style="27" customWidth="1"/>
    <col min="2" max="5" width="22.5546875" style="27" customWidth="1"/>
    <col min="6" max="16384" width="10" style="27"/>
  </cols>
  <sheetData>
    <row r="1" spans="1:5" ht="21" x14ac:dyDescent="0.4">
      <c r="A1" s="39" t="s">
        <v>0</v>
      </c>
      <c r="B1" s="40"/>
      <c r="C1" s="40"/>
      <c r="D1" s="40"/>
      <c r="E1" s="40"/>
    </row>
    <row r="2" spans="1:5" ht="15.6" x14ac:dyDescent="0.3">
      <c r="A2" s="41" t="str">
        <f>IF(title="&gt; Enter workbook title here","Enter workbook title in Cover sheet",title)</f>
        <v>Civil Service Pension Schemes - Consolidated Factor Spreadsheet</v>
      </c>
      <c r="B2" s="42"/>
      <c r="C2" s="42"/>
      <c r="D2" s="42"/>
      <c r="E2" s="42"/>
    </row>
    <row r="3" spans="1:5" ht="15.6" x14ac:dyDescent="0.3">
      <c r="A3" s="43" t="str">
        <f>TABLE_FACTOR_TYPE_1&amp;" - x-"&amp;TABLE_SERIES_NUMBER_1</f>
        <v>CETV - x-203</v>
      </c>
      <c r="B3" s="42"/>
      <c r="C3" s="42"/>
      <c r="D3" s="42"/>
      <c r="E3" s="42"/>
    </row>
    <row r="4" spans="1:5" x14ac:dyDescent="0.25">
      <c r="A4" s="44"/>
    </row>
    <row r="6" spans="1:5" x14ac:dyDescent="0.25">
      <c r="A6" s="76" t="s">
        <v>290</v>
      </c>
      <c r="B6" s="129" t="s">
        <v>291</v>
      </c>
      <c r="C6" s="129"/>
      <c r="D6" s="129"/>
      <c r="E6" s="129"/>
    </row>
    <row r="7" spans="1:5" x14ac:dyDescent="0.25">
      <c r="A7" s="77" t="s">
        <v>804</v>
      </c>
      <c r="B7" s="129" t="s">
        <v>324</v>
      </c>
      <c r="C7" s="129"/>
      <c r="D7" s="129"/>
      <c r="E7" s="129"/>
    </row>
    <row r="8" spans="1:5" x14ac:dyDescent="0.25">
      <c r="A8" s="77" t="s">
        <v>805</v>
      </c>
      <c r="B8" s="129" t="s">
        <v>85</v>
      </c>
      <c r="C8" s="129"/>
      <c r="D8" s="129"/>
      <c r="E8" s="129"/>
    </row>
    <row r="9" spans="1:5" x14ac:dyDescent="0.25">
      <c r="A9" s="77" t="s">
        <v>296</v>
      </c>
      <c r="B9" s="129" t="s">
        <v>325</v>
      </c>
      <c r="C9" s="129"/>
      <c r="D9" s="129"/>
      <c r="E9" s="129"/>
    </row>
    <row r="10" spans="1:5" x14ac:dyDescent="0.25">
      <c r="A10" s="77" t="s">
        <v>6</v>
      </c>
      <c r="B10" s="129" t="s">
        <v>336</v>
      </c>
      <c r="C10" s="129"/>
      <c r="D10" s="129"/>
      <c r="E10" s="129"/>
    </row>
    <row r="11" spans="1:5" x14ac:dyDescent="0.25">
      <c r="A11" s="77" t="s">
        <v>299</v>
      </c>
      <c r="B11" s="129" t="s">
        <v>327</v>
      </c>
      <c r="C11" s="129"/>
      <c r="D11" s="129"/>
      <c r="E11" s="129"/>
    </row>
    <row r="12" spans="1:5" x14ac:dyDescent="0.25">
      <c r="A12" s="77" t="s">
        <v>301</v>
      </c>
      <c r="B12" s="129" t="s">
        <v>328</v>
      </c>
      <c r="C12" s="129"/>
      <c r="D12" s="129"/>
      <c r="E12" s="129"/>
    </row>
    <row r="13" spans="1:5" x14ac:dyDescent="0.25">
      <c r="A13" s="77" t="s">
        <v>806</v>
      </c>
      <c r="B13" s="129">
        <v>0</v>
      </c>
      <c r="C13" s="129"/>
      <c r="D13" s="129"/>
      <c r="E13" s="129"/>
    </row>
    <row r="14" spans="1:5" x14ac:dyDescent="0.25">
      <c r="A14" s="77" t="s">
        <v>305</v>
      </c>
      <c r="B14" s="129">
        <v>203</v>
      </c>
      <c r="C14" s="129"/>
      <c r="D14" s="129"/>
      <c r="E14" s="129"/>
    </row>
    <row r="15" spans="1:5" x14ac:dyDescent="0.25">
      <c r="A15" s="77" t="s">
        <v>307</v>
      </c>
      <c r="B15" s="129" t="s">
        <v>337</v>
      </c>
      <c r="C15" s="129"/>
      <c r="D15" s="129"/>
      <c r="E15" s="129"/>
    </row>
    <row r="16" spans="1:5" x14ac:dyDescent="0.25">
      <c r="A16" s="77" t="s">
        <v>309</v>
      </c>
      <c r="B16" s="129" t="s">
        <v>338</v>
      </c>
      <c r="C16" s="129"/>
      <c r="D16" s="129"/>
      <c r="E16" s="129"/>
    </row>
    <row r="17" spans="1:5" x14ac:dyDescent="0.25">
      <c r="A17" s="77" t="s">
        <v>803</v>
      </c>
      <c r="B17" s="129"/>
      <c r="C17" s="129"/>
      <c r="D17" s="129"/>
      <c r="E17" s="129"/>
    </row>
    <row r="18" spans="1:5" x14ac:dyDescent="0.25">
      <c r="A18" s="77" t="s">
        <v>313</v>
      </c>
      <c r="B18" s="187">
        <v>45071</v>
      </c>
      <c r="C18" s="129"/>
      <c r="D18" s="129"/>
      <c r="E18" s="129"/>
    </row>
    <row r="19" spans="1:5" x14ac:dyDescent="0.25">
      <c r="A19" s="77" t="s">
        <v>315</v>
      </c>
      <c r="B19" s="187"/>
      <c r="C19" s="129"/>
      <c r="D19" s="129"/>
      <c r="E19" s="129"/>
    </row>
    <row r="20" spans="1:5" x14ac:dyDescent="0.25">
      <c r="A20" s="77" t="s">
        <v>317</v>
      </c>
      <c r="B20" s="129" t="s">
        <v>331</v>
      </c>
      <c r="C20" s="129"/>
      <c r="D20" s="129"/>
      <c r="E20" s="129"/>
    </row>
    <row r="21" spans="1:5" x14ac:dyDescent="0.25">
      <c r="A21" s="77" t="s">
        <v>323</v>
      </c>
      <c r="B21" s="129" t="s">
        <v>332</v>
      </c>
      <c r="C21" s="129"/>
      <c r="D21" s="129"/>
      <c r="E21" s="129"/>
    </row>
    <row r="23" spans="1:5" x14ac:dyDescent="0.25">
      <c r="B23" s="102" t="str">
        <f>HYPERLINK("#'Factor List'!A1","Back to Factor List")</f>
        <v>Back to Factor List</v>
      </c>
    </row>
    <row r="24" spans="1:5" x14ac:dyDescent="0.25">
      <c r="B24" s="102" t="s">
        <v>13</v>
      </c>
    </row>
    <row r="25" spans="1:5" x14ac:dyDescent="0.25">
      <c r="B25" s="102"/>
    </row>
    <row r="26" spans="1:5" ht="26.4" x14ac:dyDescent="0.25">
      <c r="A26" s="103" t="s">
        <v>373</v>
      </c>
      <c r="B26" s="103" t="s">
        <v>807</v>
      </c>
      <c r="C26" s="103" t="s">
        <v>808</v>
      </c>
      <c r="D26" s="103" t="s">
        <v>809</v>
      </c>
      <c r="E26" s="103" t="s">
        <v>810</v>
      </c>
    </row>
    <row r="27" spans="1:5" x14ac:dyDescent="0.25">
      <c r="A27" s="104">
        <v>17</v>
      </c>
      <c r="B27" s="105">
        <v>3.28</v>
      </c>
      <c r="C27" s="105">
        <v>0.57999999999999996</v>
      </c>
      <c r="D27" s="105">
        <v>3.28</v>
      </c>
      <c r="E27" s="105">
        <v>0.57999999999999996</v>
      </c>
    </row>
    <row r="28" spans="1:5" x14ac:dyDescent="0.25">
      <c r="A28" s="104">
        <v>18</v>
      </c>
      <c r="B28" s="105">
        <v>3.39</v>
      </c>
      <c r="C28" s="105">
        <v>0.62</v>
      </c>
      <c r="D28" s="105">
        <v>3.39</v>
      </c>
      <c r="E28" s="105">
        <v>0.62</v>
      </c>
    </row>
    <row r="29" spans="1:5" x14ac:dyDescent="0.25">
      <c r="A29" s="104">
        <v>19</v>
      </c>
      <c r="B29" s="105">
        <v>3.51</v>
      </c>
      <c r="C29" s="105">
        <v>0.65</v>
      </c>
      <c r="D29" s="105">
        <v>3.51</v>
      </c>
      <c r="E29" s="105">
        <v>0.65</v>
      </c>
    </row>
    <row r="30" spans="1:5" x14ac:dyDescent="0.25">
      <c r="A30" s="104">
        <v>20</v>
      </c>
      <c r="B30" s="105">
        <v>3.63</v>
      </c>
      <c r="C30" s="105">
        <v>0.68</v>
      </c>
      <c r="D30" s="105">
        <v>3.63</v>
      </c>
      <c r="E30" s="105">
        <v>0.68</v>
      </c>
    </row>
    <row r="31" spans="1:5" x14ac:dyDescent="0.25">
      <c r="A31" s="104">
        <v>21</v>
      </c>
      <c r="B31" s="105">
        <v>3.76</v>
      </c>
      <c r="C31" s="105">
        <v>0.7</v>
      </c>
      <c r="D31" s="105">
        <v>3.76</v>
      </c>
      <c r="E31" s="105">
        <v>0.7</v>
      </c>
    </row>
    <row r="32" spans="1:5" x14ac:dyDescent="0.25">
      <c r="A32" s="104">
        <v>22</v>
      </c>
      <c r="B32" s="105">
        <v>3.88</v>
      </c>
      <c r="C32" s="105">
        <v>0.73</v>
      </c>
      <c r="D32" s="105">
        <v>3.88</v>
      </c>
      <c r="E32" s="105">
        <v>0.73</v>
      </c>
    </row>
    <row r="33" spans="1:5" x14ac:dyDescent="0.25">
      <c r="A33" s="104">
        <v>23</v>
      </c>
      <c r="B33" s="105">
        <v>4.0199999999999996</v>
      </c>
      <c r="C33" s="105">
        <v>0.76</v>
      </c>
      <c r="D33" s="105">
        <v>4.0199999999999996</v>
      </c>
      <c r="E33" s="105">
        <v>0.76</v>
      </c>
    </row>
    <row r="34" spans="1:5" x14ac:dyDescent="0.25">
      <c r="A34" s="104">
        <v>24</v>
      </c>
      <c r="B34" s="105">
        <v>4.16</v>
      </c>
      <c r="C34" s="105">
        <v>0.78</v>
      </c>
      <c r="D34" s="105">
        <v>4.16</v>
      </c>
      <c r="E34" s="105">
        <v>0.78</v>
      </c>
    </row>
    <row r="35" spans="1:5" x14ac:dyDescent="0.25">
      <c r="A35" s="104">
        <v>25</v>
      </c>
      <c r="B35" s="105">
        <v>4.3</v>
      </c>
      <c r="C35" s="105">
        <v>0.81</v>
      </c>
      <c r="D35" s="105">
        <v>4.3</v>
      </c>
      <c r="E35" s="105">
        <v>0.81</v>
      </c>
    </row>
    <row r="36" spans="1:5" x14ac:dyDescent="0.25">
      <c r="A36" s="104">
        <v>26</v>
      </c>
      <c r="B36" s="105">
        <v>4.45</v>
      </c>
      <c r="C36" s="105">
        <v>0.84</v>
      </c>
      <c r="D36" s="105">
        <v>4.45</v>
      </c>
      <c r="E36" s="105">
        <v>0.84</v>
      </c>
    </row>
    <row r="37" spans="1:5" x14ac:dyDescent="0.25">
      <c r="A37" s="104">
        <v>27</v>
      </c>
      <c r="B37" s="105">
        <v>4.5999999999999996</v>
      </c>
      <c r="C37" s="105">
        <v>0.87</v>
      </c>
      <c r="D37" s="105">
        <v>4.5999999999999996</v>
      </c>
      <c r="E37" s="105">
        <v>0.87</v>
      </c>
    </row>
    <row r="38" spans="1:5" x14ac:dyDescent="0.25">
      <c r="A38" s="104">
        <v>28</v>
      </c>
      <c r="B38" s="105">
        <v>4.76</v>
      </c>
      <c r="C38" s="105">
        <v>0.9</v>
      </c>
      <c r="D38" s="105">
        <v>4.76</v>
      </c>
      <c r="E38" s="105">
        <v>0.9</v>
      </c>
    </row>
    <row r="39" spans="1:5" x14ac:dyDescent="0.25">
      <c r="A39" s="104">
        <v>29</v>
      </c>
      <c r="B39" s="105">
        <v>4.92</v>
      </c>
      <c r="C39" s="105">
        <v>0.94</v>
      </c>
      <c r="D39" s="105">
        <v>4.92</v>
      </c>
      <c r="E39" s="105">
        <v>0.94</v>
      </c>
    </row>
    <row r="40" spans="1:5" x14ac:dyDescent="0.25">
      <c r="A40" s="104">
        <v>30</v>
      </c>
      <c r="B40" s="105">
        <v>5.09</v>
      </c>
      <c r="C40" s="105">
        <v>0.97</v>
      </c>
      <c r="D40" s="105">
        <v>5.09</v>
      </c>
      <c r="E40" s="105">
        <v>0.97</v>
      </c>
    </row>
    <row r="41" spans="1:5" x14ac:dyDescent="0.25">
      <c r="A41" s="104">
        <v>31</v>
      </c>
      <c r="B41" s="105">
        <v>5.26</v>
      </c>
      <c r="C41" s="105">
        <v>1</v>
      </c>
      <c r="D41" s="105">
        <v>5.26</v>
      </c>
      <c r="E41" s="105">
        <v>1</v>
      </c>
    </row>
    <row r="42" spans="1:5" x14ac:dyDescent="0.25">
      <c r="A42" s="104">
        <v>32</v>
      </c>
      <c r="B42" s="105">
        <v>5.45</v>
      </c>
      <c r="C42" s="105">
        <v>1.04</v>
      </c>
      <c r="D42" s="105">
        <v>5.45</v>
      </c>
      <c r="E42" s="105">
        <v>1.04</v>
      </c>
    </row>
    <row r="43" spans="1:5" x14ac:dyDescent="0.25">
      <c r="A43" s="104">
        <v>33</v>
      </c>
      <c r="B43" s="105">
        <v>5.63</v>
      </c>
      <c r="C43" s="105">
        <v>1.08</v>
      </c>
      <c r="D43" s="105">
        <v>5.63</v>
      </c>
      <c r="E43" s="105">
        <v>1.08</v>
      </c>
    </row>
    <row r="44" spans="1:5" x14ac:dyDescent="0.25">
      <c r="A44" s="104">
        <v>34</v>
      </c>
      <c r="B44" s="105">
        <v>5.83</v>
      </c>
      <c r="C44" s="105">
        <v>1.1100000000000001</v>
      </c>
      <c r="D44" s="105">
        <v>5.83</v>
      </c>
      <c r="E44" s="105">
        <v>1.1100000000000001</v>
      </c>
    </row>
    <row r="45" spans="1:5" x14ac:dyDescent="0.25">
      <c r="A45" s="104">
        <v>35</v>
      </c>
      <c r="B45" s="105">
        <v>6.03</v>
      </c>
      <c r="C45" s="105">
        <v>1.1499999999999999</v>
      </c>
      <c r="D45" s="105">
        <v>6.03</v>
      </c>
      <c r="E45" s="105">
        <v>1.1499999999999999</v>
      </c>
    </row>
    <row r="46" spans="1:5" x14ac:dyDescent="0.25">
      <c r="A46" s="104">
        <v>36</v>
      </c>
      <c r="B46" s="105">
        <v>6.24</v>
      </c>
      <c r="C46" s="105">
        <v>1.19</v>
      </c>
      <c r="D46" s="105">
        <v>6.24</v>
      </c>
      <c r="E46" s="105">
        <v>1.19</v>
      </c>
    </row>
    <row r="47" spans="1:5" x14ac:dyDescent="0.25">
      <c r="A47" s="104">
        <v>37</v>
      </c>
      <c r="B47" s="105">
        <v>6.45</v>
      </c>
      <c r="C47" s="105">
        <v>1.23</v>
      </c>
      <c r="D47" s="105">
        <v>6.45</v>
      </c>
      <c r="E47" s="105">
        <v>1.23</v>
      </c>
    </row>
    <row r="48" spans="1:5" x14ac:dyDescent="0.25">
      <c r="A48" s="104">
        <v>38</v>
      </c>
      <c r="B48" s="105">
        <v>6.67</v>
      </c>
      <c r="C48" s="105">
        <v>1.27</v>
      </c>
      <c r="D48" s="105">
        <v>6.67</v>
      </c>
      <c r="E48" s="105">
        <v>1.27</v>
      </c>
    </row>
    <row r="49" spans="1:5" x14ac:dyDescent="0.25">
      <c r="A49" s="104">
        <v>39</v>
      </c>
      <c r="B49" s="105">
        <v>6.9</v>
      </c>
      <c r="C49" s="105">
        <v>1.31</v>
      </c>
      <c r="D49" s="105">
        <v>6.9</v>
      </c>
      <c r="E49" s="105">
        <v>1.31</v>
      </c>
    </row>
    <row r="50" spans="1:5" x14ac:dyDescent="0.25">
      <c r="A50" s="104">
        <v>40</v>
      </c>
      <c r="B50" s="105">
        <v>7.14</v>
      </c>
      <c r="C50" s="105">
        <v>1.35</v>
      </c>
      <c r="D50" s="105">
        <v>7.14</v>
      </c>
      <c r="E50" s="105">
        <v>1.35</v>
      </c>
    </row>
    <row r="51" spans="1:5" x14ac:dyDescent="0.25">
      <c r="A51" s="104">
        <v>41</v>
      </c>
      <c r="B51" s="105">
        <v>7.39</v>
      </c>
      <c r="C51" s="105">
        <v>1.4</v>
      </c>
      <c r="D51" s="105">
        <v>7.39</v>
      </c>
      <c r="E51" s="105">
        <v>1.4</v>
      </c>
    </row>
    <row r="52" spans="1:5" x14ac:dyDescent="0.25">
      <c r="A52" s="104">
        <v>42</v>
      </c>
      <c r="B52" s="105">
        <v>7.65</v>
      </c>
      <c r="C52" s="105">
        <v>1.44</v>
      </c>
      <c r="D52" s="105">
        <v>7.65</v>
      </c>
      <c r="E52" s="105">
        <v>1.44</v>
      </c>
    </row>
    <row r="53" spans="1:5" x14ac:dyDescent="0.25">
      <c r="A53" s="104">
        <v>43</v>
      </c>
      <c r="B53" s="105">
        <v>7.91</v>
      </c>
      <c r="C53" s="105">
        <v>1.49</v>
      </c>
      <c r="D53" s="105">
        <v>7.91</v>
      </c>
      <c r="E53" s="105">
        <v>1.49</v>
      </c>
    </row>
    <row r="54" spans="1:5" x14ac:dyDescent="0.25">
      <c r="A54" s="104">
        <v>44</v>
      </c>
      <c r="B54" s="105">
        <v>8.19</v>
      </c>
      <c r="C54" s="105">
        <v>1.53</v>
      </c>
      <c r="D54" s="105">
        <v>8.19</v>
      </c>
      <c r="E54" s="105">
        <v>1.53</v>
      </c>
    </row>
    <row r="55" spans="1:5" x14ac:dyDescent="0.25">
      <c r="A55" s="104">
        <v>45</v>
      </c>
      <c r="B55" s="105">
        <v>8.4700000000000006</v>
      </c>
      <c r="C55" s="105">
        <v>1.58</v>
      </c>
      <c r="D55" s="105">
        <v>8.4700000000000006</v>
      </c>
      <c r="E55" s="105">
        <v>1.58</v>
      </c>
    </row>
    <row r="56" spans="1:5" x14ac:dyDescent="0.25">
      <c r="A56" s="104">
        <v>46</v>
      </c>
      <c r="B56" s="105">
        <v>8.77</v>
      </c>
      <c r="C56" s="105">
        <v>1.63</v>
      </c>
      <c r="D56" s="105">
        <v>8.77</v>
      </c>
      <c r="E56" s="105">
        <v>1.63</v>
      </c>
    </row>
    <row r="57" spans="1:5" x14ac:dyDescent="0.25">
      <c r="A57" s="104">
        <v>47</v>
      </c>
      <c r="B57" s="105">
        <v>9.08</v>
      </c>
      <c r="C57" s="105">
        <v>1.68</v>
      </c>
      <c r="D57" s="105">
        <v>9.08</v>
      </c>
      <c r="E57" s="105">
        <v>1.68</v>
      </c>
    </row>
    <row r="58" spans="1:5" x14ac:dyDescent="0.25">
      <c r="A58" s="104">
        <v>48</v>
      </c>
      <c r="B58" s="105">
        <v>9.4</v>
      </c>
      <c r="C58" s="105">
        <v>1.73</v>
      </c>
      <c r="D58" s="105">
        <v>9.4</v>
      </c>
      <c r="E58" s="105">
        <v>1.73</v>
      </c>
    </row>
    <row r="59" spans="1:5" x14ac:dyDescent="0.25">
      <c r="A59" s="104">
        <v>49</v>
      </c>
      <c r="B59" s="105">
        <v>9.73</v>
      </c>
      <c r="C59" s="105">
        <v>1.77</v>
      </c>
      <c r="D59" s="105">
        <v>9.73</v>
      </c>
      <c r="E59" s="105">
        <v>1.77</v>
      </c>
    </row>
    <row r="60" spans="1:5" x14ac:dyDescent="0.25">
      <c r="A60" s="104">
        <v>50</v>
      </c>
      <c r="B60" s="105">
        <v>10.07</v>
      </c>
      <c r="C60" s="105">
        <v>1.82</v>
      </c>
      <c r="D60" s="105">
        <v>10.07</v>
      </c>
      <c r="E60" s="105">
        <v>1.82</v>
      </c>
    </row>
    <row r="61" spans="1:5" x14ac:dyDescent="0.25">
      <c r="A61" s="104">
        <v>51</v>
      </c>
      <c r="B61" s="105">
        <v>10.43</v>
      </c>
      <c r="C61" s="105">
        <v>1.87</v>
      </c>
      <c r="D61" s="105">
        <v>10.43</v>
      </c>
      <c r="E61" s="105">
        <v>1.87</v>
      </c>
    </row>
    <row r="62" spans="1:5" x14ac:dyDescent="0.25">
      <c r="A62" s="104">
        <v>52</v>
      </c>
      <c r="B62" s="105">
        <v>10.8</v>
      </c>
      <c r="C62" s="105">
        <v>1.93</v>
      </c>
      <c r="D62" s="105">
        <v>10.8</v>
      </c>
      <c r="E62" s="105">
        <v>1.93</v>
      </c>
    </row>
    <row r="63" spans="1:5" x14ac:dyDescent="0.25">
      <c r="A63" s="104">
        <v>53</v>
      </c>
      <c r="B63" s="105">
        <v>11.19</v>
      </c>
      <c r="C63" s="105">
        <v>1.98</v>
      </c>
      <c r="D63" s="105">
        <v>11.19</v>
      </c>
      <c r="E63" s="105">
        <v>1.98</v>
      </c>
    </row>
    <row r="64" spans="1:5" x14ac:dyDescent="0.25">
      <c r="A64" s="104">
        <v>54</v>
      </c>
      <c r="B64" s="105">
        <v>11.59</v>
      </c>
      <c r="C64" s="105">
        <v>2.0299999999999998</v>
      </c>
      <c r="D64" s="105">
        <v>11.59</v>
      </c>
      <c r="E64" s="105">
        <v>2.0299999999999998</v>
      </c>
    </row>
    <row r="65" spans="1:5" x14ac:dyDescent="0.25">
      <c r="A65" s="104">
        <v>55</v>
      </c>
      <c r="B65" s="105">
        <v>12.01</v>
      </c>
      <c r="C65" s="105">
        <v>2.08</v>
      </c>
      <c r="D65" s="105">
        <v>12.01</v>
      </c>
      <c r="E65" s="105">
        <v>2.08</v>
      </c>
    </row>
    <row r="66" spans="1:5" x14ac:dyDescent="0.25">
      <c r="A66" s="104">
        <v>56</v>
      </c>
      <c r="B66" s="105">
        <v>12.45</v>
      </c>
      <c r="C66" s="105">
        <v>2.13</v>
      </c>
      <c r="D66" s="105">
        <v>12.45</v>
      </c>
      <c r="E66" s="105">
        <v>2.13</v>
      </c>
    </row>
    <row r="67" spans="1:5" x14ac:dyDescent="0.25">
      <c r="A67" s="104">
        <v>57</v>
      </c>
      <c r="B67" s="105">
        <v>12.91</v>
      </c>
      <c r="C67" s="105">
        <v>2.1800000000000002</v>
      </c>
      <c r="D67" s="105">
        <v>12.91</v>
      </c>
      <c r="E67" s="105">
        <v>2.1800000000000002</v>
      </c>
    </row>
    <row r="68" spans="1:5" x14ac:dyDescent="0.25">
      <c r="A68" s="104">
        <v>58</v>
      </c>
      <c r="B68" s="105">
        <v>13.38</v>
      </c>
      <c r="C68" s="105">
        <v>2.23</v>
      </c>
      <c r="D68" s="105">
        <v>13.38</v>
      </c>
      <c r="E68" s="105">
        <v>2.23</v>
      </c>
    </row>
    <row r="69" spans="1:5" x14ac:dyDescent="0.25">
      <c r="A69" s="104">
        <v>59</v>
      </c>
      <c r="B69" s="105">
        <v>13.88</v>
      </c>
      <c r="C69" s="105">
        <v>2.2799999999999998</v>
      </c>
      <c r="D69" s="105">
        <v>13.88</v>
      </c>
      <c r="E69" s="105">
        <v>2.2799999999999998</v>
      </c>
    </row>
    <row r="70" spans="1:5" x14ac:dyDescent="0.25">
      <c r="A70" s="104">
        <v>60</v>
      </c>
      <c r="B70" s="105">
        <v>14.41</v>
      </c>
      <c r="C70" s="105">
        <v>2.33</v>
      </c>
      <c r="D70" s="105">
        <v>14.41</v>
      </c>
      <c r="E70" s="105">
        <v>2.33</v>
      </c>
    </row>
    <row r="71" spans="1:5" x14ac:dyDescent="0.25">
      <c r="A71" s="104">
        <v>61</v>
      </c>
      <c r="B71" s="105">
        <v>14.95</v>
      </c>
      <c r="C71" s="105">
        <v>2.38</v>
      </c>
      <c r="D71" s="105">
        <v>14.95</v>
      </c>
      <c r="E71" s="105">
        <v>2.38</v>
      </c>
    </row>
    <row r="72" spans="1:5" x14ac:dyDescent="0.25">
      <c r="A72" s="104">
        <v>62</v>
      </c>
      <c r="B72" s="105">
        <v>15.53</v>
      </c>
      <c r="C72" s="105">
        <v>2.42</v>
      </c>
      <c r="D72" s="105">
        <v>15.53</v>
      </c>
      <c r="E72" s="105">
        <v>2.42</v>
      </c>
    </row>
    <row r="73" spans="1:5" x14ac:dyDescent="0.25">
      <c r="A73" s="104">
        <v>63</v>
      </c>
      <c r="B73" s="105">
        <v>16.14</v>
      </c>
      <c r="C73" s="105">
        <v>2.46</v>
      </c>
      <c r="D73" s="105">
        <v>16.14</v>
      </c>
      <c r="E73" s="105">
        <v>2.46</v>
      </c>
    </row>
    <row r="74" spans="1:5" x14ac:dyDescent="0.25">
      <c r="A74" s="104">
        <v>64</v>
      </c>
      <c r="B74" s="105">
        <v>16.78</v>
      </c>
      <c r="C74" s="105">
        <v>2.5</v>
      </c>
      <c r="D74" s="105">
        <v>16.78</v>
      </c>
      <c r="E74" s="105">
        <v>2.5</v>
      </c>
    </row>
    <row r="75" spans="1:5" x14ac:dyDescent="0.25">
      <c r="A75" s="104">
        <v>65</v>
      </c>
      <c r="B75" s="105">
        <v>17.46</v>
      </c>
      <c r="C75" s="105">
        <v>2.54</v>
      </c>
      <c r="D75" s="105">
        <v>17.46</v>
      </c>
      <c r="E75" s="105">
        <v>2.54</v>
      </c>
    </row>
    <row r="76" spans="1:5" x14ac:dyDescent="0.25">
      <c r="A76" s="104">
        <v>66</v>
      </c>
      <c r="B76" s="105">
        <v>17.48</v>
      </c>
      <c r="C76" s="105">
        <v>2.5499999999999998</v>
      </c>
      <c r="D76" s="105">
        <v>17.48</v>
      </c>
      <c r="E76" s="105">
        <v>2.5499999999999998</v>
      </c>
    </row>
    <row r="77" spans="1:5" x14ac:dyDescent="0.25">
      <c r="A77" s="104">
        <v>67</v>
      </c>
      <c r="B77" s="105">
        <v>16.809999999999999</v>
      </c>
      <c r="C77" s="105">
        <v>2.5499999999999998</v>
      </c>
      <c r="D77" s="105">
        <v>16.809999999999999</v>
      </c>
      <c r="E77" s="105">
        <v>2.5499999999999998</v>
      </c>
    </row>
    <row r="78" spans="1:5" x14ac:dyDescent="0.25">
      <c r="A78" s="104">
        <v>68</v>
      </c>
      <c r="B78" s="105">
        <v>16.149999999999999</v>
      </c>
      <c r="C78" s="105">
        <v>2.5499999999999998</v>
      </c>
      <c r="D78" s="105">
        <v>16.149999999999999</v>
      </c>
      <c r="E78" s="105">
        <v>2.5499999999999998</v>
      </c>
    </row>
    <row r="79" spans="1:5" x14ac:dyDescent="0.25">
      <c r="A79" s="104">
        <v>69</v>
      </c>
      <c r="B79" s="105">
        <v>15.49</v>
      </c>
      <c r="C79" s="105">
        <v>2.54</v>
      </c>
      <c r="D79" s="105">
        <v>15.49</v>
      </c>
      <c r="E79" s="105">
        <v>2.54</v>
      </c>
    </row>
    <row r="80" spans="1:5" x14ac:dyDescent="0.25">
      <c r="A80" s="104">
        <v>70</v>
      </c>
      <c r="B80" s="105">
        <v>14.84</v>
      </c>
      <c r="C80" s="105">
        <v>2.5299999999999998</v>
      </c>
      <c r="D80" s="105">
        <v>14.84</v>
      </c>
      <c r="E80" s="105">
        <v>2.5299999999999998</v>
      </c>
    </row>
    <row r="81" spans="1:5" x14ac:dyDescent="0.25">
      <c r="A81" s="104">
        <v>71</v>
      </c>
      <c r="B81" s="105">
        <v>14.2</v>
      </c>
      <c r="C81" s="105">
        <v>2.5099999999999998</v>
      </c>
      <c r="D81" s="105">
        <v>14.2</v>
      </c>
      <c r="E81" s="105">
        <v>2.5099999999999998</v>
      </c>
    </row>
    <row r="82" spans="1:5" x14ac:dyDescent="0.25">
      <c r="A82" s="104">
        <v>72</v>
      </c>
      <c r="B82" s="105">
        <v>13.57</v>
      </c>
      <c r="C82" s="105">
        <v>2.5</v>
      </c>
      <c r="D82" s="105">
        <v>13.57</v>
      </c>
      <c r="E82" s="105">
        <v>2.5</v>
      </c>
    </row>
    <row r="83" spans="1:5" x14ac:dyDescent="0.25">
      <c r="A83" s="104">
        <v>73</v>
      </c>
      <c r="B83" s="105">
        <v>12.94</v>
      </c>
      <c r="C83" s="105">
        <v>2.4700000000000002</v>
      </c>
      <c r="D83" s="105">
        <v>12.94</v>
      </c>
      <c r="E83" s="105">
        <v>2.4700000000000002</v>
      </c>
    </row>
    <row r="84" spans="1:5" x14ac:dyDescent="0.25">
      <c r="A84" s="104">
        <v>74</v>
      </c>
      <c r="B84" s="105">
        <v>12.31</v>
      </c>
      <c r="C84" s="105">
        <v>2.4500000000000002</v>
      </c>
      <c r="D84" s="105">
        <v>12.31</v>
      </c>
      <c r="E84" s="105">
        <v>2.4500000000000002</v>
      </c>
    </row>
    <row r="85" spans="1:5" x14ac:dyDescent="0.25">
      <c r="A85" s="104">
        <v>75</v>
      </c>
      <c r="B85" s="105">
        <v>11.69</v>
      </c>
      <c r="C85" s="105">
        <v>2.42</v>
      </c>
      <c r="D85" s="105">
        <v>11.69</v>
      </c>
      <c r="E85" s="105">
        <v>2.42</v>
      </c>
    </row>
  </sheetData>
  <sheetProtection algorithmName="SHA-512" hashValue="2x3Jfb+qLkHUSVXu8IwBQiRPH7HEpnfnOIY35ebV+tsIElOu+7KJS/E0NGjwGvI6TeR6vO/v1oWHDC3eItS+sg==" saltValue="Ezv+IHB1CawRFDjusVRTJw==" spinCount="100000" sheet="1" objects="1" scenarios="1"/>
  <conditionalFormatting sqref="A6:A21">
    <cfRule type="expression" dxfId="1467" priority="1" stopIfTrue="1">
      <formula>MOD(ROW(),2)=0</formula>
    </cfRule>
    <cfRule type="expression" dxfId="1466" priority="2" stopIfTrue="1">
      <formula>MOD(ROW(),2)&lt;&gt;0</formula>
    </cfRule>
  </conditionalFormatting>
  <conditionalFormatting sqref="A26:A85">
    <cfRule type="expression" dxfId="1465" priority="7" stopIfTrue="1">
      <formula>MOD(ROW(),2)=0</formula>
    </cfRule>
    <cfRule type="expression" dxfId="1464" priority="8" stopIfTrue="1">
      <formula>MOD(ROW(),2)&lt;&gt;0</formula>
    </cfRule>
  </conditionalFormatting>
  <conditionalFormatting sqref="B12">
    <cfRule type="expression" dxfId="1463" priority="11" stopIfTrue="1">
      <formula>MOD(ROW(),2)=0</formula>
    </cfRule>
    <cfRule type="expression" dxfId="1462" priority="12" stopIfTrue="1">
      <formula>MOD(ROW(),2)&lt;&gt;0</formula>
    </cfRule>
  </conditionalFormatting>
  <conditionalFormatting sqref="B17:B20">
    <cfRule type="expression" dxfId="1461" priority="5" stopIfTrue="1">
      <formula>MOD(ROW(),2)=0</formula>
    </cfRule>
    <cfRule type="expression" dxfId="1460" priority="6" stopIfTrue="1">
      <formula>MOD(ROW(),2)&lt;&gt;0</formula>
    </cfRule>
  </conditionalFormatting>
  <conditionalFormatting sqref="B6:E6 C7:E7 B8:E11 C12:E12 B13:E16 C17:E20">
    <cfRule type="expression" dxfId="1459" priority="43" stopIfTrue="1">
      <formula>MOD(ROW(),2)=0</formula>
    </cfRule>
    <cfRule type="expression" dxfId="1458" priority="44" stopIfTrue="1">
      <formula>MOD(ROW(),2)&lt;&gt;0</formula>
    </cfRule>
  </conditionalFormatting>
  <conditionalFormatting sqref="B6:E21">
    <cfRule type="expression" dxfId="1457" priority="27" stopIfTrue="1">
      <formula>MOD(ROW(),2)=0</formula>
    </cfRule>
    <cfRule type="expression" dxfId="1456" priority="28" stopIfTrue="1">
      <formula>MOD(ROW(),2)&lt;&gt;0</formula>
    </cfRule>
  </conditionalFormatting>
  <conditionalFormatting sqref="B21:E21">
    <cfRule type="expression" dxfId="1455" priority="3" stopIfTrue="1">
      <formula>MOD(ROW(),2)=0</formula>
    </cfRule>
    <cfRule type="expression" dxfId="1454" priority="4" stopIfTrue="1">
      <formula>MOD(ROW(),2)&lt;&gt;0</formula>
    </cfRule>
  </conditionalFormatting>
  <conditionalFormatting sqref="B26:E85">
    <cfRule type="expression" dxfId="1453" priority="9" stopIfTrue="1">
      <formula>MOD(ROW(),2)=0</formula>
    </cfRule>
    <cfRule type="expression" dxfId="1452" priority="10" stopIfTrue="1">
      <formula>MOD(ROW(),2)&lt;&gt;0</formula>
    </cfRule>
  </conditionalFormatting>
  <hyperlinks>
    <hyperlink ref="B24" location="Sheet1!A1" display="Assumptions" xr:uid="{EE054176-BC35-4164-BEBE-51D5B512E6F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5"/>
  <dimension ref="A1:AE92"/>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31" ht="21" x14ac:dyDescent="0.4">
      <c r="A1" s="39" t="s">
        <v>0</v>
      </c>
      <c r="B1" s="40"/>
      <c r="C1" s="40"/>
      <c r="D1" s="40"/>
      <c r="E1" s="40"/>
      <c r="F1" s="40"/>
      <c r="G1" s="40"/>
      <c r="H1" s="40"/>
      <c r="I1" s="40"/>
    </row>
    <row r="2" spans="1:31"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31" ht="15.6" x14ac:dyDescent="0.3">
      <c r="A3" s="43" t="str">
        <f>TABLE_FACTOR_TYPE_1&amp;" - x-"&amp;TABLE_SERIES_NUMBER_1</f>
        <v>Allocation - x-802</v>
      </c>
      <c r="B3" s="42"/>
      <c r="C3" s="42"/>
      <c r="D3" s="42"/>
      <c r="E3" s="42"/>
      <c r="F3" s="42"/>
      <c r="G3" s="42"/>
      <c r="H3" s="42"/>
      <c r="I3" s="42"/>
    </row>
    <row r="4" spans="1:31" x14ac:dyDescent="0.25">
      <c r="A4" s="44"/>
    </row>
    <row r="6" spans="1:31" x14ac:dyDescent="0.25">
      <c r="A6" s="87" t="s">
        <v>290</v>
      </c>
      <c r="B6" s="185" t="s">
        <v>291</v>
      </c>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row>
    <row r="7" spans="1:31" x14ac:dyDescent="0.25">
      <c r="A7" s="81" t="s">
        <v>804</v>
      </c>
      <c r="B7" s="185" t="s">
        <v>324</v>
      </c>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row>
    <row r="8" spans="1:31" x14ac:dyDescent="0.25">
      <c r="A8" s="81" t="s">
        <v>805</v>
      </c>
      <c r="B8" s="185" t="s">
        <v>85</v>
      </c>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row>
    <row r="9" spans="1:31" x14ac:dyDescent="0.25">
      <c r="A9" s="81" t="s">
        <v>296</v>
      </c>
      <c r="B9" s="185" t="s">
        <v>688</v>
      </c>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row>
    <row r="10" spans="1:31" x14ac:dyDescent="0.25">
      <c r="A10" s="81" t="s">
        <v>6</v>
      </c>
      <c r="B10" s="185" t="s">
        <v>693</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row>
    <row r="11" spans="1:31" x14ac:dyDescent="0.25">
      <c r="A11" s="81" t="s">
        <v>299</v>
      </c>
      <c r="B11" s="185" t="s">
        <v>409</v>
      </c>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row>
    <row r="12" spans="1:31" x14ac:dyDescent="0.25">
      <c r="A12" s="81" t="s">
        <v>301</v>
      </c>
      <c r="B12" s="185" t="s">
        <v>690</v>
      </c>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row>
    <row r="13" spans="1:31" x14ac:dyDescent="0.25">
      <c r="A13" s="81" t="s">
        <v>303</v>
      </c>
      <c r="B13" s="185">
        <v>0</v>
      </c>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row>
    <row r="14" spans="1:31" x14ac:dyDescent="0.25">
      <c r="A14" s="81" t="s">
        <v>305</v>
      </c>
      <c r="B14" s="185">
        <v>802</v>
      </c>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row>
    <row r="15" spans="1:31" x14ac:dyDescent="0.25">
      <c r="A15" s="81" t="s">
        <v>307</v>
      </c>
      <c r="B15" s="185" t="s">
        <v>694</v>
      </c>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row>
    <row r="16" spans="1:31" x14ac:dyDescent="0.25">
      <c r="A16" s="81" t="s">
        <v>309</v>
      </c>
      <c r="B16" s="185" t="s">
        <v>695</v>
      </c>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row>
    <row r="17" spans="1:31" x14ac:dyDescent="0.25">
      <c r="A17" s="81" t="s">
        <v>803</v>
      </c>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row>
    <row r="18" spans="1:31" x14ac:dyDescent="0.25">
      <c r="A18" s="81" t="s">
        <v>313</v>
      </c>
      <c r="B18" s="188">
        <v>45184</v>
      </c>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row>
    <row r="19" spans="1:31" x14ac:dyDescent="0.25">
      <c r="A19" s="81" t="s">
        <v>315</v>
      </c>
      <c r="B19" s="188"/>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row>
    <row r="20" spans="1:31" x14ac:dyDescent="0.25">
      <c r="A20" s="81" t="s">
        <v>317</v>
      </c>
      <c r="B20" s="185" t="s">
        <v>331</v>
      </c>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row>
    <row r="21" spans="1:31" x14ac:dyDescent="0.25">
      <c r="A21" s="77" t="s">
        <v>323</v>
      </c>
      <c r="B21" s="185" t="s">
        <v>332</v>
      </c>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row>
    <row r="23" spans="1:31" x14ac:dyDescent="0.25">
      <c r="B23" s="102" t="str">
        <f>HYPERLINK("#'Factor List'!A1","Back to Factor List")</f>
        <v>Back to Factor List</v>
      </c>
    </row>
    <row r="24" spans="1:31" x14ac:dyDescent="0.25">
      <c r="B24" s="102" t="s">
        <v>13</v>
      </c>
    </row>
    <row r="25" spans="1:31" x14ac:dyDescent="0.25">
      <c r="B25" s="102"/>
    </row>
    <row r="26" spans="1:31" x14ac:dyDescent="0.25">
      <c r="A26" s="178" t="s">
        <v>972</v>
      </c>
      <c r="B26" s="83">
        <v>50</v>
      </c>
      <c r="C26" s="83">
        <v>51</v>
      </c>
      <c r="D26" s="83">
        <v>52</v>
      </c>
      <c r="E26" s="83">
        <v>53</v>
      </c>
      <c r="F26" s="83">
        <v>54</v>
      </c>
      <c r="G26" s="83">
        <v>55</v>
      </c>
      <c r="H26" s="83">
        <v>56</v>
      </c>
      <c r="I26" s="83">
        <v>57</v>
      </c>
      <c r="J26" s="83">
        <v>58</v>
      </c>
      <c r="K26" s="83">
        <v>59</v>
      </c>
      <c r="L26" s="83">
        <v>60</v>
      </c>
      <c r="M26" s="83">
        <v>61</v>
      </c>
      <c r="N26" s="83">
        <v>62</v>
      </c>
      <c r="O26" s="83">
        <v>63</v>
      </c>
      <c r="P26" s="83">
        <v>64</v>
      </c>
      <c r="Q26" s="83">
        <v>65</v>
      </c>
      <c r="R26" s="83">
        <v>66</v>
      </c>
      <c r="S26" s="83">
        <v>67</v>
      </c>
      <c r="T26" s="83">
        <v>68</v>
      </c>
      <c r="U26" s="83">
        <v>69</v>
      </c>
      <c r="V26" s="83">
        <v>70</v>
      </c>
      <c r="W26" s="83">
        <v>71</v>
      </c>
      <c r="X26" s="83">
        <v>72</v>
      </c>
      <c r="Y26" s="83">
        <v>73</v>
      </c>
      <c r="Z26" s="83">
        <v>74</v>
      </c>
      <c r="AA26" s="83">
        <v>75</v>
      </c>
      <c r="AB26" s="83">
        <v>76</v>
      </c>
      <c r="AC26" s="83">
        <v>77</v>
      </c>
      <c r="AD26" s="83">
        <v>78</v>
      </c>
      <c r="AE26" s="83">
        <v>79</v>
      </c>
    </row>
    <row r="27" spans="1:31" x14ac:dyDescent="0.25">
      <c r="A27" s="97">
        <v>20</v>
      </c>
      <c r="B27" s="96">
        <v>2.1120000000000001</v>
      </c>
      <c r="C27" s="96">
        <v>1.9890000000000001</v>
      </c>
      <c r="D27" s="96">
        <v>1.873</v>
      </c>
      <c r="E27" s="96">
        <v>1.7649999999999999</v>
      </c>
      <c r="F27" s="96">
        <v>1.6619999999999999</v>
      </c>
      <c r="G27" s="96">
        <v>1.5660000000000001</v>
      </c>
      <c r="H27" s="96">
        <v>1.4750000000000001</v>
      </c>
      <c r="I27" s="96">
        <v>1.389</v>
      </c>
      <c r="J27" s="96">
        <v>1.3080000000000001</v>
      </c>
      <c r="K27" s="96">
        <v>1.232</v>
      </c>
      <c r="L27" s="96">
        <v>1.159</v>
      </c>
      <c r="M27" s="96">
        <v>1.091</v>
      </c>
      <c r="N27" s="96">
        <v>1.026</v>
      </c>
      <c r="O27" s="96">
        <v>0.96499999999999997</v>
      </c>
      <c r="P27" s="96">
        <v>0.90700000000000003</v>
      </c>
      <c r="Q27" s="96">
        <v>0.85199999999999998</v>
      </c>
      <c r="R27" s="96">
        <v>0.8</v>
      </c>
      <c r="S27" s="96">
        <v>0.751</v>
      </c>
      <c r="T27" s="96">
        <v>0.70399999999999996</v>
      </c>
      <c r="U27" s="96">
        <v>0.65900000000000003</v>
      </c>
      <c r="V27" s="96">
        <v>0.61699999999999999</v>
      </c>
      <c r="W27" s="96">
        <v>0.57699999999999996</v>
      </c>
      <c r="X27" s="96">
        <v>0.54</v>
      </c>
      <c r="Y27" s="96">
        <v>0.504</v>
      </c>
      <c r="Z27" s="96">
        <v>0.47099999999999997</v>
      </c>
      <c r="AA27" s="96">
        <v>0.439</v>
      </c>
      <c r="AB27" s="96">
        <v>0.40899999999999997</v>
      </c>
      <c r="AC27" s="96">
        <v>0.38200000000000001</v>
      </c>
      <c r="AD27" s="96">
        <v>0.35599999999999998</v>
      </c>
      <c r="AE27" s="96">
        <v>0.33100000000000002</v>
      </c>
    </row>
    <row r="28" spans="1:31" x14ac:dyDescent="0.25">
      <c r="A28" s="97">
        <v>21</v>
      </c>
      <c r="B28" s="89">
        <v>2.1669999999999998</v>
      </c>
      <c r="C28" s="89">
        <v>2.0390000000000001</v>
      </c>
      <c r="D28" s="89">
        <v>1.919</v>
      </c>
      <c r="E28" s="89">
        <v>1.806</v>
      </c>
      <c r="F28" s="89">
        <v>1.7</v>
      </c>
      <c r="G28" s="89">
        <v>1.601</v>
      </c>
      <c r="H28" s="89">
        <v>1.5069999999999999</v>
      </c>
      <c r="I28" s="89">
        <v>1.4179999999999999</v>
      </c>
      <c r="J28" s="89">
        <v>1.335</v>
      </c>
      <c r="K28" s="89">
        <v>1.256</v>
      </c>
      <c r="L28" s="89">
        <v>1.181</v>
      </c>
      <c r="M28" s="89">
        <v>1.111</v>
      </c>
      <c r="N28" s="89">
        <v>1.0449999999999999</v>
      </c>
      <c r="O28" s="89">
        <v>0.98199999999999998</v>
      </c>
      <c r="P28" s="89">
        <v>0.92200000000000004</v>
      </c>
      <c r="Q28" s="89">
        <v>0.86599999999999999</v>
      </c>
      <c r="R28" s="89">
        <v>0.81299999999999994</v>
      </c>
      <c r="S28" s="89">
        <v>0.76200000000000001</v>
      </c>
      <c r="T28" s="89">
        <v>0.71399999999999997</v>
      </c>
      <c r="U28" s="89">
        <v>0.66900000000000004</v>
      </c>
      <c r="V28" s="89">
        <v>0.626</v>
      </c>
      <c r="W28" s="89">
        <v>0.58499999999999996</v>
      </c>
      <c r="X28" s="89">
        <v>0.54700000000000004</v>
      </c>
      <c r="Y28" s="89">
        <v>0.51100000000000001</v>
      </c>
      <c r="Z28" s="89">
        <v>0.47699999999999998</v>
      </c>
      <c r="AA28" s="89">
        <v>0.44500000000000001</v>
      </c>
      <c r="AB28" s="89">
        <v>0.41499999999999998</v>
      </c>
      <c r="AC28" s="89">
        <v>0.38600000000000001</v>
      </c>
      <c r="AD28" s="89">
        <v>0.36</v>
      </c>
      <c r="AE28" s="89">
        <v>0.33500000000000002</v>
      </c>
    </row>
    <row r="29" spans="1:31" x14ac:dyDescent="0.25">
      <c r="A29" s="97">
        <v>22</v>
      </c>
      <c r="B29" s="89">
        <v>2.226</v>
      </c>
      <c r="C29" s="89">
        <v>2.0920000000000001</v>
      </c>
      <c r="D29" s="89">
        <v>1.968</v>
      </c>
      <c r="E29" s="89">
        <v>1.85</v>
      </c>
      <c r="F29" s="89">
        <v>1.7410000000000001</v>
      </c>
      <c r="G29" s="89">
        <v>1.637</v>
      </c>
      <c r="H29" s="89">
        <v>1.54</v>
      </c>
      <c r="I29" s="89">
        <v>1.4490000000000001</v>
      </c>
      <c r="J29" s="89">
        <v>1.3620000000000001</v>
      </c>
      <c r="K29" s="89">
        <v>1.2809999999999999</v>
      </c>
      <c r="L29" s="89">
        <v>1.2050000000000001</v>
      </c>
      <c r="M29" s="89">
        <v>1.1319999999999999</v>
      </c>
      <c r="N29" s="89">
        <v>1.0640000000000001</v>
      </c>
      <c r="O29" s="89">
        <v>0.999</v>
      </c>
      <c r="P29" s="89">
        <v>0.93799999999999994</v>
      </c>
      <c r="Q29" s="89">
        <v>0.88100000000000001</v>
      </c>
      <c r="R29" s="89">
        <v>0.82599999999999996</v>
      </c>
      <c r="S29" s="89">
        <v>0.77500000000000002</v>
      </c>
      <c r="T29" s="89">
        <v>0.72599999999999998</v>
      </c>
      <c r="U29" s="89">
        <v>0.67900000000000005</v>
      </c>
      <c r="V29" s="89">
        <v>0.63600000000000001</v>
      </c>
      <c r="W29" s="89">
        <v>0.59399999999999997</v>
      </c>
      <c r="X29" s="89">
        <v>0.55500000000000005</v>
      </c>
      <c r="Y29" s="89">
        <v>0.51800000000000002</v>
      </c>
      <c r="Z29" s="89">
        <v>0.48299999999999998</v>
      </c>
      <c r="AA29" s="89">
        <v>0.45100000000000001</v>
      </c>
      <c r="AB29" s="89">
        <v>0.42</v>
      </c>
      <c r="AC29" s="89">
        <v>0.39100000000000001</v>
      </c>
      <c r="AD29" s="89">
        <v>0.36399999999999999</v>
      </c>
      <c r="AE29" s="89">
        <v>0.33900000000000002</v>
      </c>
    </row>
    <row r="30" spans="1:31" x14ac:dyDescent="0.25">
      <c r="A30" s="97">
        <v>23</v>
      </c>
      <c r="B30" s="89">
        <v>2.2879999999999998</v>
      </c>
      <c r="C30" s="89">
        <v>2.149</v>
      </c>
      <c r="D30" s="89">
        <v>2.0190000000000001</v>
      </c>
      <c r="E30" s="89">
        <v>1.897</v>
      </c>
      <c r="F30" s="89">
        <v>1.7829999999999999</v>
      </c>
      <c r="G30" s="89">
        <v>1.6759999999999999</v>
      </c>
      <c r="H30" s="89">
        <v>1.575</v>
      </c>
      <c r="I30" s="89">
        <v>1.4810000000000001</v>
      </c>
      <c r="J30" s="89">
        <v>1.3919999999999999</v>
      </c>
      <c r="K30" s="89">
        <v>1.3080000000000001</v>
      </c>
      <c r="L30" s="89">
        <v>1.2290000000000001</v>
      </c>
      <c r="M30" s="89">
        <v>1.155</v>
      </c>
      <c r="N30" s="89">
        <v>1.0840000000000001</v>
      </c>
      <c r="O30" s="89">
        <v>1.018</v>
      </c>
      <c r="P30" s="89">
        <v>0.95499999999999996</v>
      </c>
      <c r="Q30" s="89">
        <v>0.89600000000000002</v>
      </c>
      <c r="R30" s="89">
        <v>0.84</v>
      </c>
      <c r="S30" s="89">
        <v>0.78800000000000003</v>
      </c>
      <c r="T30" s="89">
        <v>0.73699999999999999</v>
      </c>
      <c r="U30" s="89">
        <v>0.69</v>
      </c>
      <c r="V30" s="89">
        <v>0.64500000000000002</v>
      </c>
      <c r="W30" s="89">
        <v>0.60299999999999998</v>
      </c>
      <c r="X30" s="89">
        <v>0.56299999999999994</v>
      </c>
      <c r="Y30" s="89">
        <v>0.52600000000000002</v>
      </c>
      <c r="Z30" s="89">
        <v>0.49</v>
      </c>
      <c r="AA30" s="89">
        <v>0.45700000000000002</v>
      </c>
      <c r="AB30" s="89">
        <v>0.42599999999999999</v>
      </c>
      <c r="AC30" s="89">
        <v>0.39700000000000002</v>
      </c>
      <c r="AD30" s="89">
        <v>0.36899999999999999</v>
      </c>
      <c r="AE30" s="89">
        <v>0.34399999999999997</v>
      </c>
    </row>
    <row r="31" spans="1:31" x14ac:dyDescent="0.25">
      <c r="A31" s="97">
        <v>24</v>
      </c>
      <c r="B31" s="89">
        <v>2.355</v>
      </c>
      <c r="C31" s="89">
        <v>2.21</v>
      </c>
      <c r="D31" s="89">
        <v>2.0739999999999998</v>
      </c>
      <c r="E31" s="89">
        <v>1.9470000000000001</v>
      </c>
      <c r="F31" s="89">
        <v>1.8280000000000001</v>
      </c>
      <c r="G31" s="89">
        <v>1.7170000000000001</v>
      </c>
      <c r="H31" s="89">
        <v>1.613</v>
      </c>
      <c r="I31" s="89">
        <v>1.5149999999999999</v>
      </c>
      <c r="J31" s="89">
        <v>1.423</v>
      </c>
      <c r="K31" s="89">
        <v>1.3360000000000001</v>
      </c>
      <c r="L31" s="89">
        <v>1.2549999999999999</v>
      </c>
      <c r="M31" s="89">
        <v>1.1779999999999999</v>
      </c>
      <c r="N31" s="89">
        <v>1.1060000000000001</v>
      </c>
      <c r="O31" s="89">
        <v>1.038</v>
      </c>
      <c r="P31" s="89">
        <v>0.97299999999999998</v>
      </c>
      <c r="Q31" s="89">
        <v>0.91300000000000003</v>
      </c>
      <c r="R31" s="89">
        <v>0.85499999999999998</v>
      </c>
      <c r="S31" s="89">
        <v>0.80100000000000005</v>
      </c>
      <c r="T31" s="89">
        <v>0.75</v>
      </c>
      <c r="U31" s="89">
        <v>0.70099999999999996</v>
      </c>
      <c r="V31" s="89">
        <v>0.65600000000000003</v>
      </c>
      <c r="W31" s="89">
        <v>0.61199999999999999</v>
      </c>
      <c r="X31" s="89">
        <v>0.57199999999999995</v>
      </c>
      <c r="Y31" s="89">
        <v>0.53300000000000003</v>
      </c>
      <c r="Z31" s="89">
        <v>0.497</v>
      </c>
      <c r="AA31" s="89">
        <v>0.46300000000000002</v>
      </c>
      <c r="AB31" s="89">
        <v>0.432</v>
      </c>
      <c r="AC31" s="89">
        <v>0.40200000000000002</v>
      </c>
      <c r="AD31" s="89">
        <v>0.374</v>
      </c>
      <c r="AE31" s="89">
        <v>0.34799999999999998</v>
      </c>
    </row>
    <row r="32" spans="1:31" x14ac:dyDescent="0.25">
      <c r="A32" s="97">
        <v>25</v>
      </c>
      <c r="B32" s="89">
        <v>2.427</v>
      </c>
      <c r="C32" s="89">
        <v>2.2749999999999999</v>
      </c>
      <c r="D32" s="89">
        <v>2.133</v>
      </c>
      <c r="E32" s="89">
        <v>2</v>
      </c>
      <c r="F32" s="89">
        <v>1.877</v>
      </c>
      <c r="G32" s="89">
        <v>1.7609999999999999</v>
      </c>
      <c r="H32" s="89">
        <v>1.653</v>
      </c>
      <c r="I32" s="89">
        <v>1.5509999999999999</v>
      </c>
      <c r="J32" s="89">
        <v>1.456</v>
      </c>
      <c r="K32" s="89">
        <v>1.3660000000000001</v>
      </c>
      <c r="L32" s="89">
        <v>1.282</v>
      </c>
      <c r="M32" s="89">
        <v>1.2030000000000001</v>
      </c>
      <c r="N32" s="89">
        <v>1.1279999999999999</v>
      </c>
      <c r="O32" s="89">
        <v>1.0580000000000001</v>
      </c>
      <c r="P32" s="89">
        <v>0.99199999999999999</v>
      </c>
      <c r="Q32" s="89">
        <v>0.93</v>
      </c>
      <c r="R32" s="89">
        <v>0.871</v>
      </c>
      <c r="S32" s="89">
        <v>0.81499999999999995</v>
      </c>
      <c r="T32" s="89">
        <v>0.76300000000000001</v>
      </c>
      <c r="U32" s="89">
        <v>0.71299999999999997</v>
      </c>
      <c r="V32" s="89">
        <v>0.66600000000000004</v>
      </c>
      <c r="W32" s="89">
        <v>0.622</v>
      </c>
      <c r="X32" s="89">
        <v>0.58099999999999996</v>
      </c>
      <c r="Y32" s="89">
        <v>0.54100000000000004</v>
      </c>
      <c r="Z32" s="89">
        <v>0.505</v>
      </c>
      <c r="AA32" s="89">
        <v>0.47</v>
      </c>
      <c r="AB32" s="89">
        <v>0.438</v>
      </c>
      <c r="AC32" s="89">
        <v>0.40799999999999997</v>
      </c>
      <c r="AD32" s="89">
        <v>0.379</v>
      </c>
      <c r="AE32" s="89">
        <v>0.35299999999999998</v>
      </c>
    </row>
    <row r="33" spans="1:31" x14ac:dyDescent="0.25">
      <c r="A33" s="97">
        <v>26</v>
      </c>
      <c r="B33" s="89">
        <v>2.5030000000000001</v>
      </c>
      <c r="C33" s="89">
        <v>2.3439999999999999</v>
      </c>
      <c r="D33" s="89">
        <v>2.1949999999999998</v>
      </c>
      <c r="E33" s="89">
        <v>2.0569999999999999</v>
      </c>
      <c r="F33" s="89">
        <v>1.9279999999999999</v>
      </c>
      <c r="G33" s="89">
        <v>1.8080000000000001</v>
      </c>
      <c r="H33" s="89">
        <v>1.6950000000000001</v>
      </c>
      <c r="I33" s="89">
        <v>1.589</v>
      </c>
      <c r="J33" s="89">
        <v>1.4910000000000001</v>
      </c>
      <c r="K33" s="89">
        <v>1.3979999999999999</v>
      </c>
      <c r="L33" s="89">
        <v>1.3109999999999999</v>
      </c>
      <c r="M33" s="89">
        <v>1.2290000000000001</v>
      </c>
      <c r="N33" s="89">
        <v>1.1519999999999999</v>
      </c>
      <c r="O33" s="89">
        <v>1.08</v>
      </c>
      <c r="P33" s="89">
        <v>1.012</v>
      </c>
      <c r="Q33" s="89">
        <v>0.94799999999999995</v>
      </c>
      <c r="R33" s="89">
        <v>0.88700000000000001</v>
      </c>
      <c r="S33" s="89">
        <v>0.83</v>
      </c>
      <c r="T33" s="89">
        <v>0.77600000000000002</v>
      </c>
      <c r="U33" s="89">
        <v>0.72599999999999998</v>
      </c>
      <c r="V33" s="89">
        <v>0.67800000000000005</v>
      </c>
      <c r="W33" s="89">
        <v>0.63200000000000001</v>
      </c>
      <c r="X33" s="89">
        <v>0.59</v>
      </c>
      <c r="Y33" s="89">
        <v>0.55000000000000004</v>
      </c>
      <c r="Z33" s="89">
        <v>0.51300000000000001</v>
      </c>
      <c r="AA33" s="89">
        <v>0.47699999999999998</v>
      </c>
      <c r="AB33" s="89">
        <v>0.44400000000000001</v>
      </c>
      <c r="AC33" s="89">
        <v>0.41299999999999998</v>
      </c>
      <c r="AD33" s="89">
        <v>0.38500000000000001</v>
      </c>
      <c r="AE33" s="89">
        <v>0.35799999999999998</v>
      </c>
    </row>
    <row r="34" spans="1:31" x14ac:dyDescent="0.25">
      <c r="A34" s="97">
        <v>27</v>
      </c>
      <c r="B34" s="89">
        <v>2.5859999999999999</v>
      </c>
      <c r="C34" s="89">
        <v>2.4180000000000001</v>
      </c>
      <c r="D34" s="89">
        <v>2.2629999999999999</v>
      </c>
      <c r="E34" s="89">
        <v>2.1179999999999999</v>
      </c>
      <c r="F34" s="89">
        <v>1.9830000000000001</v>
      </c>
      <c r="G34" s="89">
        <v>1.857</v>
      </c>
      <c r="H34" s="89">
        <v>1.74</v>
      </c>
      <c r="I34" s="89">
        <v>1.63</v>
      </c>
      <c r="J34" s="89">
        <v>1.528</v>
      </c>
      <c r="K34" s="89">
        <v>1.4319999999999999</v>
      </c>
      <c r="L34" s="89">
        <v>1.341</v>
      </c>
      <c r="M34" s="89">
        <v>1.2569999999999999</v>
      </c>
      <c r="N34" s="89">
        <v>1.177</v>
      </c>
      <c r="O34" s="89">
        <v>1.103</v>
      </c>
      <c r="P34" s="89">
        <v>1.0329999999999999</v>
      </c>
      <c r="Q34" s="89">
        <v>0.96699999999999997</v>
      </c>
      <c r="R34" s="89">
        <v>0.90500000000000003</v>
      </c>
      <c r="S34" s="89">
        <v>0.84599999999999997</v>
      </c>
      <c r="T34" s="89">
        <v>0.79100000000000004</v>
      </c>
      <c r="U34" s="89">
        <v>0.73899999999999999</v>
      </c>
      <c r="V34" s="89">
        <v>0.69</v>
      </c>
      <c r="W34" s="89">
        <v>0.64300000000000002</v>
      </c>
      <c r="X34" s="89">
        <v>0.6</v>
      </c>
      <c r="Y34" s="89">
        <v>0.55900000000000005</v>
      </c>
      <c r="Z34" s="89">
        <v>0.52100000000000002</v>
      </c>
      <c r="AA34" s="89">
        <v>0.48499999999999999</v>
      </c>
      <c r="AB34" s="89">
        <v>0.45100000000000001</v>
      </c>
      <c r="AC34" s="89">
        <v>0.42</v>
      </c>
      <c r="AD34" s="89">
        <v>0.39</v>
      </c>
      <c r="AE34" s="89">
        <v>0.36299999999999999</v>
      </c>
    </row>
    <row r="35" spans="1:31" x14ac:dyDescent="0.25">
      <c r="A35" s="97">
        <v>28</v>
      </c>
      <c r="B35" s="89">
        <v>2.6739999999999999</v>
      </c>
      <c r="C35" s="89">
        <v>2.4980000000000002</v>
      </c>
      <c r="D35" s="89">
        <v>2.3340000000000001</v>
      </c>
      <c r="E35" s="89">
        <v>2.1829999999999998</v>
      </c>
      <c r="F35" s="89">
        <v>2.0419999999999998</v>
      </c>
      <c r="G35" s="89">
        <v>1.91</v>
      </c>
      <c r="H35" s="89">
        <v>1.788</v>
      </c>
      <c r="I35" s="89">
        <v>1.6739999999999999</v>
      </c>
      <c r="J35" s="89">
        <v>1.5669999999999999</v>
      </c>
      <c r="K35" s="89">
        <v>1.4670000000000001</v>
      </c>
      <c r="L35" s="89">
        <v>1.3740000000000001</v>
      </c>
      <c r="M35" s="89">
        <v>1.286</v>
      </c>
      <c r="N35" s="89">
        <v>1.204</v>
      </c>
      <c r="O35" s="89">
        <v>1.127</v>
      </c>
      <c r="P35" s="89">
        <v>1.0549999999999999</v>
      </c>
      <c r="Q35" s="89">
        <v>0.98699999999999999</v>
      </c>
      <c r="R35" s="89">
        <v>0.92300000000000004</v>
      </c>
      <c r="S35" s="89">
        <v>0.86299999999999999</v>
      </c>
      <c r="T35" s="89">
        <v>0.80600000000000005</v>
      </c>
      <c r="U35" s="89">
        <v>0.752</v>
      </c>
      <c r="V35" s="89">
        <v>0.70199999999999996</v>
      </c>
      <c r="W35" s="89">
        <v>0.65500000000000003</v>
      </c>
      <c r="X35" s="89">
        <v>0.61</v>
      </c>
      <c r="Y35" s="89">
        <v>0.56799999999999995</v>
      </c>
      <c r="Z35" s="89">
        <v>0.52900000000000003</v>
      </c>
      <c r="AA35" s="89">
        <v>0.49199999999999999</v>
      </c>
      <c r="AB35" s="89">
        <v>0.45800000000000002</v>
      </c>
      <c r="AC35" s="89">
        <v>0.42599999999999999</v>
      </c>
      <c r="AD35" s="89">
        <v>0.39600000000000002</v>
      </c>
      <c r="AE35" s="89">
        <v>0.36799999999999999</v>
      </c>
    </row>
    <row r="36" spans="1:31" x14ac:dyDescent="0.25">
      <c r="A36" s="97">
        <v>29</v>
      </c>
      <c r="B36" s="89">
        <v>2.77</v>
      </c>
      <c r="C36" s="89">
        <v>2.5840000000000001</v>
      </c>
      <c r="D36" s="89">
        <v>2.4119999999999999</v>
      </c>
      <c r="E36" s="89">
        <v>2.2519999999999998</v>
      </c>
      <c r="F36" s="89">
        <v>2.1040000000000001</v>
      </c>
      <c r="G36" s="89">
        <v>1.9670000000000001</v>
      </c>
      <c r="H36" s="89">
        <v>1.839</v>
      </c>
      <c r="I36" s="89">
        <v>1.72</v>
      </c>
      <c r="J36" s="89">
        <v>1.609</v>
      </c>
      <c r="K36" s="89">
        <v>1.5049999999999999</v>
      </c>
      <c r="L36" s="89">
        <v>1.4079999999999999</v>
      </c>
      <c r="M36" s="89">
        <v>1.3169999999999999</v>
      </c>
      <c r="N36" s="89">
        <v>1.232</v>
      </c>
      <c r="O36" s="89">
        <v>1.153</v>
      </c>
      <c r="P36" s="89">
        <v>1.0780000000000001</v>
      </c>
      <c r="Q36" s="89">
        <v>1.008</v>
      </c>
      <c r="R36" s="89">
        <v>0.94199999999999995</v>
      </c>
      <c r="S36" s="89">
        <v>0.88</v>
      </c>
      <c r="T36" s="89">
        <v>0.82199999999999995</v>
      </c>
      <c r="U36" s="89">
        <v>0.76700000000000002</v>
      </c>
      <c r="V36" s="89">
        <v>0.71499999999999997</v>
      </c>
      <c r="W36" s="89">
        <v>0.66600000000000004</v>
      </c>
      <c r="X36" s="89">
        <v>0.621</v>
      </c>
      <c r="Y36" s="89">
        <v>0.57799999999999996</v>
      </c>
      <c r="Z36" s="89">
        <v>0.53800000000000003</v>
      </c>
      <c r="AA36" s="89">
        <v>0.501</v>
      </c>
      <c r="AB36" s="89">
        <v>0.46500000000000002</v>
      </c>
      <c r="AC36" s="89">
        <v>0.433</v>
      </c>
      <c r="AD36" s="89">
        <v>0.40200000000000002</v>
      </c>
      <c r="AE36" s="89">
        <v>0.374</v>
      </c>
    </row>
    <row r="37" spans="1:31" x14ac:dyDescent="0.25">
      <c r="A37" s="97">
        <v>30</v>
      </c>
      <c r="B37" s="89">
        <v>2.8719999999999999</v>
      </c>
      <c r="C37" s="89">
        <v>2.6760000000000002</v>
      </c>
      <c r="D37" s="89">
        <v>2.4950000000000001</v>
      </c>
      <c r="E37" s="89">
        <v>2.327</v>
      </c>
      <c r="F37" s="89">
        <v>2.1720000000000002</v>
      </c>
      <c r="G37" s="89">
        <v>2.028</v>
      </c>
      <c r="H37" s="89">
        <v>1.8939999999999999</v>
      </c>
      <c r="I37" s="89">
        <v>1.7689999999999999</v>
      </c>
      <c r="J37" s="89">
        <v>1.6539999999999999</v>
      </c>
      <c r="K37" s="89">
        <v>1.546</v>
      </c>
      <c r="L37" s="89">
        <v>1.4450000000000001</v>
      </c>
      <c r="M37" s="89">
        <v>1.351</v>
      </c>
      <c r="N37" s="89">
        <v>1.262</v>
      </c>
      <c r="O37" s="89">
        <v>1.18</v>
      </c>
      <c r="P37" s="89">
        <v>1.103</v>
      </c>
      <c r="Q37" s="89">
        <v>1.03</v>
      </c>
      <c r="R37" s="89">
        <v>0.96199999999999997</v>
      </c>
      <c r="S37" s="89">
        <v>0.89800000000000002</v>
      </c>
      <c r="T37" s="89">
        <v>0.83799999999999997</v>
      </c>
      <c r="U37" s="89">
        <v>0.78200000000000003</v>
      </c>
      <c r="V37" s="89">
        <v>0.72899999999999998</v>
      </c>
      <c r="W37" s="89">
        <v>0.67900000000000005</v>
      </c>
      <c r="X37" s="89">
        <v>0.63200000000000001</v>
      </c>
      <c r="Y37" s="89">
        <v>0.58799999999999997</v>
      </c>
      <c r="Z37" s="89">
        <v>0.54700000000000004</v>
      </c>
      <c r="AA37" s="89">
        <v>0.50900000000000001</v>
      </c>
      <c r="AB37" s="89">
        <v>0.47299999999999998</v>
      </c>
      <c r="AC37" s="89">
        <v>0.44</v>
      </c>
      <c r="AD37" s="89">
        <v>0.40899999999999997</v>
      </c>
      <c r="AE37" s="89">
        <v>0.38</v>
      </c>
    </row>
    <row r="38" spans="1:31" x14ac:dyDescent="0.25">
      <c r="A38" s="97">
        <v>31</v>
      </c>
      <c r="B38" s="89">
        <v>2.984</v>
      </c>
      <c r="C38" s="89">
        <v>2.7759999999999998</v>
      </c>
      <c r="D38" s="89">
        <v>2.5840000000000001</v>
      </c>
      <c r="E38" s="89">
        <v>2.407</v>
      </c>
      <c r="F38" s="89">
        <v>2.2440000000000002</v>
      </c>
      <c r="G38" s="89">
        <v>2.093</v>
      </c>
      <c r="H38" s="89">
        <v>1.952</v>
      </c>
      <c r="I38" s="89">
        <v>1.8220000000000001</v>
      </c>
      <c r="J38" s="89">
        <v>1.7010000000000001</v>
      </c>
      <c r="K38" s="89">
        <v>1.589</v>
      </c>
      <c r="L38" s="89">
        <v>1.484</v>
      </c>
      <c r="M38" s="89">
        <v>1.3859999999999999</v>
      </c>
      <c r="N38" s="89">
        <v>1.294</v>
      </c>
      <c r="O38" s="89">
        <v>1.2090000000000001</v>
      </c>
      <c r="P38" s="89">
        <v>1.129</v>
      </c>
      <c r="Q38" s="89">
        <v>1.054</v>
      </c>
      <c r="R38" s="89">
        <v>0.98399999999999999</v>
      </c>
      <c r="S38" s="89">
        <v>0.91800000000000004</v>
      </c>
      <c r="T38" s="89">
        <v>0.85599999999999998</v>
      </c>
      <c r="U38" s="89">
        <v>0.79800000000000004</v>
      </c>
      <c r="V38" s="89">
        <v>0.74299999999999999</v>
      </c>
      <c r="W38" s="89">
        <v>0.69199999999999995</v>
      </c>
      <c r="X38" s="89">
        <v>0.64400000000000002</v>
      </c>
      <c r="Y38" s="89">
        <v>0.59899999999999998</v>
      </c>
      <c r="Z38" s="89">
        <v>0.55700000000000005</v>
      </c>
      <c r="AA38" s="89">
        <v>0.51800000000000002</v>
      </c>
      <c r="AB38" s="89">
        <v>0.48099999999999998</v>
      </c>
      <c r="AC38" s="89">
        <v>0.44700000000000001</v>
      </c>
      <c r="AD38" s="89">
        <v>0.41499999999999998</v>
      </c>
      <c r="AE38" s="89">
        <v>0.38600000000000001</v>
      </c>
    </row>
    <row r="39" spans="1:31" x14ac:dyDescent="0.25">
      <c r="A39" s="97">
        <v>32</v>
      </c>
      <c r="B39" s="89">
        <v>3.1040000000000001</v>
      </c>
      <c r="C39" s="89">
        <v>2.883</v>
      </c>
      <c r="D39" s="89">
        <v>2.681</v>
      </c>
      <c r="E39" s="89">
        <v>2.4940000000000002</v>
      </c>
      <c r="F39" s="89">
        <v>2.3220000000000001</v>
      </c>
      <c r="G39" s="89">
        <v>2.1619999999999999</v>
      </c>
      <c r="H39" s="89">
        <v>2.0150000000000001</v>
      </c>
      <c r="I39" s="89">
        <v>1.879</v>
      </c>
      <c r="J39" s="89">
        <v>1.752</v>
      </c>
      <c r="K39" s="89">
        <v>1.6339999999999999</v>
      </c>
      <c r="L39" s="89">
        <v>1.5249999999999999</v>
      </c>
      <c r="M39" s="89">
        <v>1.423</v>
      </c>
      <c r="N39" s="89">
        <v>1.3280000000000001</v>
      </c>
      <c r="O39" s="89">
        <v>1.2390000000000001</v>
      </c>
      <c r="P39" s="89">
        <v>1.157</v>
      </c>
      <c r="Q39" s="89">
        <v>1.079</v>
      </c>
      <c r="R39" s="89">
        <v>1.0069999999999999</v>
      </c>
      <c r="S39" s="89">
        <v>0.93799999999999994</v>
      </c>
      <c r="T39" s="89">
        <v>0.875</v>
      </c>
      <c r="U39" s="89">
        <v>0.81499999999999995</v>
      </c>
      <c r="V39" s="89">
        <v>0.75900000000000001</v>
      </c>
      <c r="W39" s="89">
        <v>0.70599999999999996</v>
      </c>
      <c r="X39" s="89">
        <v>0.65700000000000003</v>
      </c>
      <c r="Y39" s="89">
        <v>0.61099999999999999</v>
      </c>
      <c r="Z39" s="89">
        <v>0.56799999999999995</v>
      </c>
      <c r="AA39" s="89">
        <v>0.52700000000000002</v>
      </c>
      <c r="AB39" s="89">
        <v>0.49</v>
      </c>
      <c r="AC39" s="89">
        <v>0.45500000000000002</v>
      </c>
      <c r="AD39" s="89">
        <v>0.42199999999999999</v>
      </c>
      <c r="AE39" s="89">
        <v>0.39200000000000002</v>
      </c>
    </row>
    <row r="40" spans="1:31" x14ac:dyDescent="0.25">
      <c r="A40" s="97">
        <v>33</v>
      </c>
      <c r="B40" s="89">
        <v>3.2349999999999999</v>
      </c>
      <c r="C40" s="89">
        <v>3</v>
      </c>
      <c r="D40" s="89">
        <v>2.7850000000000001</v>
      </c>
      <c r="E40" s="89">
        <v>2.5870000000000002</v>
      </c>
      <c r="F40" s="89">
        <v>2.4049999999999998</v>
      </c>
      <c r="G40" s="89">
        <v>2.2370000000000001</v>
      </c>
      <c r="H40" s="89">
        <v>2.0830000000000002</v>
      </c>
      <c r="I40" s="89">
        <v>1.9390000000000001</v>
      </c>
      <c r="J40" s="89">
        <v>1.8069999999999999</v>
      </c>
      <c r="K40" s="89">
        <v>1.6839999999999999</v>
      </c>
      <c r="L40" s="89">
        <v>1.569</v>
      </c>
      <c r="M40" s="89">
        <v>1.4630000000000001</v>
      </c>
      <c r="N40" s="89">
        <v>1.3640000000000001</v>
      </c>
      <c r="O40" s="89">
        <v>1.272</v>
      </c>
      <c r="P40" s="89">
        <v>1.1859999999999999</v>
      </c>
      <c r="Q40" s="89">
        <v>1.1060000000000001</v>
      </c>
      <c r="R40" s="89">
        <v>1.0309999999999999</v>
      </c>
      <c r="S40" s="89">
        <v>0.96</v>
      </c>
      <c r="T40" s="89">
        <v>0.89400000000000002</v>
      </c>
      <c r="U40" s="89">
        <v>0.83299999999999996</v>
      </c>
      <c r="V40" s="89">
        <v>0.77500000000000002</v>
      </c>
      <c r="W40" s="89">
        <v>0.72099999999999997</v>
      </c>
      <c r="X40" s="89">
        <v>0.67</v>
      </c>
      <c r="Y40" s="89">
        <v>0.623</v>
      </c>
      <c r="Z40" s="89">
        <v>0.57899999999999996</v>
      </c>
      <c r="AA40" s="89">
        <v>0.53700000000000003</v>
      </c>
      <c r="AB40" s="89">
        <v>0.499</v>
      </c>
      <c r="AC40" s="89">
        <v>0.46300000000000002</v>
      </c>
      <c r="AD40" s="89">
        <v>0.43</v>
      </c>
      <c r="AE40" s="89">
        <v>0.39900000000000002</v>
      </c>
    </row>
    <row r="41" spans="1:31" x14ac:dyDescent="0.25">
      <c r="A41" s="97">
        <v>34</v>
      </c>
      <c r="B41" s="89">
        <v>3.3769999999999998</v>
      </c>
      <c r="C41" s="89">
        <v>3.1269999999999998</v>
      </c>
      <c r="D41" s="89">
        <v>2.8980000000000001</v>
      </c>
      <c r="E41" s="89">
        <v>2.6880000000000002</v>
      </c>
      <c r="F41" s="89">
        <v>2.4950000000000001</v>
      </c>
      <c r="G41" s="89">
        <v>2.3180000000000001</v>
      </c>
      <c r="H41" s="89">
        <v>2.1549999999999998</v>
      </c>
      <c r="I41" s="89">
        <v>2.004</v>
      </c>
      <c r="J41" s="89">
        <v>1.865</v>
      </c>
      <c r="K41" s="89">
        <v>1.736</v>
      </c>
      <c r="L41" s="89">
        <v>1.617</v>
      </c>
      <c r="M41" s="89">
        <v>1.506</v>
      </c>
      <c r="N41" s="89">
        <v>1.4019999999999999</v>
      </c>
      <c r="O41" s="89">
        <v>1.3069999999999999</v>
      </c>
      <c r="P41" s="89">
        <v>1.2170000000000001</v>
      </c>
      <c r="Q41" s="89">
        <v>1.1339999999999999</v>
      </c>
      <c r="R41" s="89">
        <v>1.056</v>
      </c>
      <c r="S41" s="89">
        <v>0.98299999999999998</v>
      </c>
      <c r="T41" s="89">
        <v>0.91500000000000004</v>
      </c>
      <c r="U41" s="89">
        <v>0.85099999999999998</v>
      </c>
      <c r="V41" s="89">
        <v>0.79200000000000004</v>
      </c>
      <c r="W41" s="89">
        <v>0.73599999999999999</v>
      </c>
      <c r="X41" s="89">
        <v>0.68400000000000005</v>
      </c>
      <c r="Y41" s="89">
        <v>0.63500000000000001</v>
      </c>
      <c r="Z41" s="89">
        <v>0.59</v>
      </c>
      <c r="AA41" s="89">
        <v>0.54800000000000004</v>
      </c>
      <c r="AB41" s="89">
        <v>0.50800000000000001</v>
      </c>
      <c r="AC41" s="89">
        <v>0.47099999999999997</v>
      </c>
      <c r="AD41" s="89">
        <v>0.437</v>
      </c>
      <c r="AE41" s="89">
        <v>0.40600000000000003</v>
      </c>
    </row>
    <row r="42" spans="1:31" x14ac:dyDescent="0.25">
      <c r="A42" s="97">
        <v>35</v>
      </c>
      <c r="B42" s="89">
        <v>3.5310000000000001</v>
      </c>
      <c r="C42" s="89">
        <v>3.2639999999999998</v>
      </c>
      <c r="D42" s="89">
        <v>3.02</v>
      </c>
      <c r="E42" s="89">
        <v>2.7970000000000002</v>
      </c>
      <c r="F42" s="89">
        <v>2.593</v>
      </c>
      <c r="G42" s="89">
        <v>2.4060000000000001</v>
      </c>
      <c r="H42" s="89">
        <v>2.2330000000000001</v>
      </c>
      <c r="I42" s="89">
        <v>2.0739999999999998</v>
      </c>
      <c r="J42" s="89">
        <v>1.9279999999999999</v>
      </c>
      <c r="K42" s="89">
        <v>1.792</v>
      </c>
      <c r="L42" s="89">
        <v>1.667</v>
      </c>
      <c r="M42" s="89">
        <v>1.5509999999999999</v>
      </c>
      <c r="N42" s="89">
        <v>1.4430000000000001</v>
      </c>
      <c r="O42" s="89">
        <v>1.343</v>
      </c>
      <c r="P42" s="89">
        <v>1.25</v>
      </c>
      <c r="Q42" s="89">
        <v>1.1639999999999999</v>
      </c>
      <c r="R42" s="89">
        <v>1.083</v>
      </c>
      <c r="S42" s="89">
        <v>1.008</v>
      </c>
      <c r="T42" s="89">
        <v>0.93700000000000006</v>
      </c>
      <c r="U42" s="89">
        <v>0.871</v>
      </c>
      <c r="V42" s="89">
        <v>0.81</v>
      </c>
      <c r="W42" s="89">
        <v>0.752</v>
      </c>
      <c r="X42" s="89">
        <v>0.69899999999999995</v>
      </c>
      <c r="Y42" s="89">
        <v>0.64900000000000002</v>
      </c>
      <c r="Z42" s="89">
        <v>0.60199999999999998</v>
      </c>
      <c r="AA42" s="89">
        <v>0.55800000000000005</v>
      </c>
      <c r="AB42" s="89">
        <v>0.51800000000000002</v>
      </c>
      <c r="AC42" s="89">
        <v>0.48</v>
      </c>
      <c r="AD42" s="89">
        <v>0.44600000000000001</v>
      </c>
      <c r="AE42" s="89">
        <v>0.41299999999999998</v>
      </c>
    </row>
    <row r="43" spans="1:31" x14ac:dyDescent="0.25">
      <c r="A43" s="97">
        <v>36</v>
      </c>
      <c r="B43" s="89">
        <v>3.7</v>
      </c>
      <c r="C43" s="89">
        <v>3.4140000000000001</v>
      </c>
      <c r="D43" s="89">
        <v>3.1539999999999999</v>
      </c>
      <c r="E43" s="89">
        <v>2.9159999999999999</v>
      </c>
      <c r="F43" s="89">
        <v>2.6989999999999998</v>
      </c>
      <c r="G43" s="89">
        <v>2.5</v>
      </c>
      <c r="H43" s="89">
        <v>2.3170000000000002</v>
      </c>
      <c r="I43" s="89">
        <v>2.15</v>
      </c>
      <c r="J43" s="89">
        <v>1.9950000000000001</v>
      </c>
      <c r="K43" s="89">
        <v>1.853</v>
      </c>
      <c r="L43" s="89">
        <v>1.7210000000000001</v>
      </c>
      <c r="M43" s="89">
        <v>1.6</v>
      </c>
      <c r="N43" s="89">
        <v>1.4870000000000001</v>
      </c>
      <c r="O43" s="89">
        <v>1.383</v>
      </c>
      <c r="P43" s="89">
        <v>1.286</v>
      </c>
      <c r="Q43" s="89">
        <v>1.196</v>
      </c>
      <c r="R43" s="89">
        <v>1.1120000000000001</v>
      </c>
      <c r="S43" s="89">
        <v>1.034</v>
      </c>
      <c r="T43" s="89">
        <v>0.96099999999999997</v>
      </c>
      <c r="U43" s="89">
        <v>0.89300000000000002</v>
      </c>
      <c r="V43" s="89">
        <v>0.82899999999999996</v>
      </c>
      <c r="W43" s="89">
        <v>0.76900000000000002</v>
      </c>
      <c r="X43" s="89">
        <v>0.71399999999999997</v>
      </c>
      <c r="Y43" s="89">
        <v>0.66300000000000003</v>
      </c>
      <c r="Z43" s="89">
        <v>0.61499999999999999</v>
      </c>
      <c r="AA43" s="89">
        <v>0.56999999999999995</v>
      </c>
      <c r="AB43" s="89">
        <v>0.52800000000000002</v>
      </c>
      <c r="AC43" s="89">
        <v>0.49</v>
      </c>
      <c r="AD43" s="89">
        <v>0.45400000000000001</v>
      </c>
      <c r="AE43" s="89">
        <v>0.42099999999999999</v>
      </c>
    </row>
    <row r="44" spans="1:31" x14ac:dyDescent="0.25">
      <c r="A44" s="97">
        <v>37</v>
      </c>
      <c r="B44" s="89">
        <v>3.8839999999999999</v>
      </c>
      <c r="C44" s="89">
        <v>3.5779999999999998</v>
      </c>
      <c r="D44" s="89">
        <v>3.2989999999999999</v>
      </c>
      <c r="E44" s="89">
        <v>3.0449999999999999</v>
      </c>
      <c r="F44" s="89">
        <v>2.8140000000000001</v>
      </c>
      <c r="G44" s="89">
        <v>2.6019999999999999</v>
      </c>
      <c r="H44" s="89">
        <v>2.4089999999999998</v>
      </c>
      <c r="I44" s="89">
        <v>2.2309999999999999</v>
      </c>
      <c r="J44" s="89">
        <v>2.0680000000000001</v>
      </c>
      <c r="K44" s="89">
        <v>1.9179999999999999</v>
      </c>
      <c r="L44" s="89">
        <v>1.78</v>
      </c>
      <c r="M44" s="89">
        <v>1.6519999999999999</v>
      </c>
      <c r="N44" s="89">
        <v>1.534</v>
      </c>
      <c r="O44" s="89">
        <v>1.425</v>
      </c>
      <c r="P44" s="89">
        <v>1.3240000000000001</v>
      </c>
      <c r="Q44" s="89">
        <v>1.23</v>
      </c>
      <c r="R44" s="89">
        <v>1.143</v>
      </c>
      <c r="S44" s="89">
        <v>1.0609999999999999</v>
      </c>
      <c r="T44" s="89">
        <v>0.98599999999999999</v>
      </c>
      <c r="U44" s="89">
        <v>0.91500000000000004</v>
      </c>
      <c r="V44" s="89">
        <v>0.84899999999999998</v>
      </c>
      <c r="W44" s="89">
        <v>0.78800000000000003</v>
      </c>
      <c r="X44" s="89">
        <v>0.73099999999999998</v>
      </c>
      <c r="Y44" s="89">
        <v>0.67700000000000005</v>
      </c>
      <c r="Z44" s="89">
        <v>0.628</v>
      </c>
      <c r="AA44" s="89">
        <v>0.58199999999999996</v>
      </c>
      <c r="AB44" s="89">
        <v>0.53900000000000003</v>
      </c>
      <c r="AC44" s="89">
        <v>0.5</v>
      </c>
      <c r="AD44" s="89">
        <v>0.46300000000000002</v>
      </c>
      <c r="AE44" s="89">
        <v>0.42899999999999999</v>
      </c>
    </row>
    <row r="45" spans="1:31" x14ac:dyDescent="0.25">
      <c r="A45" s="97">
        <v>38</v>
      </c>
      <c r="B45" s="89">
        <v>4.0860000000000003</v>
      </c>
      <c r="C45" s="89">
        <v>3.7570000000000001</v>
      </c>
      <c r="D45" s="89">
        <v>3.4569999999999999</v>
      </c>
      <c r="E45" s="89">
        <v>3.1859999999999999</v>
      </c>
      <c r="F45" s="89">
        <v>2.9390000000000001</v>
      </c>
      <c r="G45" s="89">
        <v>2.7130000000000001</v>
      </c>
      <c r="H45" s="89">
        <v>2.508</v>
      </c>
      <c r="I45" s="89">
        <v>2.319</v>
      </c>
      <c r="J45" s="89">
        <v>2.1469999999999998</v>
      </c>
      <c r="K45" s="89">
        <v>1.988</v>
      </c>
      <c r="L45" s="89">
        <v>1.843</v>
      </c>
      <c r="M45" s="89">
        <v>1.708</v>
      </c>
      <c r="N45" s="89">
        <v>1.585</v>
      </c>
      <c r="O45" s="89">
        <v>1.47</v>
      </c>
      <c r="P45" s="89">
        <v>1.3640000000000001</v>
      </c>
      <c r="Q45" s="89">
        <v>1.266</v>
      </c>
      <c r="R45" s="89">
        <v>1.175</v>
      </c>
      <c r="S45" s="89">
        <v>1.091</v>
      </c>
      <c r="T45" s="89">
        <v>1.012</v>
      </c>
      <c r="U45" s="89">
        <v>0.93899999999999995</v>
      </c>
      <c r="V45" s="89">
        <v>0.871</v>
      </c>
      <c r="W45" s="89">
        <v>0.80700000000000005</v>
      </c>
      <c r="X45" s="89">
        <v>0.748</v>
      </c>
      <c r="Y45" s="89">
        <v>0.69299999999999995</v>
      </c>
      <c r="Z45" s="89">
        <v>0.64200000000000002</v>
      </c>
      <c r="AA45" s="89">
        <v>0.59499999999999997</v>
      </c>
      <c r="AB45" s="89">
        <v>0.55100000000000005</v>
      </c>
      <c r="AC45" s="89">
        <v>0.51</v>
      </c>
      <c r="AD45" s="89">
        <v>0.47199999999999998</v>
      </c>
      <c r="AE45" s="89">
        <v>0.438</v>
      </c>
    </row>
    <row r="46" spans="1:31" x14ac:dyDescent="0.25">
      <c r="A46" s="97">
        <v>39</v>
      </c>
      <c r="B46" s="89">
        <v>4.3079999999999998</v>
      </c>
      <c r="C46" s="89">
        <v>3.9529999999999998</v>
      </c>
      <c r="D46" s="89">
        <v>3.6309999999999998</v>
      </c>
      <c r="E46" s="89">
        <v>3.339</v>
      </c>
      <c r="F46" s="89">
        <v>3.0750000000000002</v>
      </c>
      <c r="G46" s="89">
        <v>2.8340000000000001</v>
      </c>
      <c r="H46" s="89">
        <v>2.6150000000000002</v>
      </c>
      <c r="I46" s="89">
        <v>2.415</v>
      </c>
      <c r="J46" s="89">
        <v>2.2320000000000002</v>
      </c>
      <c r="K46" s="89">
        <v>2.0640000000000001</v>
      </c>
      <c r="L46" s="89">
        <v>1.91</v>
      </c>
      <c r="M46" s="89">
        <v>1.7689999999999999</v>
      </c>
      <c r="N46" s="89">
        <v>1.639</v>
      </c>
      <c r="O46" s="89">
        <v>1.5189999999999999</v>
      </c>
      <c r="P46" s="89">
        <v>1.4079999999999999</v>
      </c>
      <c r="Q46" s="89">
        <v>1.3049999999999999</v>
      </c>
      <c r="R46" s="89">
        <v>1.21</v>
      </c>
      <c r="S46" s="89">
        <v>1.1220000000000001</v>
      </c>
      <c r="T46" s="89">
        <v>1.04</v>
      </c>
      <c r="U46" s="89">
        <v>0.96399999999999997</v>
      </c>
      <c r="V46" s="89">
        <v>0.89300000000000002</v>
      </c>
      <c r="W46" s="89">
        <v>0.82699999999999996</v>
      </c>
      <c r="X46" s="89">
        <v>0.76600000000000001</v>
      </c>
      <c r="Y46" s="89">
        <v>0.71</v>
      </c>
      <c r="Z46" s="89">
        <v>0.65700000000000003</v>
      </c>
      <c r="AA46" s="89">
        <v>0.60799999999999998</v>
      </c>
      <c r="AB46" s="89">
        <v>0.56299999999999994</v>
      </c>
      <c r="AC46" s="89">
        <v>0.52100000000000002</v>
      </c>
      <c r="AD46" s="89">
        <v>0.48199999999999998</v>
      </c>
      <c r="AE46" s="89">
        <v>0.44700000000000001</v>
      </c>
    </row>
    <row r="47" spans="1:31" x14ac:dyDescent="0.25">
      <c r="A47" s="97">
        <v>40</v>
      </c>
      <c r="B47" s="89">
        <v>4.5519999999999996</v>
      </c>
      <c r="C47" s="89">
        <v>4.1680000000000001</v>
      </c>
      <c r="D47" s="89">
        <v>3.8210000000000002</v>
      </c>
      <c r="E47" s="89">
        <v>3.508</v>
      </c>
      <c r="F47" s="89">
        <v>3.2240000000000002</v>
      </c>
      <c r="G47" s="89">
        <v>2.9660000000000002</v>
      </c>
      <c r="H47" s="89">
        <v>2.7320000000000002</v>
      </c>
      <c r="I47" s="89">
        <v>2.5190000000000001</v>
      </c>
      <c r="J47" s="89">
        <v>2.3239999999999998</v>
      </c>
      <c r="K47" s="89">
        <v>2.1459999999999999</v>
      </c>
      <c r="L47" s="89">
        <v>1.9830000000000001</v>
      </c>
      <c r="M47" s="89">
        <v>1.8340000000000001</v>
      </c>
      <c r="N47" s="89">
        <v>1.6970000000000001</v>
      </c>
      <c r="O47" s="89">
        <v>1.571</v>
      </c>
      <c r="P47" s="89">
        <v>1.454</v>
      </c>
      <c r="Q47" s="89">
        <v>1.347</v>
      </c>
      <c r="R47" s="89">
        <v>1.248</v>
      </c>
      <c r="S47" s="89">
        <v>1.1559999999999999</v>
      </c>
      <c r="T47" s="89">
        <v>1.07</v>
      </c>
      <c r="U47" s="89">
        <v>0.99099999999999999</v>
      </c>
      <c r="V47" s="89">
        <v>0.91800000000000004</v>
      </c>
      <c r="W47" s="89">
        <v>0.84899999999999998</v>
      </c>
      <c r="X47" s="89">
        <v>0.78600000000000003</v>
      </c>
      <c r="Y47" s="89">
        <v>0.72699999999999998</v>
      </c>
      <c r="Z47" s="89">
        <v>0.67300000000000004</v>
      </c>
      <c r="AA47" s="89">
        <v>0.623</v>
      </c>
      <c r="AB47" s="89">
        <v>0.57599999999999996</v>
      </c>
      <c r="AC47" s="89">
        <v>0.53300000000000003</v>
      </c>
      <c r="AD47" s="89">
        <v>0.49299999999999999</v>
      </c>
      <c r="AE47" s="89">
        <v>0.45600000000000002</v>
      </c>
    </row>
    <row r="48" spans="1:31" x14ac:dyDescent="0.25">
      <c r="A48" s="97">
        <v>41</v>
      </c>
      <c r="B48" s="89">
        <v>4.8209999999999997</v>
      </c>
      <c r="C48" s="89">
        <v>4.4050000000000002</v>
      </c>
      <c r="D48" s="89">
        <v>4.03</v>
      </c>
      <c r="E48" s="89">
        <v>3.6920000000000002</v>
      </c>
      <c r="F48" s="89">
        <v>3.3860000000000001</v>
      </c>
      <c r="G48" s="89">
        <v>3.11</v>
      </c>
      <c r="H48" s="89">
        <v>2.859</v>
      </c>
      <c r="I48" s="89">
        <v>2.6309999999999998</v>
      </c>
      <c r="J48" s="89">
        <v>2.4239999999999999</v>
      </c>
      <c r="K48" s="89">
        <v>2.2349999999999999</v>
      </c>
      <c r="L48" s="89">
        <v>2.0630000000000002</v>
      </c>
      <c r="M48" s="89">
        <v>1.905</v>
      </c>
      <c r="N48" s="89">
        <v>1.76</v>
      </c>
      <c r="O48" s="89">
        <v>1.627</v>
      </c>
      <c r="P48" s="89">
        <v>1.504</v>
      </c>
      <c r="Q48" s="89">
        <v>1.3919999999999999</v>
      </c>
      <c r="R48" s="89">
        <v>1.288</v>
      </c>
      <c r="S48" s="89">
        <v>1.1910000000000001</v>
      </c>
      <c r="T48" s="89">
        <v>1.1020000000000001</v>
      </c>
      <c r="U48" s="89">
        <v>1.02</v>
      </c>
      <c r="V48" s="89">
        <v>0.94299999999999995</v>
      </c>
      <c r="W48" s="89">
        <v>0.872</v>
      </c>
      <c r="X48" s="89">
        <v>0.80700000000000005</v>
      </c>
      <c r="Y48" s="89">
        <v>0.746</v>
      </c>
      <c r="Z48" s="89">
        <v>0.69</v>
      </c>
      <c r="AA48" s="89">
        <v>0.63800000000000001</v>
      </c>
      <c r="AB48" s="89">
        <v>0.59</v>
      </c>
      <c r="AC48" s="89">
        <v>0.54500000000000004</v>
      </c>
      <c r="AD48" s="89">
        <v>0.504</v>
      </c>
      <c r="AE48" s="89">
        <v>0.46600000000000003</v>
      </c>
    </row>
    <row r="49" spans="1:31" x14ac:dyDescent="0.25">
      <c r="A49" s="97">
        <v>42</v>
      </c>
      <c r="B49" s="89">
        <v>5.117</v>
      </c>
      <c r="C49" s="89">
        <v>4.665</v>
      </c>
      <c r="D49" s="89">
        <v>4.2590000000000003</v>
      </c>
      <c r="E49" s="89">
        <v>3.8940000000000001</v>
      </c>
      <c r="F49" s="89">
        <v>3.5649999999999999</v>
      </c>
      <c r="G49" s="89">
        <v>3.2669999999999999</v>
      </c>
      <c r="H49" s="89">
        <v>2.9980000000000002</v>
      </c>
      <c r="I49" s="89">
        <v>2.7549999999999999</v>
      </c>
      <c r="J49" s="89">
        <v>2.5329999999999999</v>
      </c>
      <c r="K49" s="89">
        <v>2.3319999999999999</v>
      </c>
      <c r="L49" s="89">
        <v>2.1480000000000001</v>
      </c>
      <c r="M49" s="89">
        <v>1.9810000000000001</v>
      </c>
      <c r="N49" s="89">
        <v>1.8280000000000001</v>
      </c>
      <c r="O49" s="89">
        <v>1.6870000000000001</v>
      </c>
      <c r="P49" s="89">
        <v>1.5580000000000001</v>
      </c>
      <c r="Q49" s="89">
        <v>1.44</v>
      </c>
      <c r="R49" s="89">
        <v>1.331</v>
      </c>
      <c r="S49" s="89">
        <v>1.23</v>
      </c>
      <c r="T49" s="89">
        <v>1.137</v>
      </c>
      <c r="U49" s="89">
        <v>1.0509999999999999</v>
      </c>
      <c r="V49" s="89">
        <v>0.97099999999999997</v>
      </c>
      <c r="W49" s="89">
        <v>0.89700000000000002</v>
      </c>
      <c r="X49" s="89">
        <v>0.82899999999999996</v>
      </c>
      <c r="Y49" s="89">
        <v>0.76600000000000001</v>
      </c>
      <c r="Z49" s="89">
        <v>0.70799999999999996</v>
      </c>
      <c r="AA49" s="89">
        <v>0.65400000000000003</v>
      </c>
      <c r="AB49" s="89">
        <v>0.60399999999999998</v>
      </c>
      <c r="AC49" s="89">
        <v>0.55800000000000005</v>
      </c>
      <c r="AD49" s="89">
        <v>0.51600000000000001</v>
      </c>
      <c r="AE49" s="89">
        <v>0.47699999999999998</v>
      </c>
    </row>
    <row r="50" spans="1:31" x14ac:dyDescent="0.25">
      <c r="A50" s="97">
        <v>43</v>
      </c>
      <c r="B50" s="89">
        <v>5.444</v>
      </c>
      <c r="C50" s="89">
        <v>4.9530000000000003</v>
      </c>
      <c r="D50" s="89">
        <v>4.5119999999999996</v>
      </c>
      <c r="E50" s="89">
        <v>4.117</v>
      </c>
      <c r="F50" s="89">
        <v>3.7610000000000001</v>
      </c>
      <c r="G50" s="89">
        <v>3.44</v>
      </c>
      <c r="H50" s="89">
        <v>3.1509999999999998</v>
      </c>
      <c r="I50" s="89">
        <v>2.8889999999999998</v>
      </c>
      <c r="J50" s="89">
        <v>2.6520000000000001</v>
      </c>
      <c r="K50" s="89">
        <v>2.4369999999999998</v>
      </c>
      <c r="L50" s="89">
        <v>2.242</v>
      </c>
      <c r="M50" s="89">
        <v>2.0640000000000001</v>
      </c>
      <c r="N50" s="89">
        <v>1.901</v>
      </c>
      <c r="O50" s="89">
        <v>1.752</v>
      </c>
      <c r="P50" s="89">
        <v>1.6160000000000001</v>
      </c>
      <c r="Q50" s="89">
        <v>1.492</v>
      </c>
      <c r="R50" s="89">
        <v>1.377</v>
      </c>
      <c r="S50" s="89">
        <v>1.2709999999999999</v>
      </c>
      <c r="T50" s="89">
        <v>1.1739999999999999</v>
      </c>
      <c r="U50" s="89">
        <v>1.0840000000000001</v>
      </c>
      <c r="V50" s="89">
        <v>1</v>
      </c>
      <c r="W50" s="89">
        <v>0.92300000000000004</v>
      </c>
      <c r="X50" s="89">
        <v>0.85199999999999998</v>
      </c>
      <c r="Y50" s="89">
        <v>0.78700000000000003</v>
      </c>
      <c r="Z50" s="89">
        <v>0.72699999999999998</v>
      </c>
      <c r="AA50" s="89">
        <v>0.67100000000000004</v>
      </c>
      <c r="AB50" s="89">
        <v>0.61899999999999999</v>
      </c>
      <c r="AC50" s="89">
        <v>0.57199999999999995</v>
      </c>
      <c r="AD50" s="89">
        <v>0.52800000000000002</v>
      </c>
      <c r="AE50" s="89">
        <v>0.48799999999999999</v>
      </c>
    </row>
    <row r="51" spans="1:31" x14ac:dyDescent="0.25">
      <c r="A51" s="97">
        <v>44</v>
      </c>
      <c r="B51" s="89">
        <v>5.8070000000000004</v>
      </c>
      <c r="C51" s="89">
        <v>5.2709999999999999</v>
      </c>
      <c r="D51" s="89">
        <v>4.7919999999999998</v>
      </c>
      <c r="E51" s="89">
        <v>4.3620000000000001</v>
      </c>
      <c r="F51" s="89">
        <v>3.9769999999999999</v>
      </c>
      <c r="G51" s="89">
        <v>3.63</v>
      </c>
      <c r="H51" s="89">
        <v>3.3180000000000001</v>
      </c>
      <c r="I51" s="89">
        <v>3.036</v>
      </c>
      <c r="J51" s="89">
        <v>2.782</v>
      </c>
      <c r="K51" s="89">
        <v>2.552</v>
      </c>
      <c r="L51" s="89">
        <v>2.343</v>
      </c>
      <c r="M51" s="89">
        <v>2.153</v>
      </c>
      <c r="N51" s="89">
        <v>1.9810000000000001</v>
      </c>
      <c r="O51" s="89">
        <v>1.823</v>
      </c>
      <c r="P51" s="89">
        <v>1.679</v>
      </c>
      <c r="Q51" s="89">
        <v>1.5469999999999999</v>
      </c>
      <c r="R51" s="89">
        <v>1.427</v>
      </c>
      <c r="S51" s="89">
        <v>1.3149999999999999</v>
      </c>
      <c r="T51" s="89">
        <v>1.2130000000000001</v>
      </c>
      <c r="U51" s="89">
        <v>1.119</v>
      </c>
      <c r="V51" s="89">
        <v>1.032</v>
      </c>
      <c r="W51" s="89">
        <v>0.95099999999999996</v>
      </c>
      <c r="X51" s="89">
        <v>0.878</v>
      </c>
      <c r="Y51" s="89">
        <v>0.81</v>
      </c>
      <c r="Z51" s="89">
        <v>0.747</v>
      </c>
      <c r="AA51" s="89">
        <v>0.68899999999999995</v>
      </c>
      <c r="AB51" s="89">
        <v>0.63600000000000001</v>
      </c>
      <c r="AC51" s="89">
        <v>0.58599999999999997</v>
      </c>
      <c r="AD51" s="89">
        <v>0.54100000000000004</v>
      </c>
      <c r="AE51" s="89">
        <v>0.5</v>
      </c>
    </row>
    <row r="52" spans="1:31" x14ac:dyDescent="0.25">
      <c r="A52" s="97">
        <v>45</v>
      </c>
      <c r="B52" s="89">
        <v>6.2080000000000002</v>
      </c>
      <c r="C52" s="89">
        <v>5.6230000000000002</v>
      </c>
      <c r="D52" s="89">
        <v>5.101</v>
      </c>
      <c r="E52" s="89">
        <v>4.633</v>
      </c>
      <c r="F52" s="89">
        <v>4.2140000000000004</v>
      </c>
      <c r="G52" s="89">
        <v>3.839</v>
      </c>
      <c r="H52" s="89">
        <v>3.5019999999999998</v>
      </c>
      <c r="I52" s="89">
        <v>3.198</v>
      </c>
      <c r="J52" s="89">
        <v>2.9239999999999999</v>
      </c>
      <c r="K52" s="89">
        <v>2.677</v>
      </c>
      <c r="L52" s="89">
        <v>2.4540000000000002</v>
      </c>
      <c r="M52" s="89">
        <v>2.2509999999999999</v>
      </c>
      <c r="N52" s="89">
        <v>2.0670000000000002</v>
      </c>
      <c r="O52" s="89">
        <v>1.9</v>
      </c>
      <c r="P52" s="89">
        <v>1.7470000000000001</v>
      </c>
      <c r="Q52" s="89">
        <v>1.6080000000000001</v>
      </c>
      <c r="R52" s="89">
        <v>1.48</v>
      </c>
      <c r="S52" s="89">
        <v>1.363</v>
      </c>
      <c r="T52" s="89">
        <v>1.256</v>
      </c>
      <c r="U52" s="89">
        <v>1.157</v>
      </c>
      <c r="V52" s="89">
        <v>1.0660000000000001</v>
      </c>
      <c r="W52" s="89">
        <v>0.98199999999999998</v>
      </c>
      <c r="X52" s="89">
        <v>0.90500000000000003</v>
      </c>
      <c r="Y52" s="89">
        <v>0.83399999999999996</v>
      </c>
      <c r="Z52" s="89">
        <v>0.76800000000000002</v>
      </c>
      <c r="AA52" s="89">
        <v>0.70799999999999996</v>
      </c>
      <c r="AB52" s="89">
        <v>0.65300000000000002</v>
      </c>
      <c r="AC52" s="89">
        <v>0.60199999999999998</v>
      </c>
      <c r="AD52" s="89">
        <v>0.55500000000000005</v>
      </c>
      <c r="AE52" s="89">
        <v>0.51200000000000001</v>
      </c>
    </row>
    <row r="53" spans="1:31" x14ac:dyDescent="0.25">
      <c r="A53" s="97">
        <v>46</v>
      </c>
      <c r="B53" s="89">
        <v>6.6529999999999996</v>
      </c>
      <c r="C53" s="89">
        <v>6.0129999999999999</v>
      </c>
      <c r="D53" s="89">
        <v>5.4429999999999996</v>
      </c>
      <c r="E53" s="89">
        <v>4.9329999999999998</v>
      </c>
      <c r="F53" s="89">
        <v>4.4770000000000003</v>
      </c>
      <c r="G53" s="89">
        <v>4.069</v>
      </c>
      <c r="H53" s="89">
        <v>3.7040000000000002</v>
      </c>
      <c r="I53" s="89">
        <v>3.3759999999999999</v>
      </c>
      <c r="J53" s="89">
        <v>3.081</v>
      </c>
      <c r="K53" s="89">
        <v>2.8149999999999999</v>
      </c>
      <c r="L53" s="89">
        <v>2.5750000000000002</v>
      </c>
      <c r="M53" s="89">
        <v>2.3580000000000001</v>
      </c>
      <c r="N53" s="89">
        <v>2.1619999999999999</v>
      </c>
      <c r="O53" s="89">
        <v>1.9830000000000001</v>
      </c>
      <c r="P53" s="89">
        <v>1.821</v>
      </c>
      <c r="Q53" s="89">
        <v>1.673</v>
      </c>
      <c r="R53" s="89">
        <v>1.538</v>
      </c>
      <c r="S53" s="89">
        <v>1.415</v>
      </c>
      <c r="T53" s="89">
        <v>1.3009999999999999</v>
      </c>
      <c r="U53" s="89">
        <v>1.1970000000000001</v>
      </c>
      <c r="V53" s="89">
        <v>1.1020000000000001</v>
      </c>
      <c r="W53" s="89">
        <v>1.014</v>
      </c>
      <c r="X53" s="89">
        <v>0.93300000000000005</v>
      </c>
      <c r="Y53" s="89">
        <v>0.85899999999999999</v>
      </c>
      <c r="Z53" s="89">
        <v>0.79100000000000004</v>
      </c>
      <c r="AA53" s="89">
        <v>0.72899999999999998</v>
      </c>
      <c r="AB53" s="89">
        <v>0.67100000000000004</v>
      </c>
      <c r="AC53" s="89">
        <v>0.61799999999999999</v>
      </c>
      <c r="AD53" s="89">
        <v>0.56999999999999995</v>
      </c>
      <c r="AE53" s="89">
        <v>0.52600000000000002</v>
      </c>
    </row>
    <row r="54" spans="1:31" x14ac:dyDescent="0.25">
      <c r="A54" s="97">
        <v>47</v>
      </c>
      <c r="B54" s="89">
        <v>7.1479999999999997</v>
      </c>
      <c r="C54" s="89">
        <v>6.4470000000000001</v>
      </c>
      <c r="D54" s="89">
        <v>5.8220000000000001</v>
      </c>
      <c r="E54" s="89">
        <v>5.2649999999999997</v>
      </c>
      <c r="F54" s="89">
        <v>4.7679999999999998</v>
      </c>
      <c r="G54" s="89">
        <v>4.3239999999999998</v>
      </c>
      <c r="H54" s="89">
        <v>3.927</v>
      </c>
      <c r="I54" s="89">
        <v>3.5720000000000001</v>
      </c>
      <c r="J54" s="89">
        <v>3.2530000000000001</v>
      </c>
      <c r="K54" s="89">
        <v>2.9660000000000002</v>
      </c>
      <c r="L54" s="89">
        <v>2.7080000000000002</v>
      </c>
      <c r="M54" s="89">
        <v>2.4750000000000001</v>
      </c>
      <c r="N54" s="89">
        <v>2.2650000000000001</v>
      </c>
      <c r="O54" s="89">
        <v>2.0739999999999998</v>
      </c>
      <c r="P54" s="89">
        <v>1.9019999999999999</v>
      </c>
      <c r="Q54" s="89">
        <v>1.7450000000000001</v>
      </c>
      <c r="R54" s="89">
        <v>1.601</v>
      </c>
      <c r="S54" s="89">
        <v>1.47</v>
      </c>
      <c r="T54" s="89">
        <v>1.351</v>
      </c>
      <c r="U54" s="89">
        <v>1.2410000000000001</v>
      </c>
      <c r="V54" s="89">
        <v>1.141</v>
      </c>
      <c r="W54" s="89">
        <v>1.0489999999999999</v>
      </c>
      <c r="X54" s="89">
        <v>0.96399999999999997</v>
      </c>
      <c r="Y54" s="89">
        <v>0.88700000000000001</v>
      </c>
      <c r="Z54" s="89">
        <v>0.81599999999999995</v>
      </c>
      <c r="AA54" s="89">
        <v>0.751</v>
      </c>
      <c r="AB54" s="89">
        <v>0.69099999999999995</v>
      </c>
      <c r="AC54" s="89">
        <v>0.63600000000000001</v>
      </c>
      <c r="AD54" s="89">
        <v>0.58599999999999997</v>
      </c>
      <c r="AE54" s="89">
        <v>0.54</v>
      </c>
    </row>
    <row r="55" spans="1:31" x14ac:dyDescent="0.25">
      <c r="A55" s="97">
        <v>48</v>
      </c>
      <c r="B55" s="89">
        <v>7.6970000000000001</v>
      </c>
      <c r="C55" s="89">
        <v>6.9279999999999999</v>
      </c>
      <c r="D55" s="89">
        <v>6.2430000000000003</v>
      </c>
      <c r="E55" s="89">
        <v>5.6340000000000003</v>
      </c>
      <c r="F55" s="89">
        <v>5.0910000000000002</v>
      </c>
      <c r="G55" s="89">
        <v>4.6070000000000002</v>
      </c>
      <c r="H55" s="89">
        <v>4.1740000000000004</v>
      </c>
      <c r="I55" s="89">
        <v>3.7879999999999998</v>
      </c>
      <c r="J55" s="89">
        <v>3.4420000000000002</v>
      </c>
      <c r="K55" s="89">
        <v>3.1320000000000001</v>
      </c>
      <c r="L55" s="89">
        <v>2.8540000000000001</v>
      </c>
      <c r="M55" s="89">
        <v>2.6040000000000001</v>
      </c>
      <c r="N55" s="89">
        <v>2.3780000000000001</v>
      </c>
      <c r="O55" s="89">
        <v>2.1739999999999999</v>
      </c>
      <c r="P55" s="89">
        <v>1.9890000000000001</v>
      </c>
      <c r="Q55" s="89">
        <v>1.8220000000000001</v>
      </c>
      <c r="R55" s="89">
        <v>1.67</v>
      </c>
      <c r="S55" s="89">
        <v>1.5309999999999999</v>
      </c>
      <c r="T55" s="89">
        <v>1.4039999999999999</v>
      </c>
      <c r="U55" s="89">
        <v>1.2889999999999999</v>
      </c>
      <c r="V55" s="89">
        <v>1.1830000000000001</v>
      </c>
      <c r="W55" s="89">
        <v>1.0860000000000001</v>
      </c>
      <c r="X55" s="89">
        <v>0.997</v>
      </c>
      <c r="Y55" s="89">
        <v>0.91600000000000004</v>
      </c>
      <c r="Z55" s="89">
        <v>0.84199999999999997</v>
      </c>
      <c r="AA55" s="89">
        <v>0.77400000000000002</v>
      </c>
      <c r="AB55" s="89">
        <v>0.71199999999999997</v>
      </c>
      <c r="AC55" s="89">
        <v>0.65500000000000003</v>
      </c>
      <c r="AD55" s="89">
        <v>0.60199999999999998</v>
      </c>
      <c r="AE55" s="89">
        <v>0.55500000000000005</v>
      </c>
    </row>
    <row r="56" spans="1:31" x14ac:dyDescent="0.25">
      <c r="A56" s="97">
        <v>49</v>
      </c>
      <c r="B56" s="89">
        <v>8.3089999999999993</v>
      </c>
      <c r="C56" s="89">
        <v>7.4640000000000004</v>
      </c>
      <c r="D56" s="89">
        <v>6.7119999999999997</v>
      </c>
      <c r="E56" s="89">
        <v>6.0439999999999996</v>
      </c>
      <c r="F56" s="89">
        <v>5.4489999999999998</v>
      </c>
      <c r="G56" s="89">
        <v>4.92</v>
      </c>
      <c r="H56" s="89">
        <v>4.4480000000000004</v>
      </c>
      <c r="I56" s="89">
        <v>4.0270000000000001</v>
      </c>
      <c r="J56" s="89">
        <v>3.6520000000000001</v>
      </c>
      <c r="K56" s="89">
        <v>3.3159999999999998</v>
      </c>
      <c r="L56" s="89">
        <v>3.0150000000000001</v>
      </c>
      <c r="M56" s="89">
        <v>2.7450000000000001</v>
      </c>
      <c r="N56" s="89">
        <v>2.5019999999999998</v>
      </c>
      <c r="O56" s="89">
        <v>2.2829999999999999</v>
      </c>
      <c r="P56" s="89">
        <v>2.085</v>
      </c>
      <c r="Q56" s="89">
        <v>1.9059999999999999</v>
      </c>
      <c r="R56" s="89">
        <v>1.744</v>
      </c>
      <c r="S56" s="89">
        <v>1.597</v>
      </c>
      <c r="T56" s="89">
        <v>1.4630000000000001</v>
      </c>
      <c r="U56" s="89">
        <v>1.34</v>
      </c>
      <c r="V56" s="89">
        <v>1.2290000000000001</v>
      </c>
      <c r="W56" s="89">
        <v>1.1259999999999999</v>
      </c>
      <c r="X56" s="89">
        <v>1.0329999999999999</v>
      </c>
      <c r="Y56" s="89">
        <v>0.94799999999999995</v>
      </c>
      <c r="Z56" s="89">
        <v>0.87</v>
      </c>
      <c r="AA56" s="89">
        <v>0.79900000000000004</v>
      </c>
      <c r="AB56" s="89">
        <v>0.73399999999999999</v>
      </c>
      <c r="AC56" s="89">
        <v>0.67500000000000004</v>
      </c>
      <c r="AD56" s="89">
        <v>0.62</v>
      </c>
      <c r="AE56" s="89">
        <v>0.57099999999999995</v>
      </c>
    </row>
    <row r="57" spans="1:31" x14ac:dyDescent="0.25">
      <c r="A57" s="97">
        <v>50</v>
      </c>
      <c r="B57" s="89">
        <v>8.99</v>
      </c>
      <c r="C57" s="89">
        <v>8.06</v>
      </c>
      <c r="D57" s="89">
        <v>7.234</v>
      </c>
      <c r="E57" s="89">
        <v>6.5</v>
      </c>
      <c r="F57" s="89">
        <v>5.8479999999999999</v>
      </c>
      <c r="G57" s="89">
        <v>5.2679999999999998</v>
      </c>
      <c r="H57" s="89">
        <v>4.7519999999999998</v>
      </c>
      <c r="I57" s="89">
        <v>4.2930000000000001</v>
      </c>
      <c r="J57" s="89">
        <v>3.8839999999999999</v>
      </c>
      <c r="K57" s="89">
        <v>3.5190000000000001</v>
      </c>
      <c r="L57" s="89">
        <v>3.1920000000000002</v>
      </c>
      <c r="M57" s="89">
        <v>2.9</v>
      </c>
      <c r="N57" s="89">
        <v>2.6379999999999999</v>
      </c>
      <c r="O57" s="89">
        <v>2.4020000000000001</v>
      </c>
      <c r="P57" s="89">
        <v>2.19</v>
      </c>
      <c r="Q57" s="89">
        <v>1.9990000000000001</v>
      </c>
      <c r="R57" s="89">
        <v>1.8260000000000001</v>
      </c>
      <c r="S57" s="89">
        <v>1.669</v>
      </c>
      <c r="T57" s="89">
        <v>1.526</v>
      </c>
      <c r="U57" s="89">
        <v>1.3959999999999999</v>
      </c>
      <c r="V57" s="89">
        <v>1.278</v>
      </c>
      <c r="W57" s="89">
        <v>1.17</v>
      </c>
      <c r="X57" s="89">
        <v>1.0720000000000001</v>
      </c>
      <c r="Y57" s="89">
        <v>0.98299999999999998</v>
      </c>
      <c r="Z57" s="89">
        <v>0.90100000000000002</v>
      </c>
      <c r="AA57" s="89">
        <v>0.82599999999999996</v>
      </c>
      <c r="AB57" s="89">
        <v>0.75800000000000001</v>
      </c>
      <c r="AC57" s="89">
        <v>0.69599999999999995</v>
      </c>
      <c r="AD57" s="89">
        <v>0.64</v>
      </c>
      <c r="AE57" s="89">
        <v>0.58799999999999997</v>
      </c>
    </row>
    <row r="58" spans="1:31" x14ac:dyDescent="0.25">
      <c r="A58" s="97">
        <v>51</v>
      </c>
      <c r="B58" s="89">
        <v>9.75</v>
      </c>
      <c r="C58" s="89">
        <v>8.7260000000000009</v>
      </c>
      <c r="D58" s="89">
        <v>7.8159999999999998</v>
      </c>
      <c r="E58" s="89">
        <v>7.0090000000000003</v>
      </c>
      <c r="F58" s="89">
        <v>6.2919999999999998</v>
      </c>
      <c r="G58" s="89">
        <v>5.6550000000000002</v>
      </c>
      <c r="H58" s="89">
        <v>5.09</v>
      </c>
      <c r="I58" s="89">
        <v>4.5880000000000001</v>
      </c>
      <c r="J58" s="89">
        <v>4.141</v>
      </c>
      <c r="K58" s="89">
        <v>3.7440000000000002</v>
      </c>
      <c r="L58" s="89">
        <v>3.3889999999999998</v>
      </c>
      <c r="M58" s="89">
        <v>3.0720000000000001</v>
      </c>
      <c r="N58" s="89">
        <v>2.7879999999999998</v>
      </c>
      <c r="O58" s="89">
        <v>2.5339999999999998</v>
      </c>
      <c r="P58" s="89">
        <v>2.306</v>
      </c>
      <c r="Q58" s="89">
        <v>2.1</v>
      </c>
      <c r="R58" s="89">
        <v>1.915</v>
      </c>
      <c r="S58" s="89">
        <v>1.7470000000000001</v>
      </c>
      <c r="T58" s="89">
        <v>1.595</v>
      </c>
      <c r="U58" s="89">
        <v>1.4570000000000001</v>
      </c>
      <c r="V58" s="89">
        <v>1.3320000000000001</v>
      </c>
      <c r="W58" s="89">
        <v>1.2170000000000001</v>
      </c>
      <c r="X58" s="89">
        <v>1.1140000000000001</v>
      </c>
      <c r="Y58" s="89">
        <v>1.02</v>
      </c>
      <c r="Z58" s="89">
        <v>0.93400000000000005</v>
      </c>
      <c r="AA58" s="89">
        <v>0.85599999999999998</v>
      </c>
      <c r="AB58" s="89">
        <v>0.78400000000000003</v>
      </c>
      <c r="AC58" s="89">
        <v>0.71899999999999997</v>
      </c>
      <c r="AD58" s="89">
        <v>0.66</v>
      </c>
      <c r="AE58" s="89">
        <v>0.60599999999999998</v>
      </c>
    </row>
    <row r="59" spans="1:31" x14ac:dyDescent="0.25">
      <c r="A59" s="97">
        <v>52</v>
      </c>
      <c r="B59" s="89">
        <v>10.597</v>
      </c>
      <c r="C59" s="89">
        <v>9.468</v>
      </c>
      <c r="D59" s="89">
        <v>8.4649999999999999</v>
      </c>
      <c r="E59" s="89">
        <v>7.5759999999999996</v>
      </c>
      <c r="F59" s="89">
        <v>6.7869999999999999</v>
      </c>
      <c r="G59" s="89">
        <v>6.0880000000000001</v>
      </c>
      <c r="H59" s="89">
        <v>5.4669999999999996</v>
      </c>
      <c r="I59" s="89">
        <v>4.9169999999999998</v>
      </c>
      <c r="J59" s="89">
        <v>4.4279999999999999</v>
      </c>
      <c r="K59" s="89">
        <v>3.9929999999999999</v>
      </c>
      <c r="L59" s="89">
        <v>3.6070000000000002</v>
      </c>
      <c r="M59" s="89">
        <v>3.262</v>
      </c>
      <c r="N59" s="89">
        <v>2.9550000000000001</v>
      </c>
      <c r="O59" s="89">
        <v>2.68</v>
      </c>
      <c r="P59" s="89">
        <v>2.4329999999999998</v>
      </c>
      <c r="Q59" s="89">
        <v>2.2120000000000002</v>
      </c>
      <c r="R59" s="89">
        <v>2.0129999999999999</v>
      </c>
      <c r="S59" s="89">
        <v>1.833</v>
      </c>
      <c r="T59" s="89">
        <v>1.67</v>
      </c>
      <c r="U59" s="89">
        <v>1.5229999999999999</v>
      </c>
      <c r="V59" s="89">
        <v>1.39</v>
      </c>
      <c r="W59" s="89">
        <v>1.2689999999999999</v>
      </c>
      <c r="X59" s="89">
        <v>1.159</v>
      </c>
      <c r="Y59" s="89">
        <v>1.06</v>
      </c>
      <c r="Z59" s="89">
        <v>0.96899999999999997</v>
      </c>
      <c r="AA59" s="89">
        <v>0.88700000000000001</v>
      </c>
      <c r="AB59" s="89">
        <v>0.81200000000000006</v>
      </c>
      <c r="AC59" s="89">
        <v>0.74399999999999999</v>
      </c>
      <c r="AD59" s="89">
        <v>0.68200000000000005</v>
      </c>
      <c r="AE59" s="89">
        <v>0.626</v>
      </c>
    </row>
    <row r="60" spans="1:31" x14ac:dyDescent="0.25">
      <c r="A60" s="97">
        <v>53</v>
      </c>
      <c r="B60" s="89">
        <v>11.542999999999999</v>
      </c>
      <c r="C60" s="89">
        <v>10.297000000000001</v>
      </c>
      <c r="D60" s="89">
        <v>9.1910000000000007</v>
      </c>
      <c r="E60" s="89">
        <v>8.2100000000000009</v>
      </c>
      <c r="F60" s="89">
        <v>7.3410000000000002</v>
      </c>
      <c r="G60" s="89">
        <v>6.5709999999999997</v>
      </c>
      <c r="H60" s="89">
        <v>5.8879999999999999</v>
      </c>
      <c r="I60" s="89">
        <v>5.2830000000000004</v>
      </c>
      <c r="J60" s="89">
        <v>4.7469999999999999</v>
      </c>
      <c r="K60" s="89">
        <v>4.2720000000000002</v>
      </c>
      <c r="L60" s="89">
        <v>3.8490000000000002</v>
      </c>
      <c r="M60" s="89">
        <v>3.4740000000000002</v>
      </c>
      <c r="N60" s="89">
        <v>3.1389999999999998</v>
      </c>
      <c r="O60" s="89">
        <v>2.8410000000000002</v>
      </c>
      <c r="P60" s="89">
        <v>2.5739999999999998</v>
      </c>
      <c r="Q60" s="89">
        <v>2.335</v>
      </c>
      <c r="R60" s="89">
        <v>2.12</v>
      </c>
      <c r="S60" s="89">
        <v>1.927</v>
      </c>
      <c r="T60" s="89">
        <v>1.7529999999999999</v>
      </c>
      <c r="U60" s="89">
        <v>1.5960000000000001</v>
      </c>
      <c r="V60" s="89">
        <v>1.454</v>
      </c>
      <c r="W60" s="89">
        <v>1.325</v>
      </c>
      <c r="X60" s="89">
        <v>1.2090000000000001</v>
      </c>
      <c r="Y60" s="89">
        <v>1.103</v>
      </c>
      <c r="Z60" s="89">
        <v>1.008</v>
      </c>
      <c r="AA60" s="89">
        <v>0.92100000000000004</v>
      </c>
      <c r="AB60" s="89">
        <v>0.84199999999999997</v>
      </c>
      <c r="AC60" s="89">
        <v>0.77100000000000002</v>
      </c>
      <c r="AD60" s="89">
        <v>0.70599999999999996</v>
      </c>
      <c r="AE60" s="89">
        <v>0.64700000000000002</v>
      </c>
    </row>
    <row r="61" spans="1:31" x14ac:dyDescent="0.25">
      <c r="A61" s="97">
        <v>54</v>
      </c>
      <c r="B61" s="89">
        <v>12.599</v>
      </c>
      <c r="C61" s="89">
        <v>11.224</v>
      </c>
      <c r="D61" s="89">
        <v>10.002000000000001</v>
      </c>
      <c r="E61" s="89">
        <v>8.9190000000000005</v>
      </c>
      <c r="F61" s="89">
        <v>7.96</v>
      </c>
      <c r="G61" s="89">
        <v>7.11</v>
      </c>
      <c r="H61" s="89">
        <v>6.3579999999999997</v>
      </c>
      <c r="I61" s="89">
        <v>5.6929999999999996</v>
      </c>
      <c r="J61" s="89">
        <v>5.1029999999999998</v>
      </c>
      <c r="K61" s="89">
        <v>4.5819999999999999</v>
      </c>
      <c r="L61" s="89">
        <v>4.1189999999999998</v>
      </c>
      <c r="M61" s="89">
        <v>3.7090000000000001</v>
      </c>
      <c r="N61" s="89">
        <v>3.3439999999999999</v>
      </c>
      <c r="O61" s="89">
        <v>3.0190000000000001</v>
      </c>
      <c r="P61" s="89">
        <v>2.7290000000000001</v>
      </c>
      <c r="Q61" s="89">
        <v>2.4710000000000001</v>
      </c>
      <c r="R61" s="89">
        <v>2.2389999999999999</v>
      </c>
      <c r="S61" s="89">
        <v>2.0310000000000001</v>
      </c>
      <c r="T61" s="89">
        <v>1.8440000000000001</v>
      </c>
      <c r="U61" s="89">
        <v>1.6759999999999999</v>
      </c>
      <c r="V61" s="89">
        <v>1.524</v>
      </c>
      <c r="W61" s="89">
        <v>1.3859999999999999</v>
      </c>
      <c r="X61" s="89">
        <v>1.2629999999999999</v>
      </c>
      <c r="Y61" s="89">
        <v>1.151</v>
      </c>
      <c r="Z61" s="89">
        <v>1.05</v>
      </c>
      <c r="AA61" s="89">
        <v>0.95799999999999996</v>
      </c>
      <c r="AB61" s="89">
        <v>0.875</v>
      </c>
      <c r="AC61" s="89">
        <v>0.8</v>
      </c>
      <c r="AD61" s="89">
        <v>0.73199999999999998</v>
      </c>
      <c r="AE61" s="89">
        <v>0.67</v>
      </c>
    </row>
    <row r="62" spans="1:31" x14ac:dyDescent="0.25">
      <c r="A62" s="97">
        <v>55</v>
      </c>
      <c r="B62" s="89">
        <v>13.778</v>
      </c>
      <c r="C62" s="89">
        <v>12.259</v>
      </c>
      <c r="D62" s="89">
        <v>10.91</v>
      </c>
      <c r="E62" s="89">
        <v>9.7129999999999992</v>
      </c>
      <c r="F62" s="89">
        <v>8.6530000000000005</v>
      </c>
      <c r="G62" s="89">
        <v>7.7149999999999999</v>
      </c>
      <c r="H62" s="89">
        <v>6.8849999999999998</v>
      </c>
      <c r="I62" s="89">
        <v>6.1509999999999998</v>
      </c>
      <c r="J62" s="89">
        <v>5.5019999999999998</v>
      </c>
      <c r="K62" s="89">
        <v>4.9279999999999999</v>
      </c>
      <c r="L62" s="89">
        <v>4.4210000000000003</v>
      </c>
      <c r="M62" s="89">
        <v>3.9710000000000001</v>
      </c>
      <c r="N62" s="89">
        <v>3.5720000000000001</v>
      </c>
      <c r="O62" s="89">
        <v>3.218</v>
      </c>
      <c r="P62" s="89">
        <v>2.9020000000000001</v>
      </c>
      <c r="Q62" s="89">
        <v>2.6219999999999999</v>
      </c>
      <c r="R62" s="89">
        <v>2.371</v>
      </c>
      <c r="S62" s="89">
        <v>2.1459999999999999</v>
      </c>
      <c r="T62" s="89">
        <v>1.944</v>
      </c>
      <c r="U62" s="89">
        <v>1.764</v>
      </c>
      <c r="V62" s="89">
        <v>1.601</v>
      </c>
      <c r="W62" s="89">
        <v>1.454</v>
      </c>
      <c r="X62" s="89">
        <v>1.3220000000000001</v>
      </c>
      <c r="Y62" s="89">
        <v>1.2030000000000001</v>
      </c>
      <c r="Z62" s="89">
        <v>1.095</v>
      </c>
      <c r="AA62" s="89">
        <v>0.998</v>
      </c>
      <c r="AB62" s="89">
        <v>0.91100000000000003</v>
      </c>
      <c r="AC62" s="89">
        <v>0.83099999999999996</v>
      </c>
      <c r="AD62" s="89">
        <v>0.76</v>
      </c>
      <c r="AE62" s="89">
        <v>0.69499999999999995</v>
      </c>
    </row>
    <row r="63" spans="1:31" x14ac:dyDescent="0.25">
      <c r="A63" s="97">
        <v>56</v>
      </c>
      <c r="B63" s="89">
        <v>15.097</v>
      </c>
      <c r="C63" s="89">
        <v>13.417999999999999</v>
      </c>
      <c r="D63" s="89">
        <v>11.926</v>
      </c>
      <c r="E63" s="89">
        <v>10.602</v>
      </c>
      <c r="F63" s="89">
        <v>9.43</v>
      </c>
      <c r="G63" s="89">
        <v>8.3919999999999995</v>
      </c>
      <c r="H63" s="89">
        <v>7.4749999999999996</v>
      </c>
      <c r="I63" s="89">
        <v>6.6639999999999997</v>
      </c>
      <c r="J63" s="89">
        <v>5.9480000000000004</v>
      </c>
      <c r="K63" s="89">
        <v>5.3159999999999998</v>
      </c>
      <c r="L63" s="89">
        <v>4.758</v>
      </c>
      <c r="M63" s="89">
        <v>4.2640000000000002</v>
      </c>
      <c r="N63" s="89">
        <v>3.8260000000000001</v>
      </c>
      <c r="O63" s="89">
        <v>3.4390000000000001</v>
      </c>
      <c r="P63" s="89">
        <v>3.0950000000000002</v>
      </c>
      <c r="Q63" s="89">
        <v>2.7890000000000001</v>
      </c>
      <c r="R63" s="89">
        <v>2.5169999999999999</v>
      </c>
      <c r="S63" s="89">
        <v>2.2730000000000001</v>
      </c>
      <c r="T63" s="89">
        <v>2.0550000000000002</v>
      </c>
      <c r="U63" s="89">
        <v>1.86</v>
      </c>
      <c r="V63" s="89">
        <v>1.6850000000000001</v>
      </c>
      <c r="W63" s="89">
        <v>1.5269999999999999</v>
      </c>
      <c r="X63" s="89">
        <v>1.3859999999999999</v>
      </c>
      <c r="Y63" s="89">
        <v>1.26</v>
      </c>
      <c r="Z63" s="89">
        <v>1.145</v>
      </c>
      <c r="AA63" s="89">
        <v>1.042</v>
      </c>
      <c r="AB63" s="89">
        <v>0.94899999999999995</v>
      </c>
      <c r="AC63" s="89">
        <v>0.86599999999999999</v>
      </c>
      <c r="AD63" s="89">
        <v>0.79</v>
      </c>
      <c r="AE63" s="89">
        <v>0.72199999999999998</v>
      </c>
    </row>
    <row r="64" spans="1:31" x14ac:dyDescent="0.25">
      <c r="A64" s="97">
        <v>57</v>
      </c>
      <c r="B64" s="89">
        <v>16.571000000000002</v>
      </c>
      <c r="C64" s="89">
        <v>14.715</v>
      </c>
      <c r="D64" s="89">
        <v>13.064</v>
      </c>
      <c r="E64" s="89">
        <v>11.599</v>
      </c>
      <c r="F64" s="89">
        <v>10.3</v>
      </c>
      <c r="G64" s="89">
        <v>9.1519999999999992</v>
      </c>
      <c r="H64" s="89">
        <v>8.1359999999999992</v>
      </c>
      <c r="I64" s="89">
        <v>7.24</v>
      </c>
      <c r="J64" s="89">
        <v>6.4489999999999998</v>
      </c>
      <c r="K64" s="89">
        <v>5.7510000000000003</v>
      </c>
      <c r="L64" s="89">
        <v>5.1349999999999998</v>
      </c>
      <c r="M64" s="89">
        <v>4.5919999999999996</v>
      </c>
      <c r="N64" s="89">
        <v>4.1109999999999998</v>
      </c>
      <c r="O64" s="89">
        <v>3.6859999999999999</v>
      </c>
      <c r="P64" s="89">
        <v>3.3090000000000002</v>
      </c>
      <c r="Q64" s="89">
        <v>2.976</v>
      </c>
      <c r="R64" s="89">
        <v>2.6789999999999998</v>
      </c>
      <c r="S64" s="89">
        <v>2.4140000000000001</v>
      </c>
      <c r="T64" s="89">
        <v>2.1779999999999999</v>
      </c>
      <c r="U64" s="89">
        <v>1.9670000000000001</v>
      </c>
      <c r="V64" s="89">
        <v>1.778</v>
      </c>
      <c r="W64" s="89">
        <v>1.609</v>
      </c>
      <c r="X64" s="89">
        <v>1.458</v>
      </c>
      <c r="Y64" s="89">
        <v>1.3220000000000001</v>
      </c>
      <c r="Z64" s="89">
        <v>1.2</v>
      </c>
      <c r="AA64" s="89">
        <v>1.0900000000000001</v>
      </c>
      <c r="AB64" s="89">
        <v>0.99199999999999999</v>
      </c>
      <c r="AC64" s="89">
        <v>0.90300000000000002</v>
      </c>
      <c r="AD64" s="89">
        <v>0.82299999999999995</v>
      </c>
      <c r="AE64" s="89">
        <v>0.751</v>
      </c>
    </row>
    <row r="65" spans="1:31" x14ac:dyDescent="0.25">
      <c r="A65" s="97">
        <v>58</v>
      </c>
      <c r="B65" s="89">
        <v>18.221</v>
      </c>
      <c r="C65" s="89">
        <v>16.167000000000002</v>
      </c>
      <c r="D65" s="89">
        <v>14.339</v>
      </c>
      <c r="E65" s="89">
        <v>12.717000000000001</v>
      </c>
      <c r="F65" s="89">
        <v>11.278</v>
      </c>
      <c r="G65" s="89">
        <v>10.005000000000001</v>
      </c>
      <c r="H65" s="89">
        <v>8.8800000000000008</v>
      </c>
      <c r="I65" s="89">
        <v>7.8869999999999996</v>
      </c>
      <c r="J65" s="89">
        <v>7.0110000000000001</v>
      </c>
      <c r="K65" s="89">
        <v>6.2389999999999999</v>
      </c>
      <c r="L65" s="89">
        <v>5.5590000000000002</v>
      </c>
      <c r="M65" s="89">
        <v>4.9589999999999996</v>
      </c>
      <c r="N65" s="89">
        <v>4.43</v>
      </c>
      <c r="O65" s="89">
        <v>3.9620000000000002</v>
      </c>
      <c r="P65" s="89">
        <v>3.5489999999999999</v>
      </c>
      <c r="Q65" s="89">
        <v>3.1840000000000002</v>
      </c>
      <c r="R65" s="89">
        <v>2.859</v>
      </c>
      <c r="S65" s="89">
        <v>2.5710000000000002</v>
      </c>
      <c r="T65" s="89">
        <v>2.3140000000000001</v>
      </c>
      <c r="U65" s="89">
        <v>2.0859999999999999</v>
      </c>
      <c r="V65" s="89">
        <v>1.8819999999999999</v>
      </c>
      <c r="W65" s="89">
        <v>1.6990000000000001</v>
      </c>
      <c r="X65" s="89">
        <v>1.536</v>
      </c>
      <c r="Y65" s="89">
        <v>1.39</v>
      </c>
      <c r="Z65" s="89">
        <v>1.26</v>
      </c>
      <c r="AA65" s="89">
        <v>1.143</v>
      </c>
      <c r="AB65" s="89">
        <v>1.038</v>
      </c>
      <c r="AC65" s="89">
        <v>0.94299999999999995</v>
      </c>
      <c r="AD65" s="89">
        <v>0.85899999999999999</v>
      </c>
      <c r="AE65" s="89">
        <v>0.78300000000000003</v>
      </c>
    </row>
    <row r="66" spans="1:31" x14ac:dyDescent="0.25">
      <c r="A66" s="97">
        <v>59</v>
      </c>
      <c r="B66" s="89">
        <v>20.065999999999999</v>
      </c>
      <c r="C66" s="89">
        <v>17.794</v>
      </c>
      <c r="D66" s="89">
        <v>15.77</v>
      </c>
      <c r="E66" s="89">
        <v>13.971</v>
      </c>
      <c r="F66" s="89">
        <v>12.375999999999999</v>
      </c>
      <c r="G66" s="89">
        <v>10.962999999999999</v>
      </c>
      <c r="H66" s="89">
        <v>9.7149999999999999</v>
      </c>
      <c r="I66" s="89">
        <v>8.6140000000000008</v>
      </c>
      <c r="J66" s="89">
        <v>7.6429999999999998</v>
      </c>
      <c r="K66" s="89">
        <v>6.7880000000000003</v>
      </c>
      <c r="L66" s="89">
        <v>6.0350000000000001</v>
      </c>
      <c r="M66" s="89">
        <v>5.3719999999999999</v>
      </c>
      <c r="N66" s="89">
        <v>4.7880000000000003</v>
      </c>
      <c r="O66" s="89">
        <v>4.2720000000000002</v>
      </c>
      <c r="P66" s="89">
        <v>3.8180000000000001</v>
      </c>
      <c r="Q66" s="89">
        <v>3.4169999999999998</v>
      </c>
      <c r="R66" s="89">
        <v>3.0609999999999999</v>
      </c>
      <c r="S66" s="89">
        <v>2.746</v>
      </c>
      <c r="T66" s="89">
        <v>2.4660000000000002</v>
      </c>
      <c r="U66" s="89">
        <v>2.218</v>
      </c>
      <c r="V66" s="89">
        <v>1.996</v>
      </c>
      <c r="W66" s="89">
        <v>1.798</v>
      </c>
      <c r="X66" s="89">
        <v>1.623</v>
      </c>
      <c r="Y66" s="89">
        <v>1.466</v>
      </c>
      <c r="Z66" s="89">
        <v>1.3260000000000001</v>
      </c>
      <c r="AA66" s="89">
        <v>1.2</v>
      </c>
      <c r="AB66" s="89">
        <v>1.0880000000000001</v>
      </c>
      <c r="AC66" s="89">
        <v>0.98799999999999999</v>
      </c>
      <c r="AD66" s="89">
        <v>0.89800000000000002</v>
      </c>
      <c r="AE66" s="89">
        <v>0.81699999999999995</v>
      </c>
    </row>
    <row r="67" spans="1:31" x14ac:dyDescent="0.25">
      <c r="A67" s="97">
        <v>60</v>
      </c>
      <c r="B67" s="89">
        <v>22.132999999999999</v>
      </c>
      <c r="C67" s="89">
        <v>19.617999999999999</v>
      </c>
      <c r="D67" s="89">
        <v>17.375</v>
      </c>
      <c r="E67" s="89">
        <v>15.38</v>
      </c>
      <c r="F67" s="89">
        <v>13.609</v>
      </c>
      <c r="G67" s="89">
        <v>12.042</v>
      </c>
      <c r="H67" s="89">
        <v>10.656000000000001</v>
      </c>
      <c r="I67" s="89">
        <v>9.4329999999999998</v>
      </c>
      <c r="J67" s="89">
        <v>8.3550000000000004</v>
      </c>
      <c r="K67" s="89">
        <v>7.4059999999999997</v>
      </c>
      <c r="L67" s="89">
        <v>6.5709999999999997</v>
      </c>
      <c r="M67" s="89">
        <v>5.8369999999999997</v>
      </c>
      <c r="N67" s="89">
        <v>5.19</v>
      </c>
      <c r="O67" s="89">
        <v>4.6210000000000004</v>
      </c>
      <c r="P67" s="89">
        <v>4.12</v>
      </c>
      <c r="Q67" s="89">
        <v>3.6779999999999999</v>
      </c>
      <c r="R67" s="89">
        <v>3.2869999999999999</v>
      </c>
      <c r="S67" s="89">
        <v>2.9420000000000002</v>
      </c>
      <c r="T67" s="89">
        <v>2.6360000000000001</v>
      </c>
      <c r="U67" s="89">
        <v>2.3639999999999999</v>
      </c>
      <c r="V67" s="89">
        <v>2.1230000000000002</v>
      </c>
      <c r="W67" s="89">
        <v>1.9079999999999999</v>
      </c>
      <c r="X67" s="89">
        <v>1.718</v>
      </c>
      <c r="Y67" s="89">
        <v>1.5489999999999999</v>
      </c>
      <c r="Z67" s="89">
        <v>1.399</v>
      </c>
      <c r="AA67" s="89">
        <v>1.264</v>
      </c>
      <c r="AB67" s="89">
        <v>1.1439999999999999</v>
      </c>
      <c r="AC67" s="89">
        <v>1.036</v>
      </c>
      <c r="AD67" s="89">
        <v>0.94</v>
      </c>
      <c r="AE67" s="89">
        <v>0.85499999999999998</v>
      </c>
    </row>
    <row r="68" spans="1:31" x14ac:dyDescent="0.25">
      <c r="A68" s="97">
        <v>61</v>
      </c>
      <c r="B68" s="89">
        <v>24.449000000000002</v>
      </c>
      <c r="C68" s="89">
        <v>21.664000000000001</v>
      </c>
      <c r="D68" s="89">
        <v>19.177</v>
      </c>
      <c r="E68" s="89">
        <v>16.963000000000001</v>
      </c>
      <c r="F68" s="89">
        <v>14.997</v>
      </c>
      <c r="G68" s="89">
        <v>13.255000000000001</v>
      </c>
      <c r="H68" s="89">
        <v>11.715</v>
      </c>
      <c r="I68" s="89">
        <v>10.355</v>
      </c>
      <c r="J68" s="89">
        <v>9.157</v>
      </c>
      <c r="K68" s="89">
        <v>8.1029999999999998</v>
      </c>
      <c r="L68" s="89">
        <v>7.1749999999999998</v>
      </c>
      <c r="M68" s="89">
        <v>6.36</v>
      </c>
      <c r="N68" s="89">
        <v>5.6429999999999998</v>
      </c>
      <c r="O68" s="89">
        <v>5.0129999999999999</v>
      </c>
      <c r="P68" s="89">
        <v>4.4589999999999996</v>
      </c>
      <c r="Q68" s="89">
        <v>3.9710000000000001</v>
      </c>
      <c r="R68" s="89">
        <v>3.5409999999999999</v>
      </c>
      <c r="S68" s="89">
        <v>3.161</v>
      </c>
      <c r="T68" s="89">
        <v>2.8250000000000002</v>
      </c>
      <c r="U68" s="89">
        <v>2.5289999999999999</v>
      </c>
      <c r="V68" s="89">
        <v>2.2650000000000001</v>
      </c>
      <c r="W68" s="89">
        <v>2.0310000000000001</v>
      </c>
      <c r="X68" s="89">
        <v>1.825</v>
      </c>
      <c r="Y68" s="89">
        <v>1.6419999999999999</v>
      </c>
      <c r="Z68" s="89">
        <v>1.4790000000000001</v>
      </c>
      <c r="AA68" s="89">
        <v>1.3340000000000001</v>
      </c>
      <c r="AB68" s="89">
        <v>1.2050000000000001</v>
      </c>
      <c r="AC68" s="89">
        <v>1.0900000000000001</v>
      </c>
      <c r="AD68" s="89">
        <v>0.98699999999999999</v>
      </c>
      <c r="AE68" s="89">
        <v>0.89600000000000002</v>
      </c>
    </row>
    <row r="69" spans="1:31" x14ac:dyDescent="0.25">
      <c r="A69" s="97">
        <v>62</v>
      </c>
      <c r="B69" s="89">
        <v>27.045999999999999</v>
      </c>
      <c r="C69" s="89">
        <v>23.96</v>
      </c>
      <c r="D69" s="89">
        <v>21.201000000000001</v>
      </c>
      <c r="E69" s="89">
        <v>18.744</v>
      </c>
      <c r="F69" s="89">
        <v>16.559000000000001</v>
      </c>
      <c r="G69" s="89">
        <v>14.622</v>
      </c>
      <c r="H69" s="89">
        <v>12.907999999999999</v>
      </c>
      <c r="I69" s="89">
        <v>11.395</v>
      </c>
      <c r="J69" s="89">
        <v>10.061999999999999</v>
      </c>
      <c r="K69" s="89">
        <v>8.8889999999999993</v>
      </c>
      <c r="L69" s="89">
        <v>7.8570000000000002</v>
      </c>
      <c r="M69" s="89">
        <v>6.9509999999999996</v>
      </c>
      <c r="N69" s="89">
        <v>6.1550000000000002</v>
      </c>
      <c r="O69" s="89">
        <v>5.4550000000000001</v>
      </c>
      <c r="P69" s="89">
        <v>4.8410000000000002</v>
      </c>
      <c r="Q69" s="89">
        <v>4.3010000000000002</v>
      </c>
      <c r="R69" s="89">
        <v>3.8260000000000001</v>
      </c>
      <c r="S69" s="89">
        <v>3.407</v>
      </c>
      <c r="T69" s="89">
        <v>3.0379999999999998</v>
      </c>
      <c r="U69" s="89">
        <v>2.7120000000000002</v>
      </c>
      <c r="V69" s="89">
        <v>2.4239999999999999</v>
      </c>
      <c r="W69" s="89">
        <v>2.1680000000000001</v>
      </c>
      <c r="X69" s="89">
        <v>1.944</v>
      </c>
      <c r="Y69" s="89">
        <v>1.7450000000000001</v>
      </c>
      <c r="Z69" s="89">
        <v>1.5680000000000001</v>
      </c>
      <c r="AA69" s="89">
        <v>1.4119999999999999</v>
      </c>
      <c r="AB69" s="89">
        <v>1.2729999999999999</v>
      </c>
      <c r="AC69" s="89">
        <v>1.149</v>
      </c>
      <c r="AD69" s="89">
        <v>1.0389999999999999</v>
      </c>
      <c r="AE69" s="89">
        <v>0.94099999999999995</v>
      </c>
    </row>
    <row r="70" spans="1:31" x14ac:dyDescent="0.25">
      <c r="A70" s="97">
        <v>63</v>
      </c>
      <c r="B70" s="89">
        <v>29.957999999999998</v>
      </c>
      <c r="C70" s="89">
        <v>26.539000000000001</v>
      </c>
      <c r="D70" s="89">
        <v>23.477</v>
      </c>
      <c r="E70" s="89">
        <v>20.748000000000001</v>
      </c>
      <c r="F70" s="89">
        <v>18.318000000000001</v>
      </c>
      <c r="G70" s="89">
        <v>16.163</v>
      </c>
      <c r="H70" s="89">
        <v>14.255000000000001</v>
      </c>
      <c r="I70" s="89">
        <v>12.569000000000001</v>
      </c>
      <c r="J70" s="89">
        <v>11.083</v>
      </c>
      <c r="K70" s="89">
        <v>9.7769999999999992</v>
      </c>
      <c r="L70" s="89">
        <v>8.6280000000000001</v>
      </c>
      <c r="M70" s="89">
        <v>7.6180000000000003</v>
      </c>
      <c r="N70" s="89">
        <v>6.7320000000000002</v>
      </c>
      <c r="O70" s="89">
        <v>5.9550000000000001</v>
      </c>
      <c r="P70" s="89">
        <v>5.2720000000000002</v>
      </c>
      <c r="Q70" s="89">
        <v>4.6740000000000004</v>
      </c>
      <c r="R70" s="89">
        <v>4.1479999999999997</v>
      </c>
      <c r="S70" s="89">
        <v>3.6850000000000001</v>
      </c>
      <c r="T70" s="89">
        <v>3.2770000000000001</v>
      </c>
      <c r="U70" s="89">
        <v>2.919</v>
      </c>
      <c r="V70" s="89">
        <v>2.6019999999999999</v>
      </c>
      <c r="W70" s="89">
        <v>2.3220000000000001</v>
      </c>
      <c r="X70" s="89">
        <v>2.0760000000000001</v>
      </c>
      <c r="Y70" s="89">
        <v>1.859</v>
      </c>
      <c r="Z70" s="89">
        <v>1.6679999999999999</v>
      </c>
      <c r="AA70" s="89">
        <v>1.498</v>
      </c>
      <c r="AB70" s="89">
        <v>1.347</v>
      </c>
      <c r="AC70" s="89">
        <v>1.214</v>
      </c>
      <c r="AD70" s="89">
        <v>1.0960000000000001</v>
      </c>
      <c r="AE70" s="89">
        <v>0.99099999999999999</v>
      </c>
    </row>
    <row r="71" spans="1:31" x14ac:dyDescent="0.25">
      <c r="A71" s="97">
        <v>64</v>
      </c>
      <c r="B71" s="89">
        <v>33.228000000000002</v>
      </c>
      <c r="C71" s="89">
        <v>29.437000000000001</v>
      </c>
      <c r="D71" s="89">
        <v>26.038</v>
      </c>
      <c r="E71" s="89">
        <v>23.004000000000001</v>
      </c>
      <c r="F71" s="89">
        <v>20.302</v>
      </c>
      <c r="G71" s="89">
        <v>17.901</v>
      </c>
      <c r="H71" s="89">
        <v>15.775</v>
      </c>
      <c r="I71" s="89">
        <v>13.896000000000001</v>
      </c>
      <c r="J71" s="89">
        <v>12.239000000000001</v>
      </c>
      <c r="K71" s="89">
        <v>10.781000000000001</v>
      </c>
      <c r="L71" s="89">
        <v>9.4990000000000006</v>
      </c>
      <c r="M71" s="89">
        <v>8.3740000000000006</v>
      </c>
      <c r="N71" s="89">
        <v>7.3860000000000001</v>
      </c>
      <c r="O71" s="89">
        <v>6.52</v>
      </c>
      <c r="P71" s="89">
        <v>5.76</v>
      </c>
      <c r="Q71" s="89">
        <v>5.0949999999999998</v>
      </c>
      <c r="R71" s="89">
        <v>4.5110000000000001</v>
      </c>
      <c r="S71" s="89">
        <v>3.9980000000000002</v>
      </c>
      <c r="T71" s="89">
        <v>3.5470000000000002</v>
      </c>
      <c r="U71" s="89">
        <v>3.1509999999999998</v>
      </c>
      <c r="V71" s="89">
        <v>2.802</v>
      </c>
      <c r="W71" s="89">
        <v>2.4940000000000002</v>
      </c>
      <c r="X71" s="89">
        <v>2.2250000000000001</v>
      </c>
      <c r="Y71" s="89">
        <v>1.988</v>
      </c>
      <c r="Z71" s="89">
        <v>1.778</v>
      </c>
      <c r="AA71" s="89">
        <v>1.5940000000000001</v>
      </c>
      <c r="AB71" s="89">
        <v>1.431</v>
      </c>
      <c r="AC71" s="89">
        <v>1.286</v>
      </c>
      <c r="AD71" s="89">
        <v>1.159</v>
      </c>
      <c r="AE71" s="89">
        <v>1.046</v>
      </c>
    </row>
    <row r="72" spans="1:31" x14ac:dyDescent="0.25">
      <c r="A72" s="97">
        <v>65</v>
      </c>
      <c r="B72" s="89">
        <v>36.904000000000003</v>
      </c>
      <c r="C72" s="89">
        <v>32.698</v>
      </c>
      <c r="D72" s="89">
        <v>28.922999999999998</v>
      </c>
      <c r="E72" s="89">
        <v>25.548999999999999</v>
      </c>
      <c r="F72" s="89">
        <v>22.54</v>
      </c>
      <c r="G72" s="89">
        <v>19.864999999999998</v>
      </c>
      <c r="H72" s="89">
        <v>17.494</v>
      </c>
      <c r="I72" s="89">
        <v>15.397</v>
      </c>
      <c r="J72" s="89">
        <v>13.545999999999999</v>
      </c>
      <c r="K72" s="89">
        <v>11.917999999999999</v>
      </c>
      <c r="L72" s="89">
        <v>10.487</v>
      </c>
      <c r="M72" s="89">
        <v>9.23</v>
      </c>
      <c r="N72" s="89">
        <v>8.1270000000000007</v>
      </c>
      <c r="O72" s="89">
        <v>7.16</v>
      </c>
      <c r="P72" s="89">
        <v>6.3129999999999997</v>
      </c>
      <c r="Q72" s="89">
        <v>5.5720000000000001</v>
      </c>
      <c r="R72" s="89">
        <v>4.9219999999999997</v>
      </c>
      <c r="S72" s="89">
        <v>4.3520000000000003</v>
      </c>
      <c r="T72" s="89">
        <v>3.851</v>
      </c>
      <c r="U72" s="89">
        <v>3.4129999999999998</v>
      </c>
      <c r="V72" s="89">
        <v>3.0270000000000001</v>
      </c>
      <c r="W72" s="89">
        <v>2.6869999999999998</v>
      </c>
      <c r="X72" s="89">
        <v>2.391</v>
      </c>
      <c r="Y72" s="89">
        <v>2.1309999999999998</v>
      </c>
      <c r="Z72" s="89">
        <v>1.9019999999999999</v>
      </c>
      <c r="AA72" s="89">
        <v>1.7010000000000001</v>
      </c>
      <c r="AB72" s="89">
        <v>1.5229999999999999</v>
      </c>
      <c r="AC72" s="89">
        <v>1.367</v>
      </c>
      <c r="AD72" s="89">
        <v>1.2290000000000001</v>
      </c>
      <c r="AE72" s="89">
        <v>1.107</v>
      </c>
    </row>
    <row r="73" spans="1:31" x14ac:dyDescent="0.25">
      <c r="A73" s="97">
        <v>66</v>
      </c>
      <c r="B73" s="89">
        <v>41.042999999999999</v>
      </c>
      <c r="C73" s="89">
        <v>36.372999999999998</v>
      </c>
      <c r="D73" s="89">
        <v>32.177</v>
      </c>
      <c r="E73" s="89">
        <v>28.422000000000001</v>
      </c>
      <c r="F73" s="89">
        <v>25.068999999999999</v>
      </c>
      <c r="G73" s="89">
        <v>22.087</v>
      </c>
      <c r="H73" s="89">
        <v>19.439</v>
      </c>
      <c r="I73" s="89">
        <v>17.097000000000001</v>
      </c>
      <c r="J73" s="89">
        <v>15.029</v>
      </c>
      <c r="K73" s="89">
        <v>13.209</v>
      </c>
      <c r="L73" s="89">
        <v>11.608000000000001</v>
      </c>
      <c r="M73" s="89">
        <v>10.202</v>
      </c>
      <c r="N73" s="89">
        <v>8.9689999999999994</v>
      </c>
      <c r="O73" s="89">
        <v>7.8879999999999999</v>
      </c>
      <c r="P73" s="89">
        <v>6.9409999999999998</v>
      </c>
      <c r="Q73" s="89">
        <v>6.1139999999999999</v>
      </c>
      <c r="R73" s="89">
        <v>5.3890000000000002</v>
      </c>
      <c r="S73" s="89">
        <v>4.7530000000000001</v>
      </c>
      <c r="T73" s="89">
        <v>4.1959999999999997</v>
      </c>
      <c r="U73" s="89">
        <v>3.7090000000000001</v>
      </c>
      <c r="V73" s="89">
        <v>3.282</v>
      </c>
      <c r="W73" s="89">
        <v>2.9060000000000001</v>
      </c>
      <c r="X73" s="89">
        <v>2.5790000000000002</v>
      </c>
      <c r="Y73" s="89">
        <v>2.2930000000000001</v>
      </c>
      <c r="Z73" s="89">
        <v>2.0409999999999999</v>
      </c>
      <c r="AA73" s="89">
        <v>1.821</v>
      </c>
      <c r="AB73" s="89">
        <v>1.627</v>
      </c>
      <c r="AC73" s="89">
        <v>1.456</v>
      </c>
      <c r="AD73" s="89">
        <v>1.306</v>
      </c>
      <c r="AE73" s="89">
        <v>1.175</v>
      </c>
    </row>
    <row r="74" spans="1:31" x14ac:dyDescent="0.25">
      <c r="A74" s="97">
        <v>67</v>
      </c>
      <c r="B74" s="89">
        <v>45.710999999999999</v>
      </c>
      <c r="C74" s="89">
        <v>40.521999999999998</v>
      </c>
      <c r="D74" s="89">
        <v>35.853000000000002</v>
      </c>
      <c r="E74" s="89">
        <v>31.67</v>
      </c>
      <c r="F74" s="89">
        <v>27.931999999999999</v>
      </c>
      <c r="G74" s="89">
        <v>24.603000000000002</v>
      </c>
      <c r="H74" s="89">
        <v>21.645</v>
      </c>
      <c r="I74" s="89">
        <v>19.026</v>
      </c>
      <c r="J74" s="89">
        <v>16.713000000000001</v>
      </c>
      <c r="K74" s="89">
        <v>14.675000000000001</v>
      </c>
      <c r="L74" s="89">
        <v>12.882</v>
      </c>
      <c r="M74" s="89">
        <v>11.307</v>
      </c>
      <c r="N74" s="89">
        <v>9.9260000000000002</v>
      </c>
      <c r="O74" s="89">
        <v>8.7159999999999993</v>
      </c>
      <c r="P74" s="89">
        <v>7.6559999999999997</v>
      </c>
      <c r="Q74" s="89">
        <v>6.73</v>
      </c>
      <c r="R74" s="89">
        <v>5.92</v>
      </c>
      <c r="S74" s="89">
        <v>5.2089999999999996</v>
      </c>
      <c r="T74" s="89">
        <v>4.5880000000000001</v>
      </c>
      <c r="U74" s="89">
        <v>4.0449999999999999</v>
      </c>
      <c r="V74" s="89">
        <v>3.57</v>
      </c>
      <c r="W74" s="89">
        <v>3.153</v>
      </c>
      <c r="X74" s="89">
        <v>2.7909999999999999</v>
      </c>
      <c r="Y74" s="89">
        <v>2.4750000000000001</v>
      </c>
      <c r="Z74" s="89">
        <v>2.198</v>
      </c>
      <c r="AA74" s="89">
        <v>1.9550000000000001</v>
      </c>
      <c r="AB74" s="89">
        <v>1.7430000000000001</v>
      </c>
      <c r="AC74" s="89">
        <v>1.5569999999999999</v>
      </c>
      <c r="AD74" s="89">
        <v>1.393</v>
      </c>
      <c r="AE74" s="89">
        <v>1.25</v>
      </c>
    </row>
    <row r="75" spans="1:31" x14ac:dyDescent="0.25">
      <c r="A75" s="97">
        <v>68</v>
      </c>
      <c r="B75" s="89">
        <v>50.984000000000002</v>
      </c>
      <c r="C75" s="89">
        <v>45.212000000000003</v>
      </c>
      <c r="D75" s="89">
        <v>40.012</v>
      </c>
      <c r="E75" s="89">
        <v>35.348999999999997</v>
      </c>
      <c r="F75" s="89">
        <v>31.177</v>
      </c>
      <c r="G75" s="89">
        <v>27.457000000000001</v>
      </c>
      <c r="H75" s="89">
        <v>24.15</v>
      </c>
      <c r="I75" s="89">
        <v>21.219000000000001</v>
      </c>
      <c r="J75" s="89">
        <v>18.626999999999999</v>
      </c>
      <c r="K75" s="89">
        <v>16.344000000000001</v>
      </c>
      <c r="L75" s="89">
        <v>14.334</v>
      </c>
      <c r="M75" s="89">
        <v>12.567</v>
      </c>
      <c r="N75" s="89">
        <v>11.016999999999999</v>
      </c>
      <c r="O75" s="89">
        <v>9.6590000000000007</v>
      </c>
      <c r="P75" s="89">
        <v>8.4710000000000001</v>
      </c>
      <c r="Q75" s="89">
        <v>7.4329999999999998</v>
      </c>
      <c r="R75" s="89">
        <v>6.5250000000000004</v>
      </c>
      <c r="S75" s="89">
        <v>5.7290000000000001</v>
      </c>
      <c r="T75" s="89">
        <v>5.0350000000000001</v>
      </c>
      <c r="U75" s="89">
        <v>4.4279999999999999</v>
      </c>
      <c r="V75" s="89">
        <v>3.8980000000000001</v>
      </c>
      <c r="W75" s="89">
        <v>3.4340000000000002</v>
      </c>
      <c r="X75" s="89">
        <v>3.032</v>
      </c>
      <c r="Y75" s="89">
        <v>2.681</v>
      </c>
      <c r="Z75" s="89">
        <v>2.375</v>
      </c>
      <c r="AA75" s="89">
        <v>2.1070000000000002</v>
      </c>
      <c r="AB75" s="89">
        <v>1.8740000000000001</v>
      </c>
      <c r="AC75" s="89">
        <v>1.669</v>
      </c>
      <c r="AD75" s="89">
        <v>1.4910000000000001</v>
      </c>
      <c r="AE75" s="89">
        <v>1.3340000000000001</v>
      </c>
    </row>
    <row r="76" spans="1:31" x14ac:dyDescent="0.25">
      <c r="A76" s="97">
        <v>69</v>
      </c>
      <c r="B76" s="89">
        <v>56.954999999999998</v>
      </c>
      <c r="C76" s="89">
        <v>50.527000000000001</v>
      </c>
      <c r="D76" s="89">
        <v>44.728999999999999</v>
      </c>
      <c r="E76" s="89">
        <v>39.524000000000001</v>
      </c>
      <c r="F76" s="89">
        <v>34.862000000000002</v>
      </c>
      <c r="G76" s="89">
        <v>30.702000000000002</v>
      </c>
      <c r="H76" s="89">
        <v>26.998999999999999</v>
      </c>
      <c r="I76" s="89">
        <v>23.715</v>
      </c>
      <c r="J76" s="89">
        <v>20.808</v>
      </c>
      <c r="K76" s="89">
        <v>18.245999999999999</v>
      </c>
      <c r="L76" s="89">
        <v>15.989000000000001</v>
      </c>
      <c r="M76" s="89">
        <v>14.005000000000001</v>
      </c>
      <c r="N76" s="89">
        <v>12.263999999999999</v>
      </c>
      <c r="O76" s="89">
        <v>10.738</v>
      </c>
      <c r="P76" s="89">
        <v>9.4030000000000005</v>
      </c>
      <c r="Q76" s="89">
        <v>8.2360000000000007</v>
      </c>
      <c r="R76" s="89">
        <v>7.2160000000000002</v>
      </c>
      <c r="S76" s="89">
        <v>6.3230000000000004</v>
      </c>
      <c r="T76" s="89">
        <v>5.5449999999999999</v>
      </c>
      <c r="U76" s="89">
        <v>4.8650000000000002</v>
      </c>
      <c r="V76" s="89">
        <v>4.2720000000000002</v>
      </c>
      <c r="W76" s="89">
        <v>3.7530000000000001</v>
      </c>
      <c r="X76" s="89">
        <v>3.3050000000000002</v>
      </c>
      <c r="Y76" s="89">
        <v>2.915</v>
      </c>
      <c r="Z76" s="89">
        <v>2.5760000000000001</v>
      </c>
      <c r="AA76" s="89">
        <v>2.2789999999999999</v>
      </c>
      <c r="AB76" s="89">
        <v>2.0219999999999998</v>
      </c>
      <c r="AC76" s="89">
        <v>1.7969999999999999</v>
      </c>
      <c r="AD76" s="89">
        <v>1.6</v>
      </c>
      <c r="AE76" s="89">
        <v>1.429</v>
      </c>
    </row>
    <row r="77" spans="1:31" x14ac:dyDescent="0.25">
      <c r="A77" s="97">
        <v>70</v>
      </c>
      <c r="B77" s="89">
        <v>63.73</v>
      </c>
      <c r="C77" s="89">
        <v>56.561</v>
      </c>
      <c r="D77" s="89">
        <v>50.088000000000001</v>
      </c>
      <c r="E77" s="89">
        <v>44.271000000000001</v>
      </c>
      <c r="F77" s="89">
        <v>39.055999999999997</v>
      </c>
      <c r="G77" s="89">
        <v>34.396000000000001</v>
      </c>
      <c r="H77" s="89">
        <v>30.245999999999999</v>
      </c>
      <c r="I77" s="89">
        <v>26.561</v>
      </c>
      <c r="J77" s="89">
        <v>23.297999999999998</v>
      </c>
      <c r="K77" s="89">
        <v>20.419</v>
      </c>
      <c r="L77" s="89">
        <v>17.882000000000001</v>
      </c>
      <c r="M77" s="89">
        <v>15.65</v>
      </c>
      <c r="N77" s="89">
        <v>13.691000000000001</v>
      </c>
      <c r="O77" s="89">
        <v>11.973000000000001</v>
      </c>
      <c r="P77" s="89">
        <v>10.47</v>
      </c>
      <c r="Q77" s="89">
        <v>9.157</v>
      </c>
      <c r="R77" s="89">
        <v>8.0090000000000003</v>
      </c>
      <c r="S77" s="89">
        <v>7.0039999999999996</v>
      </c>
      <c r="T77" s="89">
        <v>6.1280000000000001</v>
      </c>
      <c r="U77" s="89">
        <v>5.3650000000000002</v>
      </c>
      <c r="V77" s="89">
        <v>4.7</v>
      </c>
      <c r="W77" s="89">
        <v>4.1180000000000003</v>
      </c>
      <c r="X77" s="89">
        <v>3.617</v>
      </c>
      <c r="Y77" s="89">
        <v>3.1819999999999999</v>
      </c>
      <c r="Z77" s="89">
        <v>2.8039999999999998</v>
      </c>
      <c r="AA77" s="89">
        <v>2.4750000000000001</v>
      </c>
      <c r="AB77" s="89">
        <v>2.1890000000000001</v>
      </c>
      <c r="AC77" s="89">
        <v>1.9410000000000001</v>
      </c>
      <c r="AD77" s="89">
        <v>1.724</v>
      </c>
      <c r="AE77" s="89">
        <v>1.536</v>
      </c>
    </row>
    <row r="78" spans="1:31" x14ac:dyDescent="0.25">
      <c r="A78" s="97">
        <v>71</v>
      </c>
      <c r="B78" s="89">
        <v>71.421999999999997</v>
      </c>
      <c r="C78" s="89">
        <v>63.417000000000002</v>
      </c>
      <c r="D78" s="89">
        <v>56.18</v>
      </c>
      <c r="E78" s="89">
        <v>49.670999999999999</v>
      </c>
      <c r="F78" s="89">
        <v>43.828000000000003</v>
      </c>
      <c r="G78" s="89">
        <v>38.603999999999999</v>
      </c>
      <c r="H78" s="89">
        <v>33.945999999999998</v>
      </c>
      <c r="I78" s="89">
        <v>29.806999999999999</v>
      </c>
      <c r="J78" s="89">
        <v>26.138999999999999</v>
      </c>
      <c r="K78" s="89">
        <v>22.901</v>
      </c>
      <c r="L78" s="89">
        <v>20.045000000000002</v>
      </c>
      <c r="M78" s="89">
        <v>17.530999999999999</v>
      </c>
      <c r="N78" s="89">
        <v>15.324</v>
      </c>
      <c r="O78" s="89">
        <v>13.387</v>
      </c>
      <c r="P78" s="89">
        <v>11.692</v>
      </c>
      <c r="Q78" s="89">
        <v>10.212</v>
      </c>
      <c r="R78" s="89">
        <v>8.9169999999999998</v>
      </c>
      <c r="S78" s="89">
        <v>7.7839999999999998</v>
      </c>
      <c r="T78" s="89">
        <v>6.7969999999999997</v>
      </c>
      <c r="U78" s="89">
        <v>5.9379999999999997</v>
      </c>
      <c r="V78" s="89">
        <v>5.19</v>
      </c>
      <c r="W78" s="89">
        <v>4.5359999999999996</v>
      </c>
      <c r="X78" s="89">
        <v>3.9740000000000002</v>
      </c>
      <c r="Y78" s="89">
        <v>3.4860000000000002</v>
      </c>
      <c r="Z78" s="89">
        <v>3.0640000000000001</v>
      </c>
      <c r="AA78" s="89">
        <v>2.6970000000000001</v>
      </c>
      <c r="AB78" s="89">
        <v>2.379</v>
      </c>
      <c r="AC78" s="89">
        <v>2.1040000000000001</v>
      </c>
      <c r="AD78" s="89">
        <v>1.8640000000000001</v>
      </c>
      <c r="AE78" s="89">
        <v>1.657</v>
      </c>
    </row>
    <row r="79" spans="1:31" x14ac:dyDescent="0.25">
      <c r="A79" s="97">
        <v>72</v>
      </c>
      <c r="B79" s="89">
        <v>80.171000000000006</v>
      </c>
      <c r="C79" s="89">
        <v>71.218000000000004</v>
      </c>
      <c r="D79" s="89">
        <v>63.115000000000002</v>
      </c>
      <c r="E79" s="89">
        <v>55.820999999999998</v>
      </c>
      <c r="F79" s="89">
        <v>49.268000000000001</v>
      </c>
      <c r="G79" s="89">
        <v>43.402999999999999</v>
      </c>
      <c r="H79" s="89">
        <v>38.167999999999999</v>
      </c>
      <c r="I79" s="89">
        <v>33.514000000000003</v>
      </c>
      <c r="J79" s="89">
        <v>29.385999999999999</v>
      </c>
      <c r="K79" s="89">
        <v>25.74</v>
      </c>
      <c r="L79" s="89">
        <v>22.521000000000001</v>
      </c>
      <c r="M79" s="89">
        <v>19.686</v>
      </c>
      <c r="N79" s="89">
        <v>17.195</v>
      </c>
      <c r="O79" s="89">
        <v>15.009</v>
      </c>
      <c r="P79" s="89">
        <v>13.093999999999999</v>
      </c>
      <c r="Q79" s="89">
        <v>11.422000000000001</v>
      </c>
      <c r="R79" s="89">
        <v>9.9589999999999996</v>
      </c>
      <c r="S79" s="89">
        <v>8.68</v>
      </c>
      <c r="T79" s="89">
        <v>7.5650000000000004</v>
      </c>
      <c r="U79" s="89">
        <v>6.5949999999999998</v>
      </c>
      <c r="V79" s="89">
        <v>5.7510000000000003</v>
      </c>
      <c r="W79" s="89">
        <v>5.0140000000000002</v>
      </c>
      <c r="X79" s="89">
        <v>4.3819999999999997</v>
      </c>
      <c r="Y79" s="89">
        <v>3.8340000000000001</v>
      </c>
      <c r="Z79" s="89">
        <v>3.3610000000000002</v>
      </c>
      <c r="AA79" s="89">
        <v>2.95</v>
      </c>
      <c r="AB79" s="89">
        <v>2.5960000000000001</v>
      </c>
      <c r="AC79" s="89">
        <v>2.2890000000000001</v>
      </c>
      <c r="AD79" s="89">
        <v>2.0230000000000001</v>
      </c>
      <c r="AE79" s="89">
        <v>1.7929999999999999</v>
      </c>
    </row>
    <row r="80" spans="1:31" x14ac:dyDescent="0.25">
      <c r="A80" s="97">
        <v>73</v>
      </c>
      <c r="B80" s="89">
        <v>90.156000000000006</v>
      </c>
      <c r="C80" s="89">
        <v>80.126000000000005</v>
      </c>
      <c r="D80" s="89">
        <v>71.039000000000001</v>
      </c>
      <c r="E80" s="89">
        <v>62.850999999999999</v>
      </c>
      <c r="F80" s="89">
        <v>55.488</v>
      </c>
      <c r="G80" s="89">
        <v>48.893000000000001</v>
      </c>
      <c r="H80" s="89">
        <v>43.003</v>
      </c>
      <c r="I80" s="89">
        <v>37.761000000000003</v>
      </c>
      <c r="J80" s="89">
        <v>33.107999999999997</v>
      </c>
      <c r="K80" s="89">
        <v>28.995999999999999</v>
      </c>
      <c r="L80" s="89">
        <v>25.363</v>
      </c>
      <c r="M80" s="89">
        <v>22.161000000000001</v>
      </c>
      <c r="N80" s="89">
        <v>19.346</v>
      </c>
      <c r="O80" s="89">
        <v>16.873999999999999</v>
      </c>
      <c r="P80" s="89">
        <v>14.708</v>
      </c>
      <c r="Q80" s="89">
        <v>12.816000000000001</v>
      </c>
      <c r="R80" s="89">
        <v>11.16</v>
      </c>
      <c r="S80" s="89">
        <v>9.7110000000000003</v>
      </c>
      <c r="T80" s="89">
        <v>8.4489999999999998</v>
      </c>
      <c r="U80" s="89">
        <v>7.351</v>
      </c>
      <c r="V80" s="89">
        <v>6.3970000000000002</v>
      </c>
      <c r="W80" s="89">
        <v>5.5640000000000001</v>
      </c>
      <c r="X80" s="89">
        <v>4.8499999999999996</v>
      </c>
      <c r="Y80" s="89">
        <v>4.234</v>
      </c>
      <c r="Z80" s="89">
        <v>3.7010000000000001</v>
      </c>
      <c r="AA80" s="89">
        <v>3.24</v>
      </c>
      <c r="AB80" s="89">
        <v>2.843</v>
      </c>
      <c r="AC80" s="89">
        <v>2.5</v>
      </c>
      <c r="AD80" s="89">
        <v>2.2040000000000002</v>
      </c>
      <c r="AE80" s="89">
        <v>1.9490000000000001</v>
      </c>
    </row>
    <row r="81" spans="1:31" x14ac:dyDescent="0.25">
      <c r="A81" s="97">
        <v>74</v>
      </c>
      <c r="B81" s="89">
        <v>101.59399999999999</v>
      </c>
      <c r="C81" s="89">
        <v>90.334000000000003</v>
      </c>
      <c r="D81" s="89">
        <v>80.122</v>
      </c>
      <c r="E81" s="89">
        <v>70.914000000000001</v>
      </c>
      <c r="F81" s="89">
        <v>62.625</v>
      </c>
      <c r="G81" s="89">
        <v>55.195999999999998</v>
      </c>
      <c r="H81" s="89">
        <v>48.554000000000002</v>
      </c>
      <c r="I81" s="89">
        <v>42.64</v>
      </c>
      <c r="J81" s="89">
        <v>37.387</v>
      </c>
      <c r="K81" s="89">
        <v>32.741999999999997</v>
      </c>
      <c r="L81" s="89">
        <v>28.635000000000002</v>
      </c>
      <c r="M81" s="89">
        <v>25.013000000000002</v>
      </c>
      <c r="N81" s="89">
        <v>21.826000000000001</v>
      </c>
      <c r="O81" s="89">
        <v>19.026</v>
      </c>
      <c r="P81" s="89">
        <v>16.571000000000002</v>
      </c>
      <c r="Q81" s="89">
        <v>14.426</v>
      </c>
      <c r="R81" s="89">
        <v>12.547000000000001</v>
      </c>
      <c r="S81" s="89">
        <v>10.903</v>
      </c>
      <c r="T81" s="89">
        <v>9.4719999999999995</v>
      </c>
      <c r="U81" s="89">
        <v>8.2260000000000009</v>
      </c>
      <c r="V81" s="89">
        <v>7.1429999999999998</v>
      </c>
      <c r="W81" s="89">
        <v>6.1989999999999998</v>
      </c>
      <c r="X81" s="89">
        <v>5.391</v>
      </c>
      <c r="Y81" s="89">
        <v>4.694</v>
      </c>
      <c r="Z81" s="89">
        <v>4.0919999999999996</v>
      </c>
      <c r="AA81" s="89">
        <v>3.5739999999999998</v>
      </c>
      <c r="AB81" s="89">
        <v>3.1269999999999998</v>
      </c>
      <c r="AC81" s="89">
        <v>2.7429999999999999</v>
      </c>
      <c r="AD81" s="89">
        <v>2.411</v>
      </c>
      <c r="AE81" s="89">
        <v>2.1259999999999999</v>
      </c>
    </row>
    <row r="82" spans="1:31" x14ac:dyDescent="0.25">
      <c r="A82" s="97">
        <v>75</v>
      </c>
      <c r="B82" s="89">
        <v>114.729</v>
      </c>
      <c r="C82" s="89">
        <v>102.063</v>
      </c>
      <c r="D82" s="89">
        <v>90.561999999999998</v>
      </c>
      <c r="E82" s="89">
        <v>80.183999999999997</v>
      </c>
      <c r="F82" s="89">
        <v>70.834999999999994</v>
      </c>
      <c r="G82" s="89">
        <v>62.448</v>
      </c>
      <c r="H82" s="89">
        <v>54.945</v>
      </c>
      <c r="I82" s="89">
        <v>48.26</v>
      </c>
      <c r="J82" s="89">
        <v>42.317</v>
      </c>
      <c r="K82" s="89">
        <v>37.06</v>
      </c>
      <c r="L82" s="89">
        <v>32.409999999999997</v>
      </c>
      <c r="M82" s="89">
        <v>28.305</v>
      </c>
      <c r="N82" s="89">
        <v>24.690999999999999</v>
      </c>
      <c r="O82" s="89">
        <v>21.513000000000002</v>
      </c>
      <c r="P82" s="89">
        <v>18.725999999999999</v>
      </c>
      <c r="Q82" s="89">
        <v>16.289000000000001</v>
      </c>
      <c r="R82" s="89">
        <v>14.154</v>
      </c>
      <c r="S82" s="89">
        <v>12.285</v>
      </c>
      <c r="T82" s="89">
        <v>10.656000000000001</v>
      </c>
      <c r="U82" s="89">
        <v>9.2379999999999995</v>
      </c>
      <c r="V82" s="89">
        <v>8.0069999999999997</v>
      </c>
      <c r="W82" s="89">
        <v>6.9329999999999998</v>
      </c>
      <c r="X82" s="89">
        <v>6.016</v>
      </c>
      <c r="Y82" s="89">
        <v>5.2249999999999996</v>
      </c>
      <c r="Z82" s="89">
        <v>4.5449999999999999</v>
      </c>
      <c r="AA82" s="89">
        <v>3.9580000000000002</v>
      </c>
      <c r="AB82" s="89">
        <v>3.4540000000000002</v>
      </c>
      <c r="AC82" s="89">
        <v>3.0209999999999999</v>
      </c>
      <c r="AD82" s="89">
        <v>2.649</v>
      </c>
      <c r="AE82" s="89">
        <v>2.3290000000000002</v>
      </c>
    </row>
    <row r="83" spans="1:31" x14ac:dyDescent="0.25">
      <c r="A83" s="97">
        <v>76</v>
      </c>
      <c r="B83" s="89">
        <v>129.86199999999999</v>
      </c>
      <c r="C83" s="89">
        <v>115.581</v>
      </c>
      <c r="D83" s="89">
        <v>102.599</v>
      </c>
      <c r="E83" s="89">
        <v>90.875</v>
      </c>
      <c r="F83" s="89">
        <v>80.305000000000007</v>
      </c>
      <c r="G83" s="89">
        <v>70.816000000000003</v>
      </c>
      <c r="H83" s="89">
        <v>62.322000000000003</v>
      </c>
      <c r="I83" s="89">
        <v>54.749000000000002</v>
      </c>
      <c r="J83" s="89">
        <v>48.014000000000003</v>
      </c>
      <c r="K83" s="89">
        <v>42.052999999999997</v>
      </c>
      <c r="L83" s="89">
        <v>36.776000000000003</v>
      </c>
      <c r="M83" s="89">
        <v>32.115000000000002</v>
      </c>
      <c r="N83" s="89">
        <v>28.009</v>
      </c>
      <c r="O83" s="89">
        <v>24.396999999999998</v>
      </c>
      <c r="P83" s="89">
        <v>21.225999999999999</v>
      </c>
      <c r="Q83" s="89">
        <v>18.452000000000002</v>
      </c>
      <c r="R83" s="89">
        <v>16.02</v>
      </c>
      <c r="S83" s="89">
        <v>13.888999999999999</v>
      </c>
      <c r="T83" s="89">
        <v>12.032</v>
      </c>
      <c r="U83" s="89">
        <v>10.414999999999999</v>
      </c>
      <c r="V83" s="89">
        <v>9.0109999999999992</v>
      </c>
      <c r="W83" s="89">
        <v>7.7859999999999996</v>
      </c>
      <c r="X83" s="89">
        <v>6.742</v>
      </c>
      <c r="Y83" s="89">
        <v>5.8419999999999996</v>
      </c>
      <c r="Z83" s="89">
        <v>5.0679999999999996</v>
      </c>
      <c r="AA83" s="89">
        <v>4.4029999999999996</v>
      </c>
      <c r="AB83" s="89">
        <v>3.8319999999999999</v>
      </c>
      <c r="AC83" s="89">
        <v>3.343</v>
      </c>
      <c r="AD83" s="89">
        <v>2.923</v>
      </c>
      <c r="AE83" s="89">
        <v>2.5630000000000002</v>
      </c>
    </row>
    <row r="84" spans="1:31" x14ac:dyDescent="0.25">
      <c r="A84" s="97">
        <v>77</v>
      </c>
      <c r="B84" s="89">
        <v>147.35</v>
      </c>
      <c r="C84" s="89">
        <v>131.208</v>
      </c>
      <c r="D84" s="89">
        <v>116.51900000000001</v>
      </c>
      <c r="E84" s="89">
        <v>103.242</v>
      </c>
      <c r="F84" s="89">
        <v>91.263000000000005</v>
      </c>
      <c r="G84" s="89">
        <v>80.501000000000005</v>
      </c>
      <c r="H84" s="89">
        <v>70.861999999999995</v>
      </c>
      <c r="I84" s="89">
        <v>62.264000000000003</v>
      </c>
      <c r="J84" s="89">
        <v>54.613</v>
      </c>
      <c r="K84" s="89">
        <v>47.838999999999999</v>
      </c>
      <c r="L84" s="89">
        <v>41.838999999999999</v>
      </c>
      <c r="M84" s="89">
        <v>36.536000000000001</v>
      </c>
      <c r="N84" s="89">
        <v>31.861999999999998</v>
      </c>
      <c r="O84" s="89">
        <v>27.745999999999999</v>
      </c>
      <c r="P84" s="89">
        <v>24.132000000000001</v>
      </c>
      <c r="Q84" s="89">
        <v>20.968</v>
      </c>
      <c r="R84" s="89">
        <v>18.193000000000001</v>
      </c>
      <c r="S84" s="89">
        <v>15.757999999999999</v>
      </c>
      <c r="T84" s="89">
        <v>13.635</v>
      </c>
      <c r="U84" s="89">
        <v>11.786</v>
      </c>
      <c r="V84" s="89">
        <v>10.180999999999999</v>
      </c>
      <c r="W84" s="89">
        <v>8.7799999999999994</v>
      </c>
      <c r="X84" s="89">
        <v>7.5860000000000003</v>
      </c>
      <c r="Y84" s="89">
        <v>6.5590000000000002</v>
      </c>
      <c r="Z84" s="89">
        <v>5.6760000000000002</v>
      </c>
      <c r="AA84" s="89">
        <v>4.9189999999999996</v>
      </c>
      <c r="AB84" s="89">
        <v>4.2699999999999996</v>
      </c>
      <c r="AC84" s="89">
        <v>3.7149999999999999</v>
      </c>
      <c r="AD84" s="89">
        <v>3.24</v>
      </c>
      <c r="AE84" s="89">
        <v>2.8330000000000002</v>
      </c>
    </row>
    <row r="85" spans="1:31" x14ac:dyDescent="0.25">
      <c r="A85" s="97">
        <v>78</v>
      </c>
      <c r="B85" s="89">
        <v>167.59700000000001</v>
      </c>
      <c r="C85" s="89">
        <v>149.31</v>
      </c>
      <c r="D85" s="89">
        <v>132.649</v>
      </c>
      <c r="E85" s="89">
        <v>117.577</v>
      </c>
      <c r="F85" s="89">
        <v>103.967</v>
      </c>
      <c r="G85" s="89">
        <v>91.731999999999999</v>
      </c>
      <c r="H85" s="89">
        <v>80.766999999999996</v>
      </c>
      <c r="I85" s="89">
        <v>70.981999999999999</v>
      </c>
      <c r="J85" s="89">
        <v>62.27</v>
      </c>
      <c r="K85" s="89">
        <v>54.555</v>
      </c>
      <c r="L85" s="89">
        <v>47.719000000000001</v>
      </c>
      <c r="M85" s="89">
        <v>41.673999999999999</v>
      </c>
      <c r="N85" s="89">
        <v>36.341999999999999</v>
      </c>
      <c r="O85" s="89">
        <v>31.643999999999998</v>
      </c>
      <c r="P85" s="89">
        <v>27.515999999999998</v>
      </c>
      <c r="Q85" s="89">
        <v>23.9</v>
      </c>
      <c r="R85" s="89">
        <v>20.725000000000001</v>
      </c>
      <c r="S85" s="89">
        <v>17.937999999999999</v>
      </c>
      <c r="T85" s="89">
        <v>15.506</v>
      </c>
      <c r="U85" s="89">
        <v>13.385999999999999</v>
      </c>
      <c r="V85" s="89">
        <v>11.545999999999999</v>
      </c>
      <c r="W85" s="89">
        <v>9.9380000000000006</v>
      </c>
      <c r="X85" s="89">
        <v>8.57</v>
      </c>
      <c r="Y85" s="89">
        <v>7.3940000000000001</v>
      </c>
      <c r="Z85" s="89">
        <v>6.3840000000000003</v>
      </c>
      <c r="AA85" s="89">
        <v>5.5190000000000001</v>
      </c>
      <c r="AB85" s="89">
        <v>4.7789999999999999</v>
      </c>
      <c r="AC85" s="89">
        <v>4.1470000000000002</v>
      </c>
      <c r="AD85" s="89">
        <v>3.6070000000000002</v>
      </c>
      <c r="AE85" s="89">
        <v>3.1459999999999999</v>
      </c>
    </row>
    <row r="86" spans="1:31" x14ac:dyDescent="0.25">
      <c r="A86" s="97">
        <v>79</v>
      </c>
      <c r="B86" s="89">
        <v>191.07599999999999</v>
      </c>
      <c r="C86" s="89">
        <v>170.31100000000001</v>
      </c>
      <c r="D86" s="89">
        <v>151.369</v>
      </c>
      <c r="E86" s="89">
        <v>134.21899999999999</v>
      </c>
      <c r="F86" s="89">
        <v>118.71899999999999</v>
      </c>
      <c r="G86" s="89">
        <v>104.776</v>
      </c>
      <c r="H86" s="89">
        <v>92.272999999999996</v>
      </c>
      <c r="I86" s="89">
        <v>81.111000000000004</v>
      </c>
      <c r="J86" s="89">
        <v>71.168999999999997</v>
      </c>
      <c r="K86" s="89">
        <v>62.363</v>
      </c>
      <c r="L86" s="89">
        <v>54.557000000000002</v>
      </c>
      <c r="M86" s="89">
        <v>47.651000000000003</v>
      </c>
      <c r="N86" s="89">
        <v>41.557000000000002</v>
      </c>
      <c r="O86" s="89">
        <v>36.183999999999997</v>
      </c>
      <c r="P86" s="89">
        <v>31.46</v>
      </c>
      <c r="Q86" s="89">
        <v>27.32</v>
      </c>
      <c r="R86" s="89">
        <v>23.681999999999999</v>
      </c>
      <c r="S86" s="89">
        <v>20.484000000000002</v>
      </c>
      <c r="T86" s="89">
        <v>17.690999999999999</v>
      </c>
      <c r="U86" s="89">
        <v>15.256</v>
      </c>
      <c r="V86" s="89">
        <v>13.141</v>
      </c>
      <c r="W86" s="89">
        <v>11.291</v>
      </c>
      <c r="X86" s="89">
        <v>9.7189999999999994</v>
      </c>
      <c r="Y86" s="89">
        <v>8.3680000000000003</v>
      </c>
      <c r="Z86" s="89">
        <v>7.21</v>
      </c>
      <c r="AA86" s="89">
        <v>6.218</v>
      </c>
      <c r="AB86" s="89">
        <v>5.3710000000000004</v>
      </c>
      <c r="AC86" s="89">
        <v>4.649</v>
      </c>
      <c r="AD86" s="89">
        <v>4.0330000000000004</v>
      </c>
      <c r="AE86" s="89">
        <v>3.508</v>
      </c>
    </row>
    <row r="87" spans="1:31" x14ac:dyDescent="0.25">
      <c r="A87" s="97">
        <v>80</v>
      </c>
      <c r="B87" s="89">
        <v>218.32900000000001</v>
      </c>
      <c r="C87" s="89">
        <v>194.702</v>
      </c>
      <c r="D87" s="89">
        <v>173.119</v>
      </c>
      <c r="E87" s="89">
        <v>153.56100000000001</v>
      </c>
      <c r="F87" s="89">
        <v>135.86799999999999</v>
      </c>
      <c r="G87" s="89">
        <v>119.943</v>
      </c>
      <c r="H87" s="89">
        <v>105.652</v>
      </c>
      <c r="I87" s="89">
        <v>92.89</v>
      </c>
      <c r="J87" s="89">
        <v>81.519000000000005</v>
      </c>
      <c r="K87" s="89">
        <v>71.447999999999993</v>
      </c>
      <c r="L87" s="89">
        <v>62.515000000000001</v>
      </c>
      <c r="M87" s="89">
        <v>54.610999999999997</v>
      </c>
      <c r="N87" s="89">
        <v>47.633000000000003</v>
      </c>
      <c r="O87" s="89">
        <v>41.476999999999997</v>
      </c>
      <c r="P87" s="89">
        <v>36.061</v>
      </c>
      <c r="Q87" s="89">
        <v>31.312000000000001</v>
      </c>
      <c r="R87" s="89">
        <v>27.135000000000002</v>
      </c>
      <c r="S87" s="89">
        <v>23.459</v>
      </c>
      <c r="T87" s="89">
        <v>20.247</v>
      </c>
      <c r="U87" s="89">
        <v>17.443999999999999</v>
      </c>
      <c r="V87" s="89">
        <v>15.006</v>
      </c>
      <c r="W87" s="89">
        <v>12.872999999999999</v>
      </c>
      <c r="X87" s="89">
        <v>11.061999999999999</v>
      </c>
      <c r="Y87" s="89">
        <v>9.5060000000000002</v>
      </c>
      <c r="Z87" s="89">
        <v>8.173</v>
      </c>
      <c r="AA87" s="89">
        <v>7.0330000000000004</v>
      </c>
      <c r="AB87" s="89">
        <v>6.0609999999999999</v>
      </c>
      <c r="AC87" s="89">
        <v>5.234</v>
      </c>
      <c r="AD87" s="89">
        <v>4.5289999999999999</v>
      </c>
      <c r="AE87" s="89">
        <v>3.9289999999999998</v>
      </c>
    </row>
    <row r="88" spans="1:31" x14ac:dyDescent="0.25">
      <c r="A88" s="97">
        <v>81</v>
      </c>
      <c r="B88" s="89">
        <v>249.96899999999999</v>
      </c>
      <c r="C88" s="89">
        <v>223.035</v>
      </c>
      <c r="D88" s="89">
        <v>198.39599999999999</v>
      </c>
      <c r="E88" s="89">
        <v>176.048</v>
      </c>
      <c r="F88" s="89">
        <v>155.81100000000001</v>
      </c>
      <c r="G88" s="89">
        <v>137.583</v>
      </c>
      <c r="H88" s="89">
        <v>121.21599999999999</v>
      </c>
      <c r="I88" s="89">
        <v>106.59399999999999</v>
      </c>
      <c r="J88" s="89">
        <v>93.563000000000002</v>
      </c>
      <c r="K88" s="89">
        <v>82.019000000000005</v>
      </c>
      <c r="L88" s="89">
        <v>71.78</v>
      </c>
      <c r="M88" s="89">
        <v>62.715000000000003</v>
      </c>
      <c r="N88" s="89">
        <v>54.710999999999999</v>
      </c>
      <c r="O88" s="89">
        <v>47.646000000000001</v>
      </c>
      <c r="P88" s="89">
        <v>41.427</v>
      </c>
      <c r="Q88" s="89">
        <v>35.972000000000001</v>
      </c>
      <c r="R88" s="89">
        <v>31.17</v>
      </c>
      <c r="S88" s="89">
        <v>26.937000000000001</v>
      </c>
      <c r="T88" s="89">
        <v>23.234999999999999</v>
      </c>
      <c r="U88" s="89">
        <v>20.001999999999999</v>
      </c>
      <c r="V88" s="89">
        <v>17.187999999999999</v>
      </c>
      <c r="W88" s="89">
        <v>14.724</v>
      </c>
      <c r="X88" s="89">
        <v>12.632</v>
      </c>
      <c r="Y88" s="89">
        <v>10.836</v>
      </c>
      <c r="Z88" s="89">
        <v>9.2989999999999995</v>
      </c>
      <c r="AA88" s="89">
        <v>7.984</v>
      </c>
      <c r="AB88" s="89">
        <v>6.8659999999999997</v>
      </c>
      <c r="AC88" s="89">
        <v>5.9139999999999997</v>
      </c>
      <c r="AD88" s="89">
        <v>5.1050000000000004</v>
      </c>
      <c r="AE88" s="89">
        <v>4.4180000000000001</v>
      </c>
    </row>
    <row r="89" spans="1:31" x14ac:dyDescent="0.25">
      <c r="A89" s="97">
        <v>82</v>
      </c>
      <c r="B89" s="89">
        <v>286.73399999999998</v>
      </c>
      <c r="C89" s="89">
        <v>255.97800000000001</v>
      </c>
      <c r="D89" s="89">
        <v>227.80199999999999</v>
      </c>
      <c r="E89" s="89">
        <v>202.22</v>
      </c>
      <c r="F89" s="89">
        <v>179.03</v>
      </c>
      <c r="G89" s="89">
        <v>158.125</v>
      </c>
      <c r="H89" s="89">
        <v>139.34299999999999</v>
      </c>
      <c r="I89" s="89">
        <v>122.557</v>
      </c>
      <c r="J89" s="89">
        <v>107.592</v>
      </c>
      <c r="K89" s="89">
        <v>94.335999999999999</v>
      </c>
      <c r="L89" s="89">
        <v>82.575000000000003</v>
      </c>
      <c r="M89" s="89">
        <v>72.162000000000006</v>
      </c>
      <c r="N89" s="89">
        <v>62.963999999999999</v>
      </c>
      <c r="O89" s="89">
        <v>54.843000000000004</v>
      </c>
      <c r="P89" s="89">
        <v>47.691000000000003</v>
      </c>
      <c r="Q89" s="89">
        <v>41.415999999999997</v>
      </c>
      <c r="R89" s="89">
        <v>35.886000000000003</v>
      </c>
      <c r="S89" s="89">
        <v>31.006</v>
      </c>
      <c r="T89" s="89">
        <v>26.733000000000001</v>
      </c>
      <c r="U89" s="89">
        <v>22.998000000000001</v>
      </c>
      <c r="V89" s="89">
        <v>19.744</v>
      </c>
      <c r="W89" s="89">
        <v>16.89</v>
      </c>
      <c r="X89" s="89">
        <v>14.468999999999999</v>
      </c>
      <c r="Y89" s="89">
        <v>12.391999999999999</v>
      </c>
      <c r="Z89" s="89">
        <v>10.614000000000001</v>
      </c>
      <c r="AA89" s="89">
        <v>9.0950000000000006</v>
      </c>
      <c r="AB89" s="89">
        <v>7.8040000000000003</v>
      </c>
      <c r="AC89" s="89">
        <v>6.7080000000000002</v>
      </c>
      <c r="AD89" s="89">
        <v>5.7770000000000001</v>
      </c>
      <c r="AE89" s="89">
        <v>4.9870000000000001</v>
      </c>
    </row>
    <row r="90" spans="1:31" x14ac:dyDescent="0.25">
      <c r="A90" s="97">
        <v>83</v>
      </c>
      <c r="B90" s="89">
        <v>329.529</v>
      </c>
      <c r="C90" s="89">
        <v>294.35199999999998</v>
      </c>
      <c r="D90" s="89">
        <v>262.07400000000001</v>
      </c>
      <c r="E90" s="89">
        <v>232.738</v>
      </c>
      <c r="F90" s="89">
        <v>206.114</v>
      </c>
      <c r="G90" s="89">
        <v>182.09399999999999</v>
      </c>
      <c r="H90" s="89">
        <v>160.49600000000001</v>
      </c>
      <c r="I90" s="89">
        <v>141.18600000000001</v>
      </c>
      <c r="J90" s="89">
        <v>123.965</v>
      </c>
      <c r="K90" s="89">
        <v>108.71299999999999</v>
      </c>
      <c r="L90" s="89">
        <v>95.177999999999997</v>
      </c>
      <c r="M90" s="89">
        <v>83.191999999999993</v>
      </c>
      <c r="N90" s="89">
        <v>72.603999999999999</v>
      </c>
      <c r="O90" s="89">
        <v>63.252000000000002</v>
      </c>
      <c r="P90" s="89">
        <v>55.015000000000001</v>
      </c>
      <c r="Q90" s="89">
        <v>47.784999999999997</v>
      </c>
      <c r="R90" s="89">
        <v>41.408000000000001</v>
      </c>
      <c r="S90" s="89">
        <v>35.773000000000003</v>
      </c>
      <c r="T90" s="89">
        <v>30.834</v>
      </c>
      <c r="U90" s="89">
        <v>26.510999999999999</v>
      </c>
      <c r="V90" s="89">
        <v>22.742000000000001</v>
      </c>
      <c r="W90" s="89">
        <v>19.43</v>
      </c>
      <c r="X90" s="89">
        <v>16.623000000000001</v>
      </c>
      <c r="Y90" s="89">
        <v>14.215</v>
      </c>
      <c r="Z90" s="89">
        <v>12.154999999999999</v>
      </c>
      <c r="AA90" s="89">
        <v>10.396000000000001</v>
      </c>
      <c r="AB90" s="89">
        <v>8.9030000000000005</v>
      </c>
      <c r="AC90" s="89">
        <v>7.6360000000000001</v>
      </c>
      <c r="AD90" s="89">
        <v>6.5609999999999999</v>
      </c>
      <c r="AE90" s="89">
        <v>5.6509999999999998</v>
      </c>
    </row>
    <row r="91" spans="1:31" x14ac:dyDescent="0.25">
      <c r="A91" s="97">
        <v>84</v>
      </c>
      <c r="B91" s="89">
        <v>379.45499999999998</v>
      </c>
      <c r="C91" s="89">
        <v>339.15</v>
      </c>
      <c r="D91" s="89">
        <v>302.108</v>
      </c>
      <c r="E91" s="89">
        <v>268.40499999999997</v>
      </c>
      <c r="F91" s="89">
        <v>237.78200000000001</v>
      </c>
      <c r="G91" s="89">
        <v>210.12700000000001</v>
      </c>
      <c r="H91" s="89">
        <v>185.24199999999999</v>
      </c>
      <c r="I91" s="89">
        <v>162.982</v>
      </c>
      <c r="J91" s="89">
        <v>143.12200000000001</v>
      </c>
      <c r="K91" s="89">
        <v>125.535</v>
      </c>
      <c r="L91" s="89">
        <v>109.926</v>
      </c>
      <c r="M91" s="89">
        <v>96.102000000000004</v>
      </c>
      <c r="N91" s="89">
        <v>83.89</v>
      </c>
      <c r="O91" s="89">
        <v>73.100999999999999</v>
      </c>
      <c r="P91" s="89">
        <v>63.595999999999997</v>
      </c>
      <c r="Q91" s="89">
        <v>55.253</v>
      </c>
      <c r="R91" s="89">
        <v>47.887999999999998</v>
      </c>
      <c r="S91" s="89">
        <v>41.371000000000002</v>
      </c>
      <c r="T91" s="89">
        <v>35.652999999999999</v>
      </c>
      <c r="U91" s="89">
        <v>30.640999999999998</v>
      </c>
      <c r="V91" s="89">
        <v>26.268000000000001</v>
      </c>
      <c r="W91" s="89">
        <v>22.417000000000002</v>
      </c>
      <c r="X91" s="89">
        <v>19.155000000000001</v>
      </c>
      <c r="Y91" s="89">
        <v>16.356999999999999</v>
      </c>
      <c r="Z91" s="89">
        <v>13.964</v>
      </c>
      <c r="AA91" s="89">
        <v>11.922000000000001</v>
      </c>
      <c r="AB91" s="89">
        <v>10.19</v>
      </c>
      <c r="AC91" s="89">
        <v>8.7219999999999995</v>
      </c>
      <c r="AD91" s="89">
        <v>7.4790000000000001</v>
      </c>
      <c r="AE91" s="89">
        <v>6.4269999999999996</v>
      </c>
    </row>
    <row r="92" spans="1:31" x14ac:dyDescent="0.25">
      <c r="A92" s="97">
        <v>85</v>
      </c>
      <c r="B92" s="89">
        <v>437.75299999999999</v>
      </c>
      <c r="C92" s="89">
        <v>391.49799999999999</v>
      </c>
      <c r="D92" s="89">
        <v>348.91899999999998</v>
      </c>
      <c r="E92" s="89">
        <v>310.13400000000001</v>
      </c>
      <c r="F92" s="89">
        <v>274.84800000000001</v>
      </c>
      <c r="G92" s="89">
        <v>242.95099999999999</v>
      </c>
      <c r="H92" s="89">
        <v>214.22300000000001</v>
      </c>
      <c r="I92" s="89">
        <v>188.511</v>
      </c>
      <c r="J92" s="89">
        <v>165.56200000000001</v>
      </c>
      <c r="K92" s="89">
        <v>145.24199999999999</v>
      </c>
      <c r="L92" s="89">
        <v>127.20399999999999</v>
      </c>
      <c r="M92" s="89">
        <v>111.22799999999999</v>
      </c>
      <c r="N92" s="89">
        <v>97.114999999999995</v>
      </c>
      <c r="O92" s="89">
        <v>84.644999999999996</v>
      </c>
      <c r="P92" s="89">
        <v>73.659000000000006</v>
      </c>
      <c r="Q92" s="89">
        <v>64.016000000000005</v>
      </c>
      <c r="R92" s="89">
        <v>55.497</v>
      </c>
      <c r="S92" s="89">
        <v>47.948999999999998</v>
      </c>
      <c r="T92" s="89">
        <v>41.319000000000003</v>
      </c>
      <c r="U92" s="89">
        <v>35.5</v>
      </c>
      <c r="V92" s="89">
        <v>30.417000000000002</v>
      </c>
      <c r="W92" s="89">
        <v>25.93</v>
      </c>
      <c r="X92" s="89">
        <v>22.134</v>
      </c>
      <c r="Y92" s="89">
        <v>18.876000000000001</v>
      </c>
      <c r="Z92" s="89">
        <v>16.09</v>
      </c>
      <c r="AA92" s="89">
        <v>13.714</v>
      </c>
      <c r="AB92" s="89">
        <v>11.702</v>
      </c>
      <c r="AC92" s="89">
        <v>9.9969999999999999</v>
      </c>
      <c r="AD92" s="89">
        <v>8.5549999999999997</v>
      </c>
      <c r="AE92" s="89">
        <v>7.335</v>
      </c>
    </row>
  </sheetData>
  <sheetProtection algorithmName="SHA-512" hashValue="FT+YZH9SxlmpsEu/2GAmteAXYr7gx0aPkWJ/bcCHzEkeo7WHnnuVsypkOhRJ4GWKPryQ4ae/I9pYQ03H05lCKw==" saltValue="0fZF2R2ba1wbZO9XQ7Gt4g==" spinCount="100000" sheet="1" objects="1" scenarios="1"/>
  <conditionalFormatting sqref="A6:A21">
    <cfRule type="expression" dxfId="185" priority="5" stopIfTrue="1">
      <formula>MOD(ROW(),2)=0</formula>
    </cfRule>
    <cfRule type="expression" dxfId="184" priority="6" stopIfTrue="1">
      <formula>MOD(ROW(),2)&lt;&gt;0</formula>
    </cfRule>
  </conditionalFormatting>
  <conditionalFormatting sqref="A27:A92">
    <cfRule type="expression" dxfId="183" priority="21" stopIfTrue="1">
      <formula>MOD(ROW(),2)=0</formula>
    </cfRule>
    <cfRule type="expression" dxfId="182" priority="22" stopIfTrue="1">
      <formula>MOD(ROW(),2)&lt;&gt;0</formula>
    </cfRule>
  </conditionalFormatting>
  <conditionalFormatting sqref="B17:B21">
    <cfRule type="expression" dxfId="181" priority="1" stopIfTrue="1">
      <formula>MOD(ROW(),2)=0</formula>
    </cfRule>
    <cfRule type="expression" dxfId="180" priority="2" stopIfTrue="1">
      <formula>MOD(ROW(),2)&lt;&gt;0</formula>
    </cfRule>
  </conditionalFormatting>
  <conditionalFormatting sqref="B6:AE21">
    <cfRule type="expression" dxfId="179" priority="35" stopIfTrue="1">
      <formula>MOD(ROW(),2)=0</formula>
    </cfRule>
    <cfRule type="expression" dxfId="178" priority="36" stopIfTrue="1">
      <formula>MOD(ROW(),2)&lt;&gt;0</formula>
    </cfRule>
  </conditionalFormatting>
  <conditionalFormatting sqref="B26:AE92">
    <cfRule type="expression" dxfId="177" priority="27" stopIfTrue="1">
      <formula>MOD(ROW(),2)=0</formula>
    </cfRule>
    <cfRule type="expression" dxfId="176" priority="28" stopIfTrue="1">
      <formula>MOD(ROW(),2)&lt;&gt;0</formula>
    </cfRule>
  </conditionalFormatting>
  <conditionalFormatting sqref="C6:AE21">
    <cfRule type="expression" dxfId="175" priority="3" stopIfTrue="1">
      <formula>MOD(ROW(),2)=0</formula>
    </cfRule>
    <cfRule type="expression" dxfId="174" priority="4" stopIfTrue="1">
      <formula>MOD(ROW(),2)&lt;&gt;0</formula>
    </cfRule>
  </conditionalFormatting>
  <hyperlinks>
    <hyperlink ref="B24" location="Sheet1!A1" display="Assumptions" xr:uid="{FDC13CCA-EC35-4187-A7A2-BA91DBF5B9F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6"/>
  <dimension ref="A1:AE92"/>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31" ht="21" x14ac:dyDescent="0.4">
      <c r="A1" s="39" t="s">
        <v>0</v>
      </c>
      <c r="B1" s="40"/>
      <c r="C1" s="40"/>
      <c r="D1" s="40"/>
      <c r="E1" s="40"/>
      <c r="F1" s="40"/>
      <c r="G1" s="40"/>
      <c r="H1" s="40"/>
      <c r="I1" s="40"/>
    </row>
    <row r="2" spans="1:31"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31" ht="15.6" x14ac:dyDescent="0.3">
      <c r="A3" s="43" t="str">
        <f>TABLE_FACTOR_TYPE_1&amp;" - x-"&amp;TABLE_SERIES_NUMBER_1</f>
        <v>Allocation - x-803</v>
      </c>
      <c r="B3" s="42"/>
      <c r="C3" s="42"/>
      <c r="D3" s="42"/>
      <c r="E3" s="42"/>
      <c r="F3" s="42"/>
      <c r="G3" s="42"/>
      <c r="H3" s="42"/>
      <c r="I3" s="42"/>
    </row>
    <row r="4" spans="1:31" x14ac:dyDescent="0.25">
      <c r="A4" s="44"/>
    </row>
    <row r="6" spans="1:31" x14ac:dyDescent="0.25">
      <c r="A6" s="87" t="s">
        <v>290</v>
      </c>
      <c r="B6" s="185" t="s">
        <v>291</v>
      </c>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row>
    <row r="7" spans="1:31" x14ac:dyDescent="0.25">
      <c r="A7" s="81" t="s">
        <v>804</v>
      </c>
      <c r="B7" s="185" t="s">
        <v>324</v>
      </c>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row>
    <row r="8" spans="1:31" x14ac:dyDescent="0.25">
      <c r="A8" s="81" t="s">
        <v>805</v>
      </c>
      <c r="B8" s="185" t="s">
        <v>85</v>
      </c>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row>
    <row r="9" spans="1:31" x14ac:dyDescent="0.25">
      <c r="A9" s="81" t="s">
        <v>296</v>
      </c>
      <c r="B9" s="185" t="s">
        <v>688</v>
      </c>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row>
    <row r="10" spans="1:31" x14ac:dyDescent="0.25">
      <c r="A10" s="81" t="s">
        <v>6</v>
      </c>
      <c r="B10" s="185" t="s">
        <v>696</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row>
    <row r="11" spans="1:31" x14ac:dyDescent="0.25">
      <c r="A11" s="81" t="s">
        <v>299</v>
      </c>
      <c r="B11" s="185" t="s">
        <v>404</v>
      </c>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row>
    <row r="12" spans="1:31" x14ac:dyDescent="0.25">
      <c r="A12" s="81" t="s">
        <v>301</v>
      </c>
      <c r="B12" s="185" t="s">
        <v>690</v>
      </c>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row>
    <row r="13" spans="1:31" x14ac:dyDescent="0.25">
      <c r="A13" s="81" t="s">
        <v>303</v>
      </c>
      <c r="B13" s="185">
        <v>0</v>
      </c>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row>
    <row r="14" spans="1:31" x14ac:dyDescent="0.25">
      <c r="A14" s="81" t="s">
        <v>305</v>
      </c>
      <c r="B14" s="185">
        <v>803</v>
      </c>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row>
    <row r="15" spans="1:31" x14ac:dyDescent="0.25">
      <c r="A15" s="81" t="s">
        <v>307</v>
      </c>
      <c r="B15" s="185" t="s">
        <v>697</v>
      </c>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row>
    <row r="16" spans="1:31" x14ac:dyDescent="0.25">
      <c r="A16" s="81" t="s">
        <v>309</v>
      </c>
      <c r="B16" s="185" t="s">
        <v>698</v>
      </c>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row>
    <row r="17" spans="1:31" x14ac:dyDescent="0.25">
      <c r="A17" s="81" t="s">
        <v>803</v>
      </c>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row>
    <row r="18" spans="1:31" x14ac:dyDescent="0.25">
      <c r="A18" s="81" t="s">
        <v>313</v>
      </c>
      <c r="B18" s="188">
        <v>45184</v>
      </c>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row>
    <row r="19" spans="1:31" x14ac:dyDescent="0.25">
      <c r="A19" s="81" t="s">
        <v>315</v>
      </c>
      <c r="B19" s="188"/>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row>
    <row r="20" spans="1:31" x14ac:dyDescent="0.25">
      <c r="A20" s="81" t="s">
        <v>317</v>
      </c>
      <c r="B20" s="185" t="s">
        <v>331</v>
      </c>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row>
    <row r="21" spans="1:31" x14ac:dyDescent="0.25">
      <c r="A21" s="77" t="s">
        <v>323</v>
      </c>
      <c r="B21" s="185" t="s">
        <v>332</v>
      </c>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row>
    <row r="23" spans="1:31" x14ac:dyDescent="0.25">
      <c r="B23" s="102" t="str">
        <f>HYPERLINK("#'Factor List'!A1","Back to Factor List")</f>
        <v>Back to Factor List</v>
      </c>
    </row>
    <row r="24" spans="1:31" x14ac:dyDescent="0.25">
      <c r="B24" s="102" t="s">
        <v>13</v>
      </c>
    </row>
    <row r="25" spans="1:31" x14ac:dyDescent="0.25">
      <c r="B25" s="102"/>
    </row>
    <row r="26" spans="1:31" x14ac:dyDescent="0.25">
      <c r="A26" s="178" t="s">
        <v>972</v>
      </c>
      <c r="B26" s="83">
        <v>50</v>
      </c>
      <c r="C26" s="83">
        <v>51</v>
      </c>
      <c r="D26" s="83">
        <v>52</v>
      </c>
      <c r="E26" s="83">
        <v>53</v>
      </c>
      <c r="F26" s="83">
        <v>54</v>
      </c>
      <c r="G26" s="83">
        <v>55</v>
      </c>
      <c r="H26" s="83">
        <v>56</v>
      </c>
      <c r="I26" s="83">
        <v>57</v>
      </c>
      <c r="J26" s="83">
        <v>58</v>
      </c>
      <c r="K26" s="83">
        <v>59</v>
      </c>
      <c r="L26" s="83">
        <v>60</v>
      </c>
      <c r="M26" s="83">
        <v>61</v>
      </c>
      <c r="N26" s="83">
        <v>62</v>
      </c>
      <c r="O26" s="83">
        <v>63</v>
      </c>
      <c r="P26" s="83">
        <v>64</v>
      </c>
      <c r="Q26" s="83">
        <v>65</v>
      </c>
      <c r="R26" s="83">
        <v>66</v>
      </c>
      <c r="S26" s="83">
        <v>67</v>
      </c>
      <c r="T26" s="83">
        <v>68</v>
      </c>
      <c r="U26" s="83">
        <v>69</v>
      </c>
      <c r="V26" s="83">
        <v>70</v>
      </c>
      <c r="W26" s="83">
        <v>71</v>
      </c>
      <c r="X26" s="83">
        <v>72</v>
      </c>
      <c r="Y26" s="83">
        <v>73</v>
      </c>
      <c r="Z26" s="83">
        <v>74</v>
      </c>
      <c r="AA26" s="83">
        <v>75</v>
      </c>
      <c r="AB26" s="83">
        <v>76</v>
      </c>
      <c r="AC26" s="83">
        <v>77</v>
      </c>
      <c r="AD26" s="83">
        <v>78</v>
      </c>
      <c r="AE26" s="83">
        <v>79</v>
      </c>
    </row>
    <row r="27" spans="1:31" x14ac:dyDescent="0.25">
      <c r="A27" s="97">
        <v>20</v>
      </c>
      <c r="B27" s="96">
        <v>2.1120000000000001</v>
      </c>
      <c r="C27" s="96">
        <v>1.9890000000000001</v>
      </c>
      <c r="D27" s="96">
        <v>1.873</v>
      </c>
      <c r="E27" s="96">
        <v>1.7649999999999999</v>
      </c>
      <c r="F27" s="96">
        <v>1.6619999999999999</v>
      </c>
      <c r="G27" s="96">
        <v>1.5660000000000001</v>
      </c>
      <c r="H27" s="96">
        <v>1.4750000000000001</v>
      </c>
      <c r="I27" s="96">
        <v>1.389</v>
      </c>
      <c r="J27" s="96">
        <v>1.3080000000000001</v>
      </c>
      <c r="K27" s="96">
        <v>1.232</v>
      </c>
      <c r="L27" s="96">
        <v>1.159</v>
      </c>
      <c r="M27" s="96">
        <v>1.091</v>
      </c>
      <c r="N27" s="96">
        <v>1.026</v>
      </c>
      <c r="O27" s="96">
        <v>0.96499999999999997</v>
      </c>
      <c r="P27" s="96">
        <v>0.90700000000000003</v>
      </c>
      <c r="Q27" s="96">
        <v>0.85199999999999998</v>
      </c>
      <c r="R27" s="96">
        <v>0.8</v>
      </c>
      <c r="S27" s="96">
        <v>0.751</v>
      </c>
      <c r="T27" s="96">
        <v>0.70399999999999996</v>
      </c>
      <c r="U27" s="96">
        <v>0.65900000000000003</v>
      </c>
      <c r="V27" s="96">
        <v>0.61699999999999999</v>
      </c>
      <c r="W27" s="96">
        <v>0.57699999999999996</v>
      </c>
      <c r="X27" s="96">
        <v>0.54</v>
      </c>
      <c r="Y27" s="96">
        <v>0.504</v>
      </c>
      <c r="Z27" s="96">
        <v>0.47099999999999997</v>
      </c>
      <c r="AA27" s="96">
        <v>0.439</v>
      </c>
      <c r="AB27" s="96">
        <v>0.40899999999999997</v>
      </c>
      <c r="AC27" s="96">
        <v>0.38200000000000001</v>
      </c>
      <c r="AD27" s="96">
        <v>0.35599999999999998</v>
      </c>
      <c r="AE27" s="96">
        <v>0.33100000000000002</v>
      </c>
    </row>
    <row r="28" spans="1:31" x14ac:dyDescent="0.25">
      <c r="A28" s="97">
        <v>21</v>
      </c>
      <c r="B28" s="89">
        <v>2.1669999999999998</v>
      </c>
      <c r="C28" s="89">
        <v>2.0390000000000001</v>
      </c>
      <c r="D28" s="89">
        <v>1.919</v>
      </c>
      <c r="E28" s="89">
        <v>1.806</v>
      </c>
      <c r="F28" s="89">
        <v>1.7</v>
      </c>
      <c r="G28" s="89">
        <v>1.601</v>
      </c>
      <c r="H28" s="89">
        <v>1.5069999999999999</v>
      </c>
      <c r="I28" s="89">
        <v>1.4179999999999999</v>
      </c>
      <c r="J28" s="89">
        <v>1.335</v>
      </c>
      <c r="K28" s="89">
        <v>1.256</v>
      </c>
      <c r="L28" s="89">
        <v>1.181</v>
      </c>
      <c r="M28" s="89">
        <v>1.111</v>
      </c>
      <c r="N28" s="89">
        <v>1.0449999999999999</v>
      </c>
      <c r="O28" s="89">
        <v>0.98199999999999998</v>
      </c>
      <c r="P28" s="89">
        <v>0.92200000000000004</v>
      </c>
      <c r="Q28" s="89">
        <v>0.86599999999999999</v>
      </c>
      <c r="R28" s="89">
        <v>0.81299999999999994</v>
      </c>
      <c r="S28" s="89">
        <v>0.76200000000000001</v>
      </c>
      <c r="T28" s="89">
        <v>0.71399999999999997</v>
      </c>
      <c r="U28" s="89">
        <v>0.66900000000000004</v>
      </c>
      <c r="V28" s="89">
        <v>0.626</v>
      </c>
      <c r="W28" s="89">
        <v>0.58499999999999996</v>
      </c>
      <c r="X28" s="89">
        <v>0.54700000000000004</v>
      </c>
      <c r="Y28" s="89">
        <v>0.51100000000000001</v>
      </c>
      <c r="Z28" s="89">
        <v>0.47699999999999998</v>
      </c>
      <c r="AA28" s="89">
        <v>0.44500000000000001</v>
      </c>
      <c r="AB28" s="89">
        <v>0.41499999999999998</v>
      </c>
      <c r="AC28" s="89">
        <v>0.38600000000000001</v>
      </c>
      <c r="AD28" s="89">
        <v>0.36</v>
      </c>
      <c r="AE28" s="89">
        <v>0.33500000000000002</v>
      </c>
    </row>
    <row r="29" spans="1:31" x14ac:dyDescent="0.25">
      <c r="A29" s="97">
        <v>22</v>
      </c>
      <c r="B29" s="89">
        <v>2.226</v>
      </c>
      <c r="C29" s="89">
        <v>2.0920000000000001</v>
      </c>
      <c r="D29" s="89">
        <v>1.968</v>
      </c>
      <c r="E29" s="89">
        <v>1.85</v>
      </c>
      <c r="F29" s="89">
        <v>1.7410000000000001</v>
      </c>
      <c r="G29" s="89">
        <v>1.637</v>
      </c>
      <c r="H29" s="89">
        <v>1.54</v>
      </c>
      <c r="I29" s="89">
        <v>1.4490000000000001</v>
      </c>
      <c r="J29" s="89">
        <v>1.3620000000000001</v>
      </c>
      <c r="K29" s="89">
        <v>1.2809999999999999</v>
      </c>
      <c r="L29" s="89">
        <v>1.2050000000000001</v>
      </c>
      <c r="M29" s="89">
        <v>1.1319999999999999</v>
      </c>
      <c r="N29" s="89">
        <v>1.0640000000000001</v>
      </c>
      <c r="O29" s="89">
        <v>0.999</v>
      </c>
      <c r="P29" s="89">
        <v>0.93799999999999994</v>
      </c>
      <c r="Q29" s="89">
        <v>0.88100000000000001</v>
      </c>
      <c r="R29" s="89">
        <v>0.82599999999999996</v>
      </c>
      <c r="S29" s="89">
        <v>0.77500000000000002</v>
      </c>
      <c r="T29" s="89">
        <v>0.72599999999999998</v>
      </c>
      <c r="U29" s="89">
        <v>0.67900000000000005</v>
      </c>
      <c r="V29" s="89">
        <v>0.63600000000000001</v>
      </c>
      <c r="W29" s="89">
        <v>0.59399999999999997</v>
      </c>
      <c r="X29" s="89">
        <v>0.55500000000000005</v>
      </c>
      <c r="Y29" s="89">
        <v>0.51800000000000002</v>
      </c>
      <c r="Z29" s="89">
        <v>0.48299999999999998</v>
      </c>
      <c r="AA29" s="89">
        <v>0.45100000000000001</v>
      </c>
      <c r="AB29" s="89">
        <v>0.42</v>
      </c>
      <c r="AC29" s="89">
        <v>0.39100000000000001</v>
      </c>
      <c r="AD29" s="89">
        <v>0.36399999999999999</v>
      </c>
      <c r="AE29" s="89">
        <v>0.33900000000000002</v>
      </c>
    </row>
    <row r="30" spans="1:31" x14ac:dyDescent="0.25">
      <c r="A30" s="97">
        <v>23</v>
      </c>
      <c r="B30" s="89">
        <v>2.2879999999999998</v>
      </c>
      <c r="C30" s="89">
        <v>2.149</v>
      </c>
      <c r="D30" s="89">
        <v>2.0190000000000001</v>
      </c>
      <c r="E30" s="89">
        <v>1.897</v>
      </c>
      <c r="F30" s="89">
        <v>1.7829999999999999</v>
      </c>
      <c r="G30" s="89">
        <v>1.6759999999999999</v>
      </c>
      <c r="H30" s="89">
        <v>1.575</v>
      </c>
      <c r="I30" s="89">
        <v>1.4810000000000001</v>
      </c>
      <c r="J30" s="89">
        <v>1.3919999999999999</v>
      </c>
      <c r="K30" s="89">
        <v>1.3080000000000001</v>
      </c>
      <c r="L30" s="89">
        <v>1.2290000000000001</v>
      </c>
      <c r="M30" s="89">
        <v>1.155</v>
      </c>
      <c r="N30" s="89">
        <v>1.0840000000000001</v>
      </c>
      <c r="O30" s="89">
        <v>1.018</v>
      </c>
      <c r="P30" s="89">
        <v>0.95499999999999996</v>
      </c>
      <c r="Q30" s="89">
        <v>0.89600000000000002</v>
      </c>
      <c r="R30" s="89">
        <v>0.84</v>
      </c>
      <c r="S30" s="89">
        <v>0.78800000000000003</v>
      </c>
      <c r="T30" s="89">
        <v>0.73699999999999999</v>
      </c>
      <c r="U30" s="89">
        <v>0.69</v>
      </c>
      <c r="V30" s="89">
        <v>0.64500000000000002</v>
      </c>
      <c r="W30" s="89">
        <v>0.60299999999999998</v>
      </c>
      <c r="X30" s="89">
        <v>0.56299999999999994</v>
      </c>
      <c r="Y30" s="89">
        <v>0.52600000000000002</v>
      </c>
      <c r="Z30" s="89">
        <v>0.49</v>
      </c>
      <c r="AA30" s="89">
        <v>0.45700000000000002</v>
      </c>
      <c r="AB30" s="89">
        <v>0.42599999999999999</v>
      </c>
      <c r="AC30" s="89">
        <v>0.39700000000000002</v>
      </c>
      <c r="AD30" s="89">
        <v>0.36899999999999999</v>
      </c>
      <c r="AE30" s="89">
        <v>0.34399999999999997</v>
      </c>
    </row>
    <row r="31" spans="1:31" x14ac:dyDescent="0.25">
      <c r="A31" s="97">
        <v>24</v>
      </c>
      <c r="B31" s="89">
        <v>2.355</v>
      </c>
      <c r="C31" s="89">
        <v>2.21</v>
      </c>
      <c r="D31" s="89">
        <v>2.0739999999999998</v>
      </c>
      <c r="E31" s="89">
        <v>1.9470000000000001</v>
      </c>
      <c r="F31" s="89">
        <v>1.8280000000000001</v>
      </c>
      <c r="G31" s="89">
        <v>1.7170000000000001</v>
      </c>
      <c r="H31" s="89">
        <v>1.613</v>
      </c>
      <c r="I31" s="89">
        <v>1.5149999999999999</v>
      </c>
      <c r="J31" s="89">
        <v>1.423</v>
      </c>
      <c r="K31" s="89">
        <v>1.3360000000000001</v>
      </c>
      <c r="L31" s="89">
        <v>1.2549999999999999</v>
      </c>
      <c r="M31" s="89">
        <v>1.1779999999999999</v>
      </c>
      <c r="N31" s="89">
        <v>1.1060000000000001</v>
      </c>
      <c r="O31" s="89">
        <v>1.038</v>
      </c>
      <c r="P31" s="89">
        <v>0.97299999999999998</v>
      </c>
      <c r="Q31" s="89">
        <v>0.91300000000000003</v>
      </c>
      <c r="R31" s="89">
        <v>0.85499999999999998</v>
      </c>
      <c r="S31" s="89">
        <v>0.80100000000000005</v>
      </c>
      <c r="T31" s="89">
        <v>0.75</v>
      </c>
      <c r="U31" s="89">
        <v>0.70099999999999996</v>
      </c>
      <c r="V31" s="89">
        <v>0.65600000000000003</v>
      </c>
      <c r="W31" s="89">
        <v>0.61199999999999999</v>
      </c>
      <c r="X31" s="89">
        <v>0.57199999999999995</v>
      </c>
      <c r="Y31" s="89">
        <v>0.53300000000000003</v>
      </c>
      <c r="Z31" s="89">
        <v>0.497</v>
      </c>
      <c r="AA31" s="89">
        <v>0.46300000000000002</v>
      </c>
      <c r="AB31" s="89">
        <v>0.432</v>
      </c>
      <c r="AC31" s="89">
        <v>0.40200000000000002</v>
      </c>
      <c r="AD31" s="89">
        <v>0.374</v>
      </c>
      <c r="AE31" s="89">
        <v>0.34799999999999998</v>
      </c>
    </row>
    <row r="32" spans="1:31" x14ac:dyDescent="0.25">
      <c r="A32" s="97">
        <v>25</v>
      </c>
      <c r="B32" s="89">
        <v>2.427</v>
      </c>
      <c r="C32" s="89">
        <v>2.2749999999999999</v>
      </c>
      <c r="D32" s="89">
        <v>2.133</v>
      </c>
      <c r="E32" s="89">
        <v>2</v>
      </c>
      <c r="F32" s="89">
        <v>1.877</v>
      </c>
      <c r="G32" s="89">
        <v>1.7609999999999999</v>
      </c>
      <c r="H32" s="89">
        <v>1.653</v>
      </c>
      <c r="I32" s="89">
        <v>1.5509999999999999</v>
      </c>
      <c r="J32" s="89">
        <v>1.456</v>
      </c>
      <c r="K32" s="89">
        <v>1.3660000000000001</v>
      </c>
      <c r="L32" s="89">
        <v>1.282</v>
      </c>
      <c r="M32" s="89">
        <v>1.2030000000000001</v>
      </c>
      <c r="N32" s="89">
        <v>1.1279999999999999</v>
      </c>
      <c r="O32" s="89">
        <v>1.0580000000000001</v>
      </c>
      <c r="P32" s="89">
        <v>0.99199999999999999</v>
      </c>
      <c r="Q32" s="89">
        <v>0.93</v>
      </c>
      <c r="R32" s="89">
        <v>0.871</v>
      </c>
      <c r="S32" s="89">
        <v>0.81499999999999995</v>
      </c>
      <c r="T32" s="89">
        <v>0.76300000000000001</v>
      </c>
      <c r="U32" s="89">
        <v>0.71299999999999997</v>
      </c>
      <c r="V32" s="89">
        <v>0.66600000000000004</v>
      </c>
      <c r="W32" s="89">
        <v>0.622</v>
      </c>
      <c r="X32" s="89">
        <v>0.58099999999999996</v>
      </c>
      <c r="Y32" s="89">
        <v>0.54100000000000004</v>
      </c>
      <c r="Z32" s="89">
        <v>0.505</v>
      </c>
      <c r="AA32" s="89">
        <v>0.47</v>
      </c>
      <c r="AB32" s="89">
        <v>0.438</v>
      </c>
      <c r="AC32" s="89">
        <v>0.40799999999999997</v>
      </c>
      <c r="AD32" s="89">
        <v>0.379</v>
      </c>
      <c r="AE32" s="89">
        <v>0.35299999999999998</v>
      </c>
    </row>
    <row r="33" spans="1:31" x14ac:dyDescent="0.25">
      <c r="A33" s="97">
        <v>26</v>
      </c>
      <c r="B33" s="89">
        <v>2.5030000000000001</v>
      </c>
      <c r="C33" s="89">
        <v>2.3439999999999999</v>
      </c>
      <c r="D33" s="89">
        <v>2.1949999999999998</v>
      </c>
      <c r="E33" s="89">
        <v>2.0569999999999999</v>
      </c>
      <c r="F33" s="89">
        <v>1.9279999999999999</v>
      </c>
      <c r="G33" s="89">
        <v>1.8080000000000001</v>
      </c>
      <c r="H33" s="89">
        <v>1.6950000000000001</v>
      </c>
      <c r="I33" s="89">
        <v>1.589</v>
      </c>
      <c r="J33" s="89">
        <v>1.4910000000000001</v>
      </c>
      <c r="K33" s="89">
        <v>1.3979999999999999</v>
      </c>
      <c r="L33" s="89">
        <v>1.3109999999999999</v>
      </c>
      <c r="M33" s="89">
        <v>1.2290000000000001</v>
      </c>
      <c r="N33" s="89">
        <v>1.1519999999999999</v>
      </c>
      <c r="O33" s="89">
        <v>1.08</v>
      </c>
      <c r="P33" s="89">
        <v>1.012</v>
      </c>
      <c r="Q33" s="89">
        <v>0.94799999999999995</v>
      </c>
      <c r="R33" s="89">
        <v>0.88700000000000001</v>
      </c>
      <c r="S33" s="89">
        <v>0.83</v>
      </c>
      <c r="T33" s="89">
        <v>0.77600000000000002</v>
      </c>
      <c r="U33" s="89">
        <v>0.72599999999999998</v>
      </c>
      <c r="V33" s="89">
        <v>0.67800000000000005</v>
      </c>
      <c r="W33" s="89">
        <v>0.63200000000000001</v>
      </c>
      <c r="X33" s="89">
        <v>0.59</v>
      </c>
      <c r="Y33" s="89">
        <v>0.55000000000000004</v>
      </c>
      <c r="Z33" s="89">
        <v>0.51300000000000001</v>
      </c>
      <c r="AA33" s="89">
        <v>0.47699999999999998</v>
      </c>
      <c r="AB33" s="89">
        <v>0.44400000000000001</v>
      </c>
      <c r="AC33" s="89">
        <v>0.41299999999999998</v>
      </c>
      <c r="AD33" s="89">
        <v>0.38500000000000001</v>
      </c>
      <c r="AE33" s="89">
        <v>0.35799999999999998</v>
      </c>
    </row>
    <row r="34" spans="1:31" x14ac:dyDescent="0.25">
      <c r="A34" s="97">
        <v>27</v>
      </c>
      <c r="B34" s="89">
        <v>2.5859999999999999</v>
      </c>
      <c r="C34" s="89">
        <v>2.4180000000000001</v>
      </c>
      <c r="D34" s="89">
        <v>2.2629999999999999</v>
      </c>
      <c r="E34" s="89">
        <v>2.1179999999999999</v>
      </c>
      <c r="F34" s="89">
        <v>1.9830000000000001</v>
      </c>
      <c r="G34" s="89">
        <v>1.857</v>
      </c>
      <c r="H34" s="89">
        <v>1.74</v>
      </c>
      <c r="I34" s="89">
        <v>1.63</v>
      </c>
      <c r="J34" s="89">
        <v>1.528</v>
      </c>
      <c r="K34" s="89">
        <v>1.4319999999999999</v>
      </c>
      <c r="L34" s="89">
        <v>1.341</v>
      </c>
      <c r="M34" s="89">
        <v>1.2569999999999999</v>
      </c>
      <c r="N34" s="89">
        <v>1.177</v>
      </c>
      <c r="O34" s="89">
        <v>1.103</v>
      </c>
      <c r="P34" s="89">
        <v>1.0329999999999999</v>
      </c>
      <c r="Q34" s="89">
        <v>0.96699999999999997</v>
      </c>
      <c r="R34" s="89">
        <v>0.90500000000000003</v>
      </c>
      <c r="S34" s="89">
        <v>0.84599999999999997</v>
      </c>
      <c r="T34" s="89">
        <v>0.79100000000000004</v>
      </c>
      <c r="U34" s="89">
        <v>0.73899999999999999</v>
      </c>
      <c r="V34" s="89">
        <v>0.69</v>
      </c>
      <c r="W34" s="89">
        <v>0.64300000000000002</v>
      </c>
      <c r="X34" s="89">
        <v>0.6</v>
      </c>
      <c r="Y34" s="89">
        <v>0.55900000000000005</v>
      </c>
      <c r="Z34" s="89">
        <v>0.52100000000000002</v>
      </c>
      <c r="AA34" s="89">
        <v>0.48499999999999999</v>
      </c>
      <c r="AB34" s="89">
        <v>0.45100000000000001</v>
      </c>
      <c r="AC34" s="89">
        <v>0.42</v>
      </c>
      <c r="AD34" s="89">
        <v>0.39</v>
      </c>
      <c r="AE34" s="89">
        <v>0.36299999999999999</v>
      </c>
    </row>
    <row r="35" spans="1:31" x14ac:dyDescent="0.25">
      <c r="A35" s="97">
        <v>28</v>
      </c>
      <c r="B35" s="89">
        <v>2.6739999999999999</v>
      </c>
      <c r="C35" s="89">
        <v>2.4980000000000002</v>
      </c>
      <c r="D35" s="89">
        <v>2.3340000000000001</v>
      </c>
      <c r="E35" s="89">
        <v>2.1829999999999998</v>
      </c>
      <c r="F35" s="89">
        <v>2.0419999999999998</v>
      </c>
      <c r="G35" s="89">
        <v>1.91</v>
      </c>
      <c r="H35" s="89">
        <v>1.788</v>
      </c>
      <c r="I35" s="89">
        <v>1.6739999999999999</v>
      </c>
      <c r="J35" s="89">
        <v>1.5669999999999999</v>
      </c>
      <c r="K35" s="89">
        <v>1.4670000000000001</v>
      </c>
      <c r="L35" s="89">
        <v>1.3740000000000001</v>
      </c>
      <c r="M35" s="89">
        <v>1.286</v>
      </c>
      <c r="N35" s="89">
        <v>1.204</v>
      </c>
      <c r="O35" s="89">
        <v>1.127</v>
      </c>
      <c r="P35" s="89">
        <v>1.0549999999999999</v>
      </c>
      <c r="Q35" s="89">
        <v>0.98699999999999999</v>
      </c>
      <c r="R35" s="89">
        <v>0.92300000000000004</v>
      </c>
      <c r="S35" s="89">
        <v>0.86299999999999999</v>
      </c>
      <c r="T35" s="89">
        <v>0.80600000000000005</v>
      </c>
      <c r="U35" s="89">
        <v>0.752</v>
      </c>
      <c r="V35" s="89">
        <v>0.70199999999999996</v>
      </c>
      <c r="W35" s="89">
        <v>0.65500000000000003</v>
      </c>
      <c r="X35" s="89">
        <v>0.61</v>
      </c>
      <c r="Y35" s="89">
        <v>0.56799999999999995</v>
      </c>
      <c r="Z35" s="89">
        <v>0.52900000000000003</v>
      </c>
      <c r="AA35" s="89">
        <v>0.49199999999999999</v>
      </c>
      <c r="AB35" s="89">
        <v>0.45800000000000002</v>
      </c>
      <c r="AC35" s="89">
        <v>0.42599999999999999</v>
      </c>
      <c r="AD35" s="89">
        <v>0.39600000000000002</v>
      </c>
      <c r="AE35" s="89">
        <v>0.36799999999999999</v>
      </c>
    </row>
    <row r="36" spans="1:31" x14ac:dyDescent="0.25">
      <c r="A36" s="97">
        <v>29</v>
      </c>
      <c r="B36" s="89">
        <v>2.77</v>
      </c>
      <c r="C36" s="89">
        <v>2.5840000000000001</v>
      </c>
      <c r="D36" s="89">
        <v>2.4119999999999999</v>
      </c>
      <c r="E36" s="89">
        <v>2.2519999999999998</v>
      </c>
      <c r="F36" s="89">
        <v>2.1040000000000001</v>
      </c>
      <c r="G36" s="89">
        <v>1.9670000000000001</v>
      </c>
      <c r="H36" s="89">
        <v>1.839</v>
      </c>
      <c r="I36" s="89">
        <v>1.72</v>
      </c>
      <c r="J36" s="89">
        <v>1.609</v>
      </c>
      <c r="K36" s="89">
        <v>1.5049999999999999</v>
      </c>
      <c r="L36" s="89">
        <v>1.4079999999999999</v>
      </c>
      <c r="M36" s="89">
        <v>1.3169999999999999</v>
      </c>
      <c r="N36" s="89">
        <v>1.232</v>
      </c>
      <c r="O36" s="89">
        <v>1.153</v>
      </c>
      <c r="P36" s="89">
        <v>1.0780000000000001</v>
      </c>
      <c r="Q36" s="89">
        <v>1.008</v>
      </c>
      <c r="R36" s="89">
        <v>0.94199999999999995</v>
      </c>
      <c r="S36" s="89">
        <v>0.88</v>
      </c>
      <c r="T36" s="89">
        <v>0.82199999999999995</v>
      </c>
      <c r="U36" s="89">
        <v>0.76700000000000002</v>
      </c>
      <c r="V36" s="89">
        <v>0.71499999999999997</v>
      </c>
      <c r="W36" s="89">
        <v>0.66600000000000004</v>
      </c>
      <c r="X36" s="89">
        <v>0.621</v>
      </c>
      <c r="Y36" s="89">
        <v>0.57799999999999996</v>
      </c>
      <c r="Z36" s="89">
        <v>0.53800000000000003</v>
      </c>
      <c r="AA36" s="89">
        <v>0.501</v>
      </c>
      <c r="AB36" s="89">
        <v>0.46500000000000002</v>
      </c>
      <c r="AC36" s="89">
        <v>0.433</v>
      </c>
      <c r="AD36" s="89">
        <v>0.40200000000000002</v>
      </c>
      <c r="AE36" s="89">
        <v>0.374</v>
      </c>
    </row>
    <row r="37" spans="1:31" x14ac:dyDescent="0.25">
      <c r="A37" s="97">
        <v>30</v>
      </c>
      <c r="B37" s="89">
        <v>2.8719999999999999</v>
      </c>
      <c r="C37" s="89">
        <v>2.6760000000000002</v>
      </c>
      <c r="D37" s="89">
        <v>2.4950000000000001</v>
      </c>
      <c r="E37" s="89">
        <v>2.327</v>
      </c>
      <c r="F37" s="89">
        <v>2.1720000000000002</v>
      </c>
      <c r="G37" s="89">
        <v>2.028</v>
      </c>
      <c r="H37" s="89">
        <v>1.8939999999999999</v>
      </c>
      <c r="I37" s="89">
        <v>1.7689999999999999</v>
      </c>
      <c r="J37" s="89">
        <v>1.6539999999999999</v>
      </c>
      <c r="K37" s="89">
        <v>1.546</v>
      </c>
      <c r="L37" s="89">
        <v>1.4450000000000001</v>
      </c>
      <c r="M37" s="89">
        <v>1.351</v>
      </c>
      <c r="N37" s="89">
        <v>1.262</v>
      </c>
      <c r="O37" s="89">
        <v>1.18</v>
      </c>
      <c r="P37" s="89">
        <v>1.103</v>
      </c>
      <c r="Q37" s="89">
        <v>1.03</v>
      </c>
      <c r="R37" s="89">
        <v>0.96199999999999997</v>
      </c>
      <c r="S37" s="89">
        <v>0.89800000000000002</v>
      </c>
      <c r="T37" s="89">
        <v>0.83799999999999997</v>
      </c>
      <c r="U37" s="89">
        <v>0.78200000000000003</v>
      </c>
      <c r="V37" s="89">
        <v>0.72899999999999998</v>
      </c>
      <c r="W37" s="89">
        <v>0.67900000000000005</v>
      </c>
      <c r="X37" s="89">
        <v>0.63200000000000001</v>
      </c>
      <c r="Y37" s="89">
        <v>0.58799999999999997</v>
      </c>
      <c r="Z37" s="89">
        <v>0.54700000000000004</v>
      </c>
      <c r="AA37" s="89">
        <v>0.50900000000000001</v>
      </c>
      <c r="AB37" s="89">
        <v>0.47299999999999998</v>
      </c>
      <c r="AC37" s="89">
        <v>0.44</v>
      </c>
      <c r="AD37" s="89">
        <v>0.40899999999999997</v>
      </c>
      <c r="AE37" s="89">
        <v>0.38</v>
      </c>
    </row>
    <row r="38" spans="1:31" x14ac:dyDescent="0.25">
      <c r="A38" s="97">
        <v>31</v>
      </c>
      <c r="B38" s="89">
        <v>2.984</v>
      </c>
      <c r="C38" s="89">
        <v>2.7759999999999998</v>
      </c>
      <c r="D38" s="89">
        <v>2.5840000000000001</v>
      </c>
      <c r="E38" s="89">
        <v>2.407</v>
      </c>
      <c r="F38" s="89">
        <v>2.2440000000000002</v>
      </c>
      <c r="G38" s="89">
        <v>2.093</v>
      </c>
      <c r="H38" s="89">
        <v>1.952</v>
      </c>
      <c r="I38" s="89">
        <v>1.8220000000000001</v>
      </c>
      <c r="J38" s="89">
        <v>1.7010000000000001</v>
      </c>
      <c r="K38" s="89">
        <v>1.589</v>
      </c>
      <c r="L38" s="89">
        <v>1.484</v>
      </c>
      <c r="M38" s="89">
        <v>1.3859999999999999</v>
      </c>
      <c r="N38" s="89">
        <v>1.294</v>
      </c>
      <c r="O38" s="89">
        <v>1.2090000000000001</v>
      </c>
      <c r="P38" s="89">
        <v>1.129</v>
      </c>
      <c r="Q38" s="89">
        <v>1.054</v>
      </c>
      <c r="R38" s="89">
        <v>0.98399999999999999</v>
      </c>
      <c r="S38" s="89">
        <v>0.91800000000000004</v>
      </c>
      <c r="T38" s="89">
        <v>0.85599999999999998</v>
      </c>
      <c r="U38" s="89">
        <v>0.79800000000000004</v>
      </c>
      <c r="V38" s="89">
        <v>0.74299999999999999</v>
      </c>
      <c r="W38" s="89">
        <v>0.69199999999999995</v>
      </c>
      <c r="X38" s="89">
        <v>0.64400000000000002</v>
      </c>
      <c r="Y38" s="89">
        <v>0.59899999999999998</v>
      </c>
      <c r="Z38" s="89">
        <v>0.55700000000000005</v>
      </c>
      <c r="AA38" s="89">
        <v>0.51800000000000002</v>
      </c>
      <c r="AB38" s="89">
        <v>0.48099999999999998</v>
      </c>
      <c r="AC38" s="89">
        <v>0.44700000000000001</v>
      </c>
      <c r="AD38" s="89">
        <v>0.41499999999999998</v>
      </c>
      <c r="AE38" s="89">
        <v>0.38600000000000001</v>
      </c>
    </row>
    <row r="39" spans="1:31" x14ac:dyDescent="0.25">
      <c r="A39" s="97">
        <v>32</v>
      </c>
      <c r="B39" s="89">
        <v>3.1040000000000001</v>
      </c>
      <c r="C39" s="89">
        <v>2.883</v>
      </c>
      <c r="D39" s="89">
        <v>2.681</v>
      </c>
      <c r="E39" s="89">
        <v>2.4940000000000002</v>
      </c>
      <c r="F39" s="89">
        <v>2.3220000000000001</v>
      </c>
      <c r="G39" s="89">
        <v>2.1619999999999999</v>
      </c>
      <c r="H39" s="89">
        <v>2.0150000000000001</v>
      </c>
      <c r="I39" s="89">
        <v>1.879</v>
      </c>
      <c r="J39" s="89">
        <v>1.752</v>
      </c>
      <c r="K39" s="89">
        <v>1.6339999999999999</v>
      </c>
      <c r="L39" s="89">
        <v>1.5249999999999999</v>
      </c>
      <c r="M39" s="89">
        <v>1.423</v>
      </c>
      <c r="N39" s="89">
        <v>1.3280000000000001</v>
      </c>
      <c r="O39" s="89">
        <v>1.2390000000000001</v>
      </c>
      <c r="P39" s="89">
        <v>1.157</v>
      </c>
      <c r="Q39" s="89">
        <v>1.079</v>
      </c>
      <c r="R39" s="89">
        <v>1.0069999999999999</v>
      </c>
      <c r="S39" s="89">
        <v>0.93799999999999994</v>
      </c>
      <c r="T39" s="89">
        <v>0.875</v>
      </c>
      <c r="U39" s="89">
        <v>0.81499999999999995</v>
      </c>
      <c r="V39" s="89">
        <v>0.75900000000000001</v>
      </c>
      <c r="W39" s="89">
        <v>0.70599999999999996</v>
      </c>
      <c r="X39" s="89">
        <v>0.65700000000000003</v>
      </c>
      <c r="Y39" s="89">
        <v>0.61099999999999999</v>
      </c>
      <c r="Z39" s="89">
        <v>0.56799999999999995</v>
      </c>
      <c r="AA39" s="89">
        <v>0.52700000000000002</v>
      </c>
      <c r="AB39" s="89">
        <v>0.49</v>
      </c>
      <c r="AC39" s="89">
        <v>0.45500000000000002</v>
      </c>
      <c r="AD39" s="89">
        <v>0.42199999999999999</v>
      </c>
      <c r="AE39" s="89">
        <v>0.39200000000000002</v>
      </c>
    </row>
    <row r="40" spans="1:31" x14ac:dyDescent="0.25">
      <c r="A40" s="97">
        <v>33</v>
      </c>
      <c r="B40" s="89">
        <v>3.2349999999999999</v>
      </c>
      <c r="C40" s="89">
        <v>3</v>
      </c>
      <c r="D40" s="89">
        <v>2.7850000000000001</v>
      </c>
      <c r="E40" s="89">
        <v>2.5870000000000002</v>
      </c>
      <c r="F40" s="89">
        <v>2.4049999999999998</v>
      </c>
      <c r="G40" s="89">
        <v>2.2370000000000001</v>
      </c>
      <c r="H40" s="89">
        <v>2.0830000000000002</v>
      </c>
      <c r="I40" s="89">
        <v>1.9390000000000001</v>
      </c>
      <c r="J40" s="89">
        <v>1.8069999999999999</v>
      </c>
      <c r="K40" s="89">
        <v>1.6839999999999999</v>
      </c>
      <c r="L40" s="89">
        <v>1.569</v>
      </c>
      <c r="M40" s="89">
        <v>1.4630000000000001</v>
      </c>
      <c r="N40" s="89">
        <v>1.3640000000000001</v>
      </c>
      <c r="O40" s="89">
        <v>1.272</v>
      </c>
      <c r="P40" s="89">
        <v>1.1859999999999999</v>
      </c>
      <c r="Q40" s="89">
        <v>1.1060000000000001</v>
      </c>
      <c r="R40" s="89">
        <v>1.0309999999999999</v>
      </c>
      <c r="S40" s="89">
        <v>0.96</v>
      </c>
      <c r="T40" s="89">
        <v>0.89400000000000002</v>
      </c>
      <c r="U40" s="89">
        <v>0.83299999999999996</v>
      </c>
      <c r="V40" s="89">
        <v>0.77500000000000002</v>
      </c>
      <c r="W40" s="89">
        <v>0.72099999999999997</v>
      </c>
      <c r="X40" s="89">
        <v>0.67</v>
      </c>
      <c r="Y40" s="89">
        <v>0.623</v>
      </c>
      <c r="Z40" s="89">
        <v>0.57899999999999996</v>
      </c>
      <c r="AA40" s="89">
        <v>0.53700000000000003</v>
      </c>
      <c r="AB40" s="89">
        <v>0.499</v>
      </c>
      <c r="AC40" s="89">
        <v>0.46300000000000002</v>
      </c>
      <c r="AD40" s="89">
        <v>0.43</v>
      </c>
      <c r="AE40" s="89">
        <v>0.39900000000000002</v>
      </c>
    </row>
    <row r="41" spans="1:31" x14ac:dyDescent="0.25">
      <c r="A41" s="97">
        <v>34</v>
      </c>
      <c r="B41" s="89">
        <v>3.3769999999999998</v>
      </c>
      <c r="C41" s="89">
        <v>3.1269999999999998</v>
      </c>
      <c r="D41" s="89">
        <v>2.8980000000000001</v>
      </c>
      <c r="E41" s="89">
        <v>2.6880000000000002</v>
      </c>
      <c r="F41" s="89">
        <v>2.4950000000000001</v>
      </c>
      <c r="G41" s="89">
        <v>2.3180000000000001</v>
      </c>
      <c r="H41" s="89">
        <v>2.1549999999999998</v>
      </c>
      <c r="I41" s="89">
        <v>2.004</v>
      </c>
      <c r="J41" s="89">
        <v>1.865</v>
      </c>
      <c r="K41" s="89">
        <v>1.736</v>
      </c>
      <c r="L41" s="89">
        <v>1.617</v>
      </c>
      <c r="M41" s="89">
        <v>1.506</v>
      </c>
      <c r="N41" s="89">
        <v>1.4019999999999999</v>
      </c>
      <c r="O41" s="89">
        <v>1.3069999999999999</v>
      </c>
      <c r="P41" s="89">
        <v>1.2170000000000001</v>
      </c>
      <c r="Q41" s="89">
        <v>1.1339999999999999</v>
      </c>
      <c r="R41" s="89">
        <v>1.056</v>
      </c>
      <c r="S41" s="89">
        <v>0.98299999999999998</v>
      </c>
      <c r="T41" s="89">
        <v>0.91500000000000004</v>
      </c>
      <c r="U41" s="89">
        <v>0.85099999999999998</v>
      </c>
      <c r="V41" s="89">
        <v>0.79200000000000004</v>
      </c>
      <c r="W41" s="89">
        <v>0.73599999999999999</v>
      </c>
      <c r="X41" s="89">
        <v>0.68400000000000005</v>
      </c>
      <c r="Y41" s="89">
        <v>0.63500000000000001</v>
      </c>
      <c r="Z41" s="89">
        <v>0.59</v>
      </c>
      <c r="AA41" s="89">
        <v>0.54800000000000004</v>
      </c>
      <c r="AB41" s="89">
        <v>0.50800000000000001</v>
      </c>
      <c r="AC41" s="89">
        <v>0.47099999999999997</v>
      </c>
      <c r="AD41" s="89">
        <v>0.437</v>
      </c>
      <c r="AE41" s="89">
        <v>0.40600000000000003</v>
      </c>
    </row>
    <row r="42" spans="1:31" x14ac:dyDescent="0.25">
      <c r="A42" s="97">
        <v>35</v>
      </c>
      <c r="B42" s="89">
        <v>3.5310000000000001</v>
      </c>
      <c r="C42" s="89">
        <v>3.2639999999999998</v>
      </c>
      <c r="D42" s="89">
        <v>3.02</v>
      </c>
      <c r="E42" s="89">
        <v>2.7970000000000002</v>
      </c>
      <c r="F42" s="89">
        <v>2.593</v>
      </c>
      <c r="G42" s="89">
        <v>2.4060000000000001</v>
      </c>
      <c r="H42" s="89">
        <v>2.2330000000000001</v>
      </c>
      <c r="I42" s="89">
        <v>2.0739999999999998</v>
      </c>
      <c r="J42" s="89">
        <v>1.9279999999999999</v>
      </c>
      <c r="K42" s="89">
        <v>1.792</v>
      </c>
      <c r="L42" s="89">
        <v>1.667</v>
      </c>
      <c r="M42" s="89">
        <v>1.5509999999999999</v>
      </c>
      <c r="N42" s="89">
        <v>1.4430000000000001</v>
      </c>
      <c r="O42" s="89">
        <v>1.343</v>
      </c>
      <c r="P42" s="89">
        <v>1.25</v>
      </c>
      <c r="Q42" s="89">
        <v>1.1639999999999999</v>
      </c>
      <c r="R42" s="89">
        <v>1.083</v>
      </c>
      <c r="S42" s="89">
        <v>1.008</v>
      </c>
      <c r="T42" s="89">
        <v>0.93700000000000006</v>
      </c>
      <c r="U42" s="89">
        <v>0.871</v>
      </c>
      <c r="V42" s="89">
        <v>0.81</v>
      </c>
      <c r="W42" s="89">
        <v>0.752</v>
      </c>
      <c r="X42" s="89">
        <v>0.69899999999999995</v>
      </c>
      <c r="Y42" s="89">
        <v>0.64900000000000002</v>
      </c>
      <c r="Z42" s="89">
        <v>0.60199999999999998</v>
      </c>
      <c r="AA42" s="89">
        <v>0.55800000000000005</v>
      </c>
      <c r="AB42" s="89">
        <v>0.51800000000000002</v>
      </c>
      <c r="AC42" s="89">
        <v>0.48</v>
      </c>
      <c r="AD42" s="89">
        <v>0.44600000000000001</v>
      </c>
      <c r="AE42" s="89">
        <v>0.41299999999999998</v>
      </c>
    </row>
    <row r="43" spans="1:31" x14ac:dyDescent="0.25">
      <c r="A43" s="97">
        <v>36</v>
      </c>
      <c r="B43" s="89">
        <v>3.7</v>
      </c>
      <c r="C43" s="89">
        <v>3.4140000000000001</v>
      </c>
      <c r="D43" s="89">
        <v>3.1539999999999999</v>
      </c>
      <c r="E43" s="89">
        <v>2.9159999999999999</v>
      </c>
      <c r="F43" s="89">
        <v>2.6989999999999998</v>
      </c>
      <c r="G43" s="89">
        <v>2.5</v>
      </c>
      <c r="H43" s="89">
        <v>2.3170000000000002</v>
      </c>
      <c r="I43" s="89">
        <v>2.15</v>
      </c>
      <c r="J43" s="89">
        <v>1.9950000000000001</v>
      </c>
      <c r="K43" s="89">
        <v>1.853</v>
      </c>
      <c r="L43" s="89">
        <v>1.7210000000000001</v>
      </c>
      <c r="M43" s="89">
        <v>1.6</v>
      </c>
      <c r="N43" s="89">
        <v>1.4870000000000001</v>
      </c>
      <c r="O43" s="89">
        <v>1.383</v>
      </c>
      <c r="P43" s="89">
        <v>1.286</v>
      </c>
      <c r="Q43" s="89">
        <v>1.196</v>
      </c>
      <c r="R43" s="89">
        <v>1.1120000000000001</v>
      </c>
      <c r="S43" s="89">
        <v>1.034</v>
      </c>
      <c r="T43" s="89">
        <v>0.96099999999999997</v>
      </c>
      <c r="U43" s="89">
        <v>0.89300000000000002</v>
      </c>
      <c r="V43" s="89">
        <v>0.82899999999999996</v>
      </c>
      <c r="W43" s="89">
        <v>0.76900000000000002</v>
      </c>
      <c r="X43" s="89">
        <v>0.71399999999999997</v>
      </c>
      <c r="Y43" s="89">
        <v>0.66300000000000003</v>
      </c>
      <c r="Z43" s="89">
        <v>0.61499999999999999</v>
      </c>
      <c r="AA43" s="89">
        <v>0.56999999999999995</v>
      </c>
      <c r="AB43" s="89">
        <v>0.52800000000000002</v>
      </c>
      <c r="AC43" s="89">
        <v>0.49</v>
      </c>
      <c r="AD43" s="89">
        <v>0.45400000000000001</v>
      </c>
      <c r="AE43" s="89">
        <v>0.42099999999999999</v>
      </c>
    </row>
    <row r="44" spans="1:31" x14ac:dyDescent="0.25">
      <c r="A44" s="97">
        <v>37</v>
      </c>
      <c r="B44" s="89">
        <v>3.8839999999999999</v>
      </c>
      <c r="C44" s="89">
        <v>3.5779999999999998</v>
      </c>
      <c r="D44" s="89">
        <v>3.2989999999999999</v>
      </c>
      <c r="E44" s="89">
        <v>3.0449999999999999</v>
      </c>
      <c r="F44" s="89">
        <v>2.8140000000000001</v>
      </c>
      <c r="G44" s="89">
        <v>2.6019999999999999</v>
      </c>
      <c r="H44" s="89">
        <v>2.4089999999999998</v>
      </c>
      <c r="I44" s="89">
        <v>2.2309999999999999</v>
      </c>
      <c r="J44" s="89">
        <v>2.0680000000000001</v>
      </c>
      <c r="K44" s="89">
        <v>1.9179999999999999</v>
      </c>
      <c r="L44" s="89">
        <v>1.78</v>
      </c>
      <c r="M44" s="89">
        <v>1.6519999999999999</v>
      </c>
      <c r="N44" s="89">
        <v>1.534</v>
      </c>
      <c r="O44" s="89">
        <v>1.425</v>
      </c>
      <c r="P44" s="89">
        <v>1.3240000000000001</v>
      </c>
      <c r="Q44" s="89">
        <v>1.23</v>
      </c>
      <c r="R44" s="89">
        <v>1.143</v>
      </c>
      <c r="S44" s="89">
        <v>1.0609999999999999</v>
      </c>
      <c r="T44" s="89">
        <v>0.98599999999999999</v>
      </c>
      <c r="U44" s="89">
        <v>0.91500000000000004</v>
      </c>
      <c r="V44" s="89">
        <v>0.84899999999999998</v>
      </c>
      <c r="W44" s="89">
        <v>0.78800000000000003</v>
      </c>
      <c r="X44" s="89">
        <v>0.73099999999999998</v>
      </c>
      <c r="Y44" s="89">
        <v>0.67700000000000005</v>
      </c>
      <c r="Z44" s="89">
        <v>0.628</v>
      </c>
      <c r="AA44" s="89">
        <v>0.58199999999999996</v>
      </c>
      <c r="AB44" s="89">
        <v>0.53900000000000003</v>
      </c>
      <c r="AC44" s="89">
        <v>0.5</v>
      </c>
      <c r="AD44" s="89">
        <v>0.46300000000000002</v>
      </c>
      <c r="AE44" s="89">
        <v>0.42899999999999999</v>
      </c>
    </row>
    <row r="45" spans="1:31" x14ac:dyDescent="0.25">
      <c r="A45" s="97">
        <v>38</v>
      </c>
      <c r="B45" s="89">
        <v>4.0860000000000003</v>
      </c>
      <c r="C45" s="89">
        <v>3.7570000000000001</v>
      </c>
      <c r="D45" s="89">
        <v>3.4569999999999999</v>
      </c>
      <c r="E45" s="89">
        <v>3.1859999999999999</v>
      </c>
      <c r="F45" s="89">
        <v>2.9390000000000001</v>
      </c>
      <c r="G45" s="89">
        <v>2.7130000000000001</v>
      </c>
      <c r="H45" s="89">
        <v>2.508</v>
      </c>
      <c r="I45" s="89">
        <v>2.319</v>
      </c>
      <c r="J45" s="89">
        <v>2.1469999999999998</v>
      </c>
      <c r="K45" s="89">
        <v>1.988</v>
      </c>
      <c r="L45" s="89">
        <v>1.843</v>
      </c>
      <c r="M45" s="89">
        <v>1.708</v>
      </c>
      <c r="N45" s="89">
        <v>1.585</v>
      </c>
      <c r="O45" s="89">
        <v>1.47</v>
      </c>
      <c r="P45" s="89">
        <v>1.3640000000000001</v>
      </c>
      <c r="Q45" s="89">
        <v>1.266</v>
      </c>
      <c r="R45" s="89">
        <v>1.175</v>
      </c>
      <c r="S45" s="89">
        <v>1.091</v>
      </c>
      <c r="T45" s="89">
        <v>1.012</v>
      </c>
      <c r="U45" s="89">
        <v>0.93899999999999995</v>
      </c>
      <c r="V45" s="89">
        <v>0.871</v>
      </c>
      <c r="W45" s="89">
        <v>0.80700000000000005</v>
      </c>
      <c r="X45" s="89">
        <v>0.748</v>
      </c>
      <c r="Y45" s="89">
        <v>0.69299999999999995</v>
      </c>
      <c r="Z45" s="89">
        <v>0.64200000000000002</v>
      </c>
      <c r="AA45" s="89">
        <v>0.59499999999999997</v>
      </c>
      <c r="AB45" s="89">
        <v>0.55100000000000005</v>
      </c>
      <c r="AC45" s="89">
        <v>0.51</v>
      </c>
      <c r="AD45" s="89">
        <v>0.47199999999999998</v>
      </c>
      <c r="AE45" s="89">
        <v>0.438</v>
      </c>
    </row>
    <row r="46" spans="1:31" x14ac:dyDescent="0.25">
      <c r="A46" s="97">
        <v>39</v>
      </c>
      <c r="B46" s="89">
        <v>4.3079999999999998</v>
      </c>
      <c r="C46" s="89">
        <v>3.9529999999999998</v>
      </c>
      <c r="D46" s="89">
        <v>3.6309999999999998</v>
      </c>
      <c r="E46" s="89">
        <v>3.339</v>
      </c>
      <c r="F46" s="89">
        <v>3.0750000000000002</v>
      </c>
      <c r="G46" s="89">
        <v>2.8340000000000001</v>
      </c>
      <c r="H46" s="89">
        <v>2.6150000000000002</v>
      </c>
      <c r="I46" s="89">
        <v>2.415</v>
      </c>
      <c r="J46" s="89">
        <v>2.2320000000000002</v>
      </c>
      <c r="K46" s="89">
        <v>2.0640000000000001</v>
      </c>
      <c r="L46" s="89">
        <v>1.91</v>
      </c>
      <c r="M46" s="89">
        <v>1.7689999999999999</v>
      </c>
      <c r="N46" s="89">
        <v>1.639</v>
      </c>
      <c r="O46" s="89">
        <v>1.5189999999999999</v>
      </c>
      <c r="P46" s="89">
        <v>1.4079999999999999</v>
      </c>
      <c r="Q46" s="89">
        <v>1.3049999999999999</v>
      </c>
      <c r="R46" s="89">
        <v>1.21</v>
      </c>
      <c r="S46" s="89">
        <v>1.1220000000000001</v>
      </c>
      <c r="T46" s="89">
        <v>1.04</v>
      </c>
      <c r="U46" s="89">
        <v>0.96399999999999997</v>
      </c>
      <c r="V46" s="89">
        <v>0.89300000000000002</v>
      </c>
      <c r="W46" s="89">
        <v>0.82699999999999996</v>
      </c>
      <c r="X46" s="89">
        <v>0.76600000000000001</v>
      </c>
      <c r="Y46" s="89">
        <v>0.71</v>
      </c>
      <c r="Z46" s="89">
        <v>0.65700000000000003</v>
      </c>
      <c r="AA46" s="89">
        <v>0.60799999999999998</v>
      </c>
      <c r="AB46" s="89">
        <v>0.56299999999999994</v>
      </c>
      <c r="AC46" s="89">
        <v>0.52100000000000002</v>
      </c>
      <c r="AD46" s="89">
        <v>0.48199999999999998</v>
      </c>
      <c r="AE46" s="89">
        <v>0.44700000000000001</v>
      </c>
    </row>
    <row r="47" spans="1:31" x14ac:dyDescent="0.25">
      <c r="A47" s="97">
        <v>40</v>
      </c>
      <c r="B47" s="89">
        <v>4.5519999999999996</v>
      </c>
      <c r="C47" s="89">
        <v>4.1680000000000001</v>
      </c>
      <c r="D47" s="89">
        <v>3.8210000000000002</v>
      </c>
      <c r="E47" s="89">
        <v>3.508</v>
      </c>
      <c r="F47" s="89">
        <v>3.2240000000000002</v>
      </c>
      <c r="G47" s="89">
        <v>2.9660000000000002</v>
      </c>
      <c r="H47" s="89">
        <v>2.7320000000000002</v>
      </c>
      <c r="I47" s="89">
        <v>2.5190000000000001</v>
      </c>
      <c r="J47" s="89">
        <v>2.3239999999999998</v>
      </c>
      <c r="K47" s="89">
        <v>2.1459999999999999</v>
      </c>
      <c r="L47" s="89">
        <v>1.9830000000000001</v>
      </c>
      <c r="M47" s="89">
        <v>1.8340000000000001</v>
      </c>
      <c r="N47" s="89">
        <v>1.6970000000000001</v>
      </c>
      <c r="O47" s="89">
        <v>1.571</v>
      </c>
      <c r="P47" s="89">
        <v>1.454</v>
      </c>
      <c r="Q47" s="89">
        <v>1.347</v>
      </c>
      <c r="R47" s="89">
        <v>1.248</v>
      </c>
      <c r="S47" s="89">
        <v>1.1559999999999999</v>
      </c>
      <c r="T47" s="89">
        <v>1.07</v>
      </c>
      <c r="U47" s="89">
        <v>0.99099999999999999</v>
      </c>
      <c r="V47" s="89">
        <v>0.91800000000000004</v>
      </c>
      <c r="W47" s="89">
        <v>0.84899999999999998</v>
      </c>
      <c r="X47" s="89">
        <v>0.78600000000000003</v>
      </c>
      <c r="Y47" s="89">
        <v>0.72699999999999998</v>
      </c>
      <c r="Z47" s="89">
        <v>0.67300000000000004</v>
      </c>
      <c r="AA47" s="89">
        <v>0.623</v>
      </c>
      <c r="AB47" s="89">
        <v>0.57599999999999996</v>
      </c>
      <c r="AC47" s="89">
        <v>0.53300000000000003</v>
      </c>
      <c r="AD47" s="89">
        <v>0.49299999999999999</v>
      </c>
      <c r="AE47" s="89">
        <v>0.45600000000000002</v>
      </c>
    </row>
    <row r="48" spans="1:31" x14ac:dyDescent="0.25">
      <c r="A48" s="97">
        <v>41</v>
      </c>
      <c r="B48" s="89">
        <v>4.8209999999999997</v>
      </c>
      <c r="C48" s="89">
        <v>4.4050000000000002</v>
      </c>
      <c r="D48" s="89">
        <v>4.03</v>
      </c>
      <c r="E48" s="89">
        <v>3.6920000000000002</v>
      </c>
      <c r="F48" s="89">
        <v>3.3860000000000001</v>
      </c>
      <c r="G48" s="89">
        <v>3.11</v>
      </c>
      <c r="H48" s="89">
        <v>2.859</v>
      </c>
      <c r="I48" s="89">
        <v>2.6309999999999998</v>
      </c>
      <c r="J48" s="89">
        <v>2.4239999999999999</v>
      </c>
      <c r="K48" s="89">
        <v>2.2349999999999999</v>
      </c>
      <c r="L48" s="89">
        <v>2.0630000000000002</v>
      </c>
      <c r="M48" s="89">
        <v>1.905</v>
      </c>
      <c r="N48" s="89">
        <v>1.76</v>
      </c>
      <c r="O48" s="89">
        <v>1.627</v>
      </c>
      <c r="P48" s="89">
        <v>1.504</v>
      </c>
      <c r="Q48" s="89">
        <v>1.3919999999999999</v>
      </c>
      <c r="R48" s="89">
        <v>1.288</v>
      </c>
      <c r="S48" s="89">
        <v>1.1910000000000001</v>
      </c>
      <c r="T48" s="89">
        <v>1.1020000000000001</v>
      </c>
      <c r="U48" s="89">
        <v>1.02</v>
      </c>
      <c r="V48" s="89">
        <v>0.94299999999999995</v>
      </c>
      <c r="W48" s="89">
        <v>0.872</v>
      </c>
      <c r="X48" s="89">
        <v>0.80700000000000005</v>
      </c>
      <c r="Y48" s="89">
        <v>0.746</v>
      </c>
      <c r="Z48" s="89">
        <v>0.69</v>
      </c>
      <c r="AA48" s="89">
        <v>0.63800000000000001</v>
      </c>
      <c r="AB48" s="89">
        <v>0.59</v>
      </c>
      <c r="AC48" s="89">
        <v>0.54500000000000004</v>
      </c>
      <c r="AD48" s="89">
        <v>0.504</v>
      </c>
      <c r="AE48" s="89">
        <v>0.46600000000000003</v>
      </c>
    </row>
    <row r="49" spans="1:31" x14ac:dyDescent="0.25">
      <c r="A49" s="97">
        <v>42</v>
      </c>
      <c r="B49" s="89">
        <v>5.117</v>
      </c>
      <c r="C49" s="89">
        <v>4.665</v>
      </c>
      <c r="D49" s="89">
        <v>4.2590000000000003</v>
      </c>
      <c r="E49" s="89">
        <v>3.8940000000000001</v>
      </c>
      <c r="F49" s="89">
        <v>3.5649999999999999</v>
      </c>
      <c r="G49" s="89">
        <v>3.2669999999999999</v>
      </c>
      <c r="H49" s="89">
        <v>2.9980000000000002</v>
      </c>
      <c r="I49" s="89">
        <v>2.7549999999999999</v>
      </c>
      <c r="J49" s="89">
        <v>2.5329999999999999</v>
      </c>
      <c r="K49" s="89">
        <v>2.3319999999999999</v>
      </c>
      <c r="L49" s="89">
        <v>2.1480000000000001</v>
      </c>
      <c r="M49" s="89">
        <v>1.9810000000000001</v>
      </c>
      <c r="N49" s="89">
        <v>1.8280000000000001</v>
      </c>
      <c r="O49" s="89">
        <v>1.6870000000000001</v>
      </c>
      <c r="P49" s="89">
        <v>1.5580000000000001</v>
      </c>
      <c r="Q49" s="89">
        <v>1.44</v>
      </c>
      <c r="R49" s="89">
        <v>1.331</v>
      </c>
      <c r="S49" s="89">
        <v>1.23</v>
      </c>
      <c r="T49" s="89">
        <v>1.137</v>
      </c>
      <c r="U49" s="89">
        <v>1.0509999999999999</v>
      </c>
      <c r="V49" s="89">
        <v>0.97099999999999997</v>
      </c>
      <c r="W49" s="89">
        <v>0.89700000000000002</v>
      </c>
      <c r="X49" s="89">
        <v>0.82899999999999996</v>
      </c>
      <c r="Y49" s="89">
        <v>0.76600000000000001</v>
      </c>
      <c r="Z49" s="89">
        <v>0.70799999999999996</v>
      </c>
      <c r="AA49" s="89">
        <v>0.65400000000000003</v>
      </c>
      <c r="AB49" s="89">
        <v>0.60399999999999998</v>
      </c>
      <c r="AC49" s="89">
        <v>0.55800000000000005</v>
      </c>
      <c r="AD49" s="89">
        <v>0.51600000000000001</v>
      </c>
      <c r="AE49" s="89">
        <v>0.47699999999999998</v>
      </c>
    </row>
    <row r="50" spans="1:31" x14ac:dyDescent="0.25">
      <c r="A50" s="97">
        <v>43</v>
      </c>
      <c r="B50" s="89">
        <v>5.444</v>
      </c>
      <c r="C50" s="89">
        <v>4.9530000000000003</v>
      </c>
      <c r="D50" s="89">
        <v>4.5119999999999996</v>
      </c>
      <c r="E50" s="89">
        <v>4.117</v>
      </c>
      <c r="F50" s="89">
        <v>3.7610000000000001</v>
      </c>
      <c r="G50" s="89">
        <v>3.44</v>
      </c>
      <c r="H50" s="89">
        <v>3.1509999999999998</v>
      </c>
      <c r="I50" s="89">
        <v>2.8889999999999998</v>
      </c>
      <c r="J50" s="89">
        <v>2.6520000000000001</v>
      </c>
      <c r="K50" s="89">
        <v>2.4369999999999998</v>
      </c>
      <c r="L50" s="89">
        <v>2.242</v>
      </c>
      <c r="M50" s="89">
        <v>2.0640000000000001</v>
      </c>
      <c r="N50" s="89">
        <v>1.901</v>
      </c>
      <c r="O50" s="89">
        <v>1.752</v>
      </c>
      <c r="P50" s="89">
        <v>1.6160000000000001</v>
      </c>
      <c r="Q50" s="89">
        <v>1.492</v>
      </c>
      <c r="R50" s="89">
        <v>1.377</v>
      </c>
      <c r="S50" s="89">
        <v>1.2709999999999999</v>
      </c>
      <c r="T50" s="89">
        <v>1.1739999999999999</v>
      </c>
      <c r="U50" s="89">
        <v>1.0840000000000001</v>
      </c>
      <c r="V50" s="89">
        <v>1</v>
      </c>
      <c r="W50" s="89">
        <v>0.92300000000000004</v>
      </c>
      <c r="X50" s="89">
        <v>0.85199999999999998</v>
      </c>
      <c r="Y50" s="89">
        <v>0.78700000000000003</v>
      </c>
      <c r="Z50" s="89">
        <v>0.72699999999999998</v>
      </c>
      <c r="AA50" s="89">
        <v>0.67100000000000004</v>
      </c>
      <c r="AB50" s="89">
        <v>0.61899999999999999</v>
      </c>
      <c r="AC50" s="89">
        <v>0.57199999999999995</v>
      </c>
      <c r="AD50" s="89">
        <v>0.52800000000000002</v>
      </c>
      <c r="AE50" s="89">
        <v>0.48799999999999999</v>
      </c>
    </row>
    <row r="51" spans="1:31" x14ac:dyDescent="0.25">
      <c r="A51" s="97">
        <v>44</v>
      </c>
      <c r="B51" s="89">
        <v>5.8070000000000004</v>
      </c>
      <c r="C51" s="89">
        <v>5.2709999999999999</v>
      </c>
      <c r="D51" s="89">
        <v>4.7919999999999998</v>
      </c>
      <c r="E51" s="89">
        <v>4.3620000000000001</v>
      </c>
      <c r="F51" s="89">
        <v>3.9769999999999999</v>
      </c>
      <c r="G51" s="89">
        <v>3.63</v>
      </c>
      <c r="H51" s="89">
        <v>3.3180000000000001</v>
      </c>
      <c r="I51" s="89">
        <v>3.036</v>
      </c>
      <c r="J51" s="89">
        <v>2.782</v>
      </c>
      <c r="K51" s="89">
        <v>2.552</v>
      </c>
      <c r="L51" s="89">
        <v>2.343</v>
      </c>
      <c r="M51" s="89">
        <v>2.153</v>
      </c>
      <c r="N51" s="89">
        <v>1.9810000000000001</v>
      </c>
      <c r="O51" s="89">
        <v>1.823</v>
      </c>
      <c r="P51" s="89">
        <v>1.679</v>
      </c>
      <c r="Q51" s="89">
        <v>1.5469999999999999</v>
      </c>
      <c r="R51" s="89">
        <v>1.427</v>
      </c>
      <c r="S51" s="89">
        <v>1.3149999999999999</v>
      </c>
      <c r="T51" s="89">
        <v>1.2130000000000001</v>
      </c>
      <c r="U51" s="89">
        <v>1.119</v>
      </c>
      <c r="V51" s="89">
        <v>1.032</v>
      </c>
      <c r="W51" s="89">
        <v>0.95099999999999996</v>
      </c>
      <c r="X51" s="89">
        <v>0.878</v>
      </c>
      <c r="Y51" s="89">
        <v>0.81</v>
      </c>
      <c r="Z51" s="89">
        <v>0.747</v>
      </c>
      <c r="AA51" s="89">
        <v>0.68899999999999995</v>
      </c>
      <c r="AB51" s="89">
        <v>0.63600000000000001</v>
      </c>
      <c r="AC51" s="89">
        <v>0.58599999999999997</v>
      </c>
      <c r="AD51" s="89">
        <v>0.54100000000000004</v>
      </c>
      <c r="AE51" s="89">
        <v>0.5</v>
      </c>
    </row>
    <row r="52" spans="1:31" x14ac:dyDescent="0.25">
      <c r="A52" s="97">
        <v>45</v>
      </c>
      <c r="B52" s="89">
        <v>6.2080000000000002</v>
      </c>
      <c r="C52" s="89">
        <v>5.6230000000000002</v>
      </c>
      <c r="D52" s="89">
        <v>5.101</v>
      </c>
      <c r="E52" s="89">
        <v>4.633</v>
      </c>
      <c r="F52" s="89">
        <v>4.2140000000000004</v>
      </c>
      <c r="G52" s="89">
        <v>3.839</v>
      </c>
      <c r="H52" s="89">
        <v>3.5019999999999998</v>
      </c>
      <c r="I52" s="89">
        <v>3.198</v>
      </c>
      <c r="J52" s="89">
        <v>2.9239999999999999</v>
      </c>
      <c r="K52" s="89">
        <v>2.677</v>
      </c>
      <c r="L52" s="89">
        <v>2.4540000000000002</v>
      </c>
      <c r="M52" s="89">
        <v>2.2509999999999999</v>
      </c>
      <c r="N52" s="89">
        <v>2.0670000000000002</v>
      </c>
      <c r="O52" s="89">
        <v>1.9</v>
      </c>
      <c r="P52" s="89">
        <v>1.7470000000000001</v>
      </c>
      <c r="Q52" s="89">
        <v>1.6080000000000001</v>
      </c>
      <c r="R52" s="89">
        <v>1.48</v>
      </c>
      <c r="S52" s="89">
        <v>1.363</v>
      </c>
      <c r="T52" s="89">
        <v>1.256</v>
      </c>
      <c r="U52" s="89">
        <v>1.157</v>
      </c>
      <c r="V52" s="89">
        <v>1.0660000000000001</v>
      </c>
      <c r="W52" s="89">
        <v>0.98199999999999998</v>
      </c>
      <c r="X52" s="89">
        <v>0.90500000000000003</v>
      </c>
      <c r="Y52" s="89">
        <v>0.83399999999999996</v>
      </c>
      <c r="Z52" s="89">
        <v>0.76800000000000002</v>
      </c>
      <c r="AA52" s="89">
        <v>0.70799999999999996</v>
      </c>
      <c r="AB52" s="89">
        <v>0.65300000000000002</v>
      </c>
      <c r="AC52" s="89">
        <v>0.60199999999999998</v>
      </c>
      <c r="AD52" s="89">
        <v>0.55500000000000005</v>
      </c>
      <c r="AE52" s="89">
        <v>0.51200000000000001</v>
      </c>
    </row>
    <row r="53" spans="1:31" x14ac:dyDescent="0.25">
      <c r="A53" s="97">
        <v>46</v>
      </c>
      <c r="B53" s="89">
        <v>6.6529999999999996</v>
      </c>
      <c r="C53" s="89">
        <v>6.0129999999999999</v>
      </c>
      <c r="D53" s="89">
        <v>5.4429999999999996</v>
      </c>
      <c r="E53" s="89">
        <v>4.9329999999999998</v>
      </c>
      <c r="F53" s="89">
        <v>4.4770000000000003</v>
      </c>
      <c r="G53" s="89">
        <v>4.069</v>
      </c>
      <c r="H53" s="89">
        <v>3.7040000000000002</v>
      </c>
      <c r="I53" s="89">
        <v>3.3759999999999999</v>
      </c>
      <c r="J53" s="89">
        <v>3.081</v>
      </c>
      <c r="K53" s="89">
        <v>2.8149999999999999</v>
      </c>
      <c r="L53" s="89">
        <v>2.5750000000000002</v>
      </c>
      <c r="M53" s="89">
        <v>2.3580000000000001</v>
      </c>
      <c r="N53" s="89">
        <v>2.1619999999999999</v>
      </c>
      <c r="O53" s="89">
        <v>1.9830000000000001</v>
      </c>
      <c r="P53" s="89">
        <v>1.821</v>
      </c>
      <c r="Q53" s="89">
        <v>1.673</v>
      </c>
      <c r="R53" s="89">
        <v>1.538</v>
      </c>
      <c r="S53" s="89">
        <v>1.415</v>
      </c>
      <c r="T53" s="89">
        <v>1.3009999999999999</v>
      </c>
      <c r="U53" s="89">
        <v>1.1970000000000001</v>
      </c>
      <c r="V53" s="89">
        <v>1.1020000000000001</v>
      </c>
      <c r="W53" s="89">
        <v>1.014</v>
      </c>
      <c r="X53" s="89">
        <v>0.93300000000000005</v>
      </c>
      <c r="Y53" s="89">
        <v>0.85899999999999999</v>
      </c>
      <c r="Z53" s="89">
        <v>0.79100000000000004</v>
      </c>
      <c r="AA53" s="89">
        <v>0.72899999999999998</v>
      </c>
      <c r="AB53" s="89">
        <v>0.67100000000000004</v>
      </c>
      <c r="AC53" s="89">
        <v>0.61799999999999999</v>
      </c>
      <c r="AD53" s="89">
        <v>0.56999999999999995</v>
      </c>
      <c r="AE53" s="89">
        <v>0.52600000000000002</v>
      </c>
    </row>
    <row r="54" spans="1:31" x14ac:dyDescent="0.25">
      <c r="A54" s="97">
        <v>47</v>
      </c>
      <c r="B54" s="89">
        <v>7.1479999999999997</v>
      </c>
      <c r="C54" s="89">
        <v>6.4470000000000001</v>
      </c>
      <c r="D54" s="89">
        <v>5.8220000000000001</v>
      </c>
      <c r="E54" s="89">
        <v>5.2649999999999997</v>
      </c>
      <c r="F54" s="89">
        <v>4.7679999999999998</v>
      </c>
      <c r="G54" s="89">
        <v>4.3239999999999998</v>
      </c>
      <c r="H54" s="89">
        <v>3.927</v>
      </c>
      <c r="I54" s="89">
        <v>3.5720000000000001</v>
      </c>
      <c r="J54" s="89">
        <v>3.2530000000000001</v>
      </c>
      <c r="K54" s="89">
        <v>2.9660000000000002</v>
      </c>
      <c r="L54" s="89">
        <v>2.7080000000000002</v>
      </c>
      <c r="M54" s="89">
        <v>2.4750000000000001</v>
      </c>
      <c r="N54" s="89">
        <v>2.2650000000000001</v>
      </c>
      <c r="O54" s="89">
        <v>2.0739999999999998</v>
      </c>
      <c r="P54" s="89">
        <v>1.9019999999999999</v>
      </c>
      <c r="Q54" s="89">
        <v>1.7450000000000001</v>
      </c>
      <c r="R54" s="89">
        <v>1.601</v>
      </c>
      <c r="S54" s="89">
        <v>1.47</v>
      </c>
      <c r="T54" s="89">
        <v>1.351</v>
      </c>
      <c r="U54" s="89">
        <v>1.2410000000000001</v>
      </c>
      <c r="V54" s="89">
        <v>1.141</v>
      </c>
      <c r="W54" s="89">
        <v>1.0489999999999999</v>
      </c>
      <c r="X54" s="89">
        <v>0.96399999999999997</v>
      </c>
      <c r="Y54" s="89">
        <v>0.88700000000000001</v>
      </c>
      <c r="Z54" s="89">
        <v>0.81599999999999995</v>
      </c>
      <c r="AA54" s="89">
        <v>0.751</v>
      </c>
      <c r="AB54" s="89">
        <v>0.69099999999999995</v>
      </c>
      <c r="AC54" s="89">
        <v>0.63600000000000001</v>
      </c>
      <c r="AD54" s="89">
        <v>0.58599999999999997</v>
      </c>
      <c r="AE54" s="89">
        <v>0.54</v>
      </c>
    </row>
    <row r="55" spans="1:31" x14ac:dyDescent="0.25">
      <c r="A55" s="97">
        <v>48</v>
      </c>
      <c r="B55" s="89">
        <v>7.6970000000000001</v>
      </c>
      <c r="C55" s="89">
        <v>6.9279999999999999</v>
      </c>
      <c r="D55" s="89">
        <v>6.2430000000000003</v>
      </c>
      <c r="E55" s="89">
        <v>5.6340000000000003</v>
      </c>
      <c r="F55" s="89">
        <v>5.0910000000000002</v>
      </c>
      <c r="G55" s="89">
        <v>4.6070000000000002</v>
      </c>
      <c r="H55" s="89">
        <v>4.1740000000000004</v>
      </c>
      <c r="I55" s="89">
        <v>3.7879999999999998</v>
      </c>
      <c r="J55" s="89">
        <v>3.4420000000000002</v>
      </c>
      <c r="K55" s="89">
        <v>3.1320000000000001</v>
      </c>
      <c r="L55" s="89">
        <v>2.8540000000000001</v>
      </c>
      <c r="M55" s="89">
        <v>2.6040000000000001</v>
      </c>
      <c r="N55" s="89">
        <v>2.3780000000000001</v>
      </c>
      <c r="O55" s="89">
        <v>2.1739999999999999</v>
      </c>
      <c r="P55" s="89">
        <v>1.9890000000000001</v>
      </c>
      <c r="Q55" s="89">
        <v>1.8220000000000001</v>
      </c>
      <c r="R55" s="89">
        <v>1.67</v>
      </c>
      <c r="S55" s="89">
        <v>1.5309999999999999</v>
      </c>
      <c r="T55" s="89">
        <v>1.4039999999999999</v>
      </c>
      <c r="U55" s="89">
        <v>1.2889999999999999</v>
      </c>
      <c r="V55" s="89">
        <v>1.1830000000000001</v>
      </c>
      <c r="W55" s="89">
        <v>1.0860000000000001</v>
      </c>
      <c r="X55" s="89">
        <v>0.997</v>
      </c>
      <c r="Y55" s="89">
        <v>0.91600000000000004</v>
      </c>
      <c r="Z55" s="89">
        <v>0.84199999999999997</v>
      </c>
      <c r="AA55" s="89">
        <v>0.77400000000000002</v>
      </c>
      <c r="AB55" s="89">
        <v>0.71199999999999997</v>
      </c>
      <c r="AC55" s="89">
        <v>0.65500000000000003</v>
      </c>
      <c r="AD55" s="89">
        <v>0.60199999999999998</v>
      </c>
      <c r="AE55" s="89">
        <v>0.55500000000000005</v>
      </c>
    </row>
    <row r="56" spans="1:31" x14ac:dyDescent="0.25">
      <c r="A56" s="97">
        <v>49</v>
      </c>
      <c r="B56" s="89">
        <v>8.3089999999999993</v>
      </c>
      <c r="C56" s="89">
        <v>7.4640000000000004</v>
      </c>
      <c r="D56" s="89">
        <v>6.7119999999999997</v>
      </c>
      <c r="E56" s="89">
        <v>6.0439999999999996</v>
      </c>
      <c r="F56" s="89">
        <v>5.4489999999999998</v>
      </c>
      <c r="G56" s="89">
        <v>4.92</v>
      </c>
      <c r="H56" s="89">
        <v>4.4480000000000004</v>
      </c>
      <c r="I56" s="89">
        <v>4.0270000000000001</v>
      </c>
      <c r="J56" s="89">
        <v>3.6520000000000001</v>
      </c>
      <c r="K56" s="89">
        <v>3.3159999999999998</v>
      </c>
      <c r="L56" s="89">
        <v>3.0150000000000001</v>
      </c>
      <c r="M56" s="89">
        <v>2.7450000000000001</v>
      </c>
      <c r="N56" s="89">
        <v>2.5019999999999998</v>
      </c>
      <c r="O56" s="89">
        <v>2.2829999999999999</v>
      </c>
      <c r="P56" s="89">
        <v>2.085</v>
      </c>
      <c r="Q56" s="89">
        <v>1.9059999999999999</v>
      </c>
      <c r="R56" s="89">
        <v>1.744</v>
      </c>
      <c r="S56" s="89">
        <v>1.597</v>
      </c>
      <c r="T56" s="89">
        <v>1.4630000000000001</v>
      </c>
      <c r="U56" s="89">
        <v>1.34</v>
      </c>
      <c r="V56" s="89">
        <v>1.2290000000000001</v>
      </c>
      <c r="W56" s="89">
        <v>1.1259999999999999</v>
      </c>
      <c r="X56" s="89">
        <v>1.0329999999999999</v>
      </c>
      <c r="Y56" s="89">
        <v>0.94799999999999995</v>
      </c>
      <c r="Z56" s="89">
        <v>0.87</v>
      </c>
      <c r="AA56" s="89">
        <v>0.79900000000000004</v>
      </c>
      <c r="AB56" s="89">
        <v>0.73399999999999999</v>
      </c>
      <c r="AC56" s="89">
        <v>0.67500000000000004</v>
      </c>
      <c r="AD56" s="89">
        <v>0.62</v>
      </c>
      <c r="AE56" s="89">
        <v>0.57099999999999995</v>
      </c>
    </row>
    <row r="57" spans="1:31" x14ac:dyDescent="0.25">
      <c r="A57" s="97">
        <v>50</v>
      </c>
      <c r="B57" s="89">
        <v>8.99</v>
      </c>
      <c r="C57" s="89">
        <v>8.06</v>
      </c>
      <c r="D57" s="89">
        <v>7.234</v>
      </c>
      <c r="E57" s="89">
        <v>6.5</v>
      </c>
      <c r="F57" s="89">
        <v>5.8479999999999999</v>
      </c>
      <c r="G57" s="89">
        <v>5.2679999999999998</v>
      </c>
      <c r="H57" s="89">
        <v>4.7519999999999998</v>
      </c>
      <c r="I57" s="89">
        <v>4.2930000000000001</v>
      </c>
      <c r="J57" s="89">
        <v>3.8839999999999999</v>
      </c>
      <c r="K57" s="89">
        <v>3.5190000000000001</v>
      </c>
      <c r="L57" s="89">
        <v>3.1920000000000002</v>
      </c>
      <c r="M57" s="89">
        <v>2.9</v>
      </c>
      <c r="N57" s="89">
        <v>2.6379999999999999</v>
      </c>
      <c r="O57" s="89">
        <v>2.4020000000000001</v>
      </c>
      <c r="P57" s="89">
        <v>2.19</v>
      </c>
      <c r="Q57" s="89">
        <v>1.9990000000000001</v>
      </c>
      <c r="R57" s="89">
        <v>1.8260000000000001</v>
      </c>
      <c r="S57" s="89">
        <v>1.669</v>
      </c>
      <c r="T57" s="89">
        <v>1.526</v>
      </c>
      <c r="U57" s="89">
        <v>1.3959999999999999</v>
      </c>
      <c r="V57" s="89">
        <v>1.278</v>
      </c>
      <c r="W57" s="89">
        <v>1.17</v>
      </c>
      <c r="X57" s="89">
        <v>1.0720000000000001</v>
      </c>
      <c r="Y57" s="89">
        <v>0.98299999999999998</v>
      </c>
      <c r="Z57" s="89">
        <v>0.90100000000000002</v>
      </c>
      <c r="AA57" s="89">
        <v>0.82599999999999996</v>
      </c>
      <c r="AB57" s="89">
        <v>0.75800000000000001</v>
      </c>
      <c r="AC57" s="89">
        <v>0.69599999999999995</v>
      </c>
      <c r="AD57" s="89">
        <v>0.64</v>
      </c>
      <c r="AE57" s="89">
        <v>0.58799999999999997</v>
      </c>
    </row>
    <row r="58" spans="1:31" x14ac:dyDescent="0.25">
      <c r="A58" s="97">
        <v>51</v>
      </c>
      <c r="B58" s="89">
        <v>9.75</v>
      </c>
      <c r="C58" s="89">
        <v>8.7260000000000009</v>
      </c>
      <c r="D58" s="89">
        <v>7.8159999999999998</v>
      </c>
      <c r="E58" s="89">
        <v>7.0090000000000003</v>
      </c>
      <c r="F58" s="89">
        <v>6.2919999999999998</v>
      </c>
      <c r="G58" s="89">
        <v>5.6550000000000002</v>
      </c>
      <c r="H58" s="89">
        <v>5.09</v>
      </c>
      <c r="I58" s="89">
        <v>4.5880000000000001</v>
      </c>
      <c r="J58" s="89">
        <v>4.141</v>
      </c>
      <c r="K58" s="89">
        <v>3.7440000000000002</v>
      </c>
      <c r="L58" s="89">
        <v>3.3889999999999998</v>
      </c>
      <c r="M58" s="89">
        <v>3.0720000000000001</v>
      </c>
      <c r="N58" s="89">
        <v>2.7879999999999998</v>
      </c>
      <c r="O58" s="89">
        <v>2.5339999999999998</v>
      </c>
      <c r="P58" s="89">
        <v>2.306</v>
      </c>
      <c r="Q58" s="89">
        <v>2.1</v>
      </c>
      <c r="R58" s="89">
        <v>1.915</v>
      </c>
      <c r="S58" s="89">
        <v>1.7470000000000001</v>
      </c>
      <c r="T58" s="89">
        <v>1.595</v>
      </c>
      <c r="U58" s="89">
        <v>1.4570000000000001</v>
      </c>
      <c r="V58" s="89">
        <v>1.3320000000000001</v>
      </c>
      <c r="W58" s="89">
        <v>1.2170000000000001</v>
      </c>
      <c r="X58" s="89">
        <v>1.1140000000000001</v>
      </c>
      <c r="Y58" s="89">
        <v>1.02</v>
      </c>
      <c r="Z58" s="89">
        <v>0.93400000000000005</v>
      </c>
      <c r="AA58" s="89">
        <v>0.85599999999999998</v>
      </c>
      <c r="AB58" s="89">
        <v>0.78400000000000003</v>
      </c>
      <c r="AC58" s="89">
        <v>0.71899999999999997</v>
      </c>
      <c r="AD58" s="89">
        <v>0.66</v>
      </c>
      <c r="AE58" s="89">
        <v>0.60599999999999998</v>
      </c>
    </row>
    <row r="59" spans="1:31" x14ac:dyDescent="0.25">
      <c r="A59" s="97">
        <v>52</v>
      </c>
      <c r="B59" s="89">
        <v>10.597</v>
      </c>
      <c r="C59" s="89">
        <v>9.468</v>
      </c>
      <c r="D59" s="89">
        <v>8.4649999999999999</v>
      </c>
      <c r="E59" s="89">
        <v>7.5759999999999996</v>
      </c>
      <c r="F59" s="89">
        <v>6.7869999999999999</v>
      </c>
      <c r="G59" s="89">
        <v>6.0880000000000001</v>
      </c>
      <c r="H59" s="89">
        <v>5.4669999999999996</v>
      </c>
      <c r="I59" s="89">
        <v>4.9169999999999998</v>
      </c>
      <c r="J59" s="89">
        <v>4.4279999999999999</v>
      </c>
      <c r="K59" s="89">
        <v>3.9929999999999999</v>
      </c>
      <c r="L59" s="89">
        <v>3.6070000000000002</v>
      </c>
      <c r="M59" s="89">
        <v>3.262</v>
      </c>
      <c r="N59" s="89">
        <v>2.9550000000000001</v>
      </c>
      <c r="O59" s="89">
        <v>2.68</v>
      </c>
      <c r="P59" s="89">
        <v>2.4329999999999998</v>
      </c>
      <c r="Q59" s="89">
        <v>2.2120000000000002</v>
      </c>
      <c r="R59" s="89">
        <v>2.0129999999999999</v>
      </c>
      <c r="S59" s="89">
        <v>1.833</v>
      </c>
      <c r="T59" s="89">
        <v>1.67</v>
      </c>
      <c r="U59" s="89">
        <v>1.5229999999999999</v>
      </c>
      <c r="V59" s="89">
        <v>1.39</v>
      </c>
      <c r="W59" s="89">
        <v>1.2689999999999999</v>
      </c>
      <c r="X59" s="89">
        <v>1.159</v>
      </c>
      <c r="Y59" s="89">
        <v>1.06</v>
      </c>
      <c r="Z59" s="89">
        <v>0.96899999999999997</v>
      </c>
      <c r="AA59" s="89">
        <v>0.88700000000000001</v>
      </c>
      <c r="AB59" s="89">
        <v>0.81200000000000006</v>
      </c>
      <c r="AC59" s="89">
        <v>0.74399999999999999</v>
      </c>
      <c r="AD59" s="89">
        <v>0.68200000000000005</v>
      </c>
      <c r="AE59" s="89">
        <v>0.626</v>
      </c>
    </row>
    <row r="60" spans="1:31" x14ac:dyDescent="0.25">
      <c r="A60" s="97">
        <v>53</v>
      </c>
      <c r="B60" s="89">
        <v>11.542999999999999</v>
      </c>
      <c r="C60" s="89">
        <v>10.297000000000001</v>
      </c>
      <c r="D60" s="89">
        <v>9.1910000000000007</v>
      </c>
      <c r="E60" s="89">
        <v>8.2100000000000009</v>
      </c>
      <c r="F60" s="89">
        <v>7.3410000000000002</v>
      </c>
      <c r="G60" s="89">
        <v>6.5709999999999997</v>
      </c>
      <c r="H60" s="89">
        <v>5.8879999999999999</v>
      </c>
      <c r="I60" s="89">
        <v>5.2830000000000004</v>
      </c>
      <c r="J60" s="89">
        <v>4.7469999999999999</v>
      </c>
      <c r="K60" s="89">
        <v>4.2720000000000002</v>
      </c>
      <c r="L60" s="89">
        <v>3.8490000000000002</v>
      </c>
      <c r="M60" s="89">
        <v>3.4740000000000002</v>
      </c>
      <c r="N60" s="89">
        <v>3.1389999999999998</v>
      </c>
      <c r="O60" s="89">
        <v>2.8410000000000002</v>
      </c>
      <c r="P60" s="89">
        <v>2.5739999999999998</v>
      </c>
      <c r="Q60" s="89">
        <v>2.335</v>
      </c>
      <c r="R60" s="89">
        <v>2.12</v>
      </c>
      <c r="S60" s="89">
        <v>1.927</v>
      </c>
      <c r="T60" s="89">
        <v>1.7529999999999999</v>
      </c>
      <c r="U60" s="89">
        <v>1.5960000000000001</v>
      </c>
      <c r="V60" s="89">
        <v>1.454</v>
      </c>
      <c r="W60" s="89">
        <v>1.325</v>
      </c>
      <c r="X60" s="89">
        <v>1.2090000000000001</v>
      </c>
      <c r="Y60" s="89">
        <v>1.103</v>
      </c>
      <c r="Z60" s="89">
        <v>1.008</v>
      </c>
      <c r="AA60" s="89">
        <v>0.92100000000000004</v>
      </c>
      <c r="AB60" s="89">
        <v>0.84199999999999997</v>
      </c>
      <c r="AC60" s="89">
        <v>0.77100000000000002</v>
      </c>
      <c r="AD60" s="89">
        <v>0.70599999999999996</v>
      </c>
      <c r="AE60" s="89">
        <v>0.64700000000000002</v>
      </c>
    </row>
    <row r="61" spans="1:31" x14ac:dyDescent="0.25">
      <c r="A61" s="97">
        <v>54</v>
      </c>
      <c r="B61" s="89">
        <v>12.599</v>
      </c>
      <c r="C61" s="89">
        <v>11.224</v>
      </c>
      <c r="D61" s="89">
        <v>10.002000000000001</v>
      </c>
      <c r="E61" s="89">
        <v>8.9190000000000005</v>
      </c>
      <c r="F61" s="89">
        <v>7.96</v>
      </c>
      <c r="G61" s="89">
        <v>7.11</v>
      </c>
      <c r="H61" s="89">
        <v>6.3579999999999997</v>
      </c>
      <c r="I61" s="89">
        <v>5.6929999999999996</v>
      </c>
      <c r="J61" s="89">
        <v>5.1029999999999998</v>
      </c>
      <c r="K61" s="89">
        <v>4.5819999999999999</v>
      </c>
      <c r="L61" s="89">
        <v>4.1189999999999998</v>
      </c>
      <c r="M61" s="89">
        <v>3.7090000000000001</v>
      </c>
      <c r="N61" s="89">
        <v>3.3439999999999999</v>
      </c>
      <c r="O61" s="89">
        <v>3.0190000000000001</v>
      </c>
      <c r="P61" s="89">
        <v>2.7290000000000001</v>
      </c>
      <c r="Q61" s="89">
        <v>2.4710000000000001</v>
      </c>
      <c r="R61" s="89">
        <v>2.2389999999999999</v>
      </c>
      <c r="S61" s="89">
        <v>2.0310000000000001</v>
      </c>
      <c r="T61" s="89">
        <v>1.8440000000000001</v>
      </c>
      <c r="U61" s="89">
        <v>1.6759999999999999</v>
      </c>
      <c r="V61" s="89">
        <v>1.524</v>
      </c>
      <c r="W61" s="89">
        <v>1.3859999999999999</v>
      </c>
      <c r="X61" s="89">
        <v>1.2629999999999999</v>
      </c>
      <c r="Y61" s="89">
        <v>1.151</v>
      </c>
      <c r="Z61" s="89">
        <v>1.05</v>
      </c>
      <c r="AA61" s="89">
        <v>0.95799999999999996</v>
      </c>
      <c r="AB61" s="89">
        <v>0.875</v>
      </c>
      <c r="AC61" s="89">
        <v>0.8</v>
      </c>
      <c r="AD61" s="89">
        <v>0.73199999999999998</v>
      </c>
      <c r="AE61" s="89">
        <v>0.67</v>
      </c>
    </row>
    <row r="62" spans="1:31" x14ac:dyDescent="0.25">
      <c r="A62" s="97">
        <v>55</v>
      </c>
      <c r="B62" s="89">
        <v>13.778</v>
      </c>
      <c r="C62" s="89">
        <v>12.259</v>
      </c>
      <c r="D62" s="89">
        <v>10.91</v>
      </c>
      <c r="E62" s="89">
        <v>9.7129999999999992</v>
      </c>
      <c r="F62" s="89">
        <v>8.6530000000000005</v>
      </c>
      <c r="G62" s="89">
        <v>7.7149999999999999</v>
      </c>
      <c r="H62" s="89">
        <v>6.8849999999999998</v>
      </c>
      <c r="I62" s="89">
        <v>6.1509999999999998</v>
      </c>
      <c r="J62" s="89">
        <v>5.5019999999999998</v>
      </c>
      <c r="K62" s="89">
        <v>4.9279999999999999</v>
      </c>
      <c r="L62" s="89">
        <v>4.4210000000000003</v>
      </c>
      <c r="M62" s="89">
        <v>3.9710000000000001</v>
      </c>
      <c r="N62" s="89">
        <v>3.5720000000000001</v>
      </c>
      <c r="O62" s="89">
        <v>3.218</v>
      </c>
      <c r="P62" s="89">
        <v>2.9020000000000001</v>
      </c>
      <c r="Q62" s="89">
        <v>2.6219999999999999</v>
      </c>
      <c r="R62" s="89">
        <v>2.371</v>
      </c>
      <c r="S62" s="89">
        <v>2.1459999999999999</v>
      </c>
      <c r="T62" s="89">
        <v>1.944</v>
      </c>
      <c r="U62" s="89">
        <v>1.764</v>
      </c>
      <c r="V62" s="89">
        <v>1.601</v>
      </c>
      <c r="W62" s="89">
        <v>1.454</v>
      </c>
      <c r="X62" s="89">
        <v>1.3220000000000001</v>
      </c>
      <c r="Y62" s="89">
        <v>1.2030000000000001</v>
      </c>
      <c r="Z62" s="89">
        <v>1.095</v>
      </c>
      <c r="AA62" s="89">
        <v>0.998</v>
      </c>
      <c r="AB62" s="89">
        <v>0.91100000000000003</v>
      </c>
      <c r="AC62" s="89">
        <v>0.83099999999999996</v>
      </c>
      <c r="AD62" s="89">
        <v>0.76</v>
      </c>
      <c r="AE62" s="89">
        <v>0.69499999999999995</v>
      </c>
    </row>
    <row r="63" spans="1:31" x14ac:dyDescent="0.25">
      <c r="A63" s="97">
        <v>56</v>
      </c>
      <c r="B63" s="89">
        <v>15.097</v>
      </c>
      <c r="C63" s="89">
        <v>13.417999999999999</v>
      </c>
      <c r="D63" s="89">
        <v>11.926</v>
      </c>
      <c r="E63" s="89">
        <v>10.602</v>
      </c>
      <c r="F63" s="89">
        <v>9.43</v>
      </c>
      <c r="G63" s="89">
        <v>8.3919999999999995</v>
      </c>
      <c r="H63" s="89">
        <v>7.4749999999999996</v>
      </c>
      <c r="I63" s="89">
        <v>6.6639999999999997</v>
      </c>
      <c r="J63" s="89">
        <v>5.9480000000000004</v>
      </c>
      <c r="K63" s="89">
        <v>5.3159999999999998</v>
      </c>
      <c r="L63" s="89">
        <v>4.758</v>
      </c>
      <c r="M63" s="89">
        <v>4.2640000000000002</v>
      </c>
      <c r="N63" s="89">
        <v>3.8260000000000001</v>
      </c>
      <c r="O63" s="89">
        <v>3.4390000000000001</v>
      </c>
      <c r="P63" s="89">
        <v>3.0950000000000002</v>
      </c>
      <c r="Q63" s="89">
        <v>2.7890000000000001</v>
      </c>
      <c r="R63" s="89">
        <v>2.5169999999999999</v>
      </c>
      <c r="S63" s="89">
        <v>2.2730000000000001</v>
      </c>
      <c r="T63" s="89">
        <v>2.0550000000000002</v>
      </c>
      <c r="U63" s="89">
        <v>1.86</v>
      </c>
      <c r="V63" s="89">
        <v>1.6850000000000001</v>
      </c>
      <c r="W63" s="89">
        <v>1.5269999999999999</v>
      </c>
      <c r="X63" s="89">
        <v>1.3859999999999999</v>
      </c>
      <c r="Y63" s="89">
        <v>1.26</v>
      </c>
      <c r="Z63" s="89">
        <v>1.145</v>
      </c>
      <c r="AA63" s="89">
        <v>1.042</v>
      </c>
      <c r="AB63" s="89">
        <v>0.94899999999999995</v>
      </c>
      <c r="AC63" s="89">
        <v>0.86599999999999999</v>
      </c>
      <c r="AD63" s="89">
        <v>0.79</v>
      </c>
      <c r="AE63" s="89">
        <v>0.72199999999999998</v>
      </c>
    </row>
    <row r="64" spans="1:31" x14ac:dyDescent="0.25">
      <c r="A64" s="97">
        <v>57</v>
      </c>
      <c r="B64" s="89">
        <v>16.571000000000002</v>
      </c>
      <c r="C64" s="89">
        <v>14.715</v>
      </c>
      <c r="D64" s="89">
        <v>13.064</v>
      </c>
      <c r="E64" s="89">
        <v>11.599</v>
      </c>
      <c r="F64" s="89">
        <v>10.3</v>
      </c>
      <c r="G64" s="89">
        <v>9.1519999999999992</v>
      </c>
      <c r="H64" s="89">
        <v>8.1359999999999992</v>
      </c>
      <c r="I64" s="89">
        <v>7.24</v>
      </c>
      <c r="J64" s="89">
        <v>6.4489999999999998</v>
      </c>
      <c r="K64" s="89">
        <v>5.7510000000000003</v>
      </c>
      <c r="L64" s="89">
        <v>5.1349999999999998</v>
      </c>
      <c r="M64" s="89">
        <v>4.5919999999999996</v>
      </c>
      <c r="N64" s="89">
        <v>4.1109999999999998</v>
      </c>
      <c r="O64" s="89">
        <v>3.6859999999999999</v>
      </c>
      <c r="P64" s="89">
        <v>3.3090000000000002</v>
      </c>
      <c r="Q64" s="89">
        <v>2.976</v>
      </c>
      <c r="R64" s="89">
        <v>2.6789999999999998</v>
      </c>
      <c r="S64" s="89">
        <v>2.4140000000000001</v>
      </c>
      <c r="T64" s="89">
        <v>2.1779999999999999</v>
      </c>
      <c r="U64" s="89">
        <v>1.9670000000000001</v>
      </c>
      <c r="V64" s="89">
        <v>1.778</v>
      </c>
      <c r="W64" s="89">
        <v>1.609</v>
      </c>
      <c r="X64" s="89">
        <v>1.458</v>
      </c>
      <c r="Y64" s="89">
        <v>1.3220000000000001</v>
      </c>
      <c r="Z64" s="89">
        <v>1.2</v>
      </c>
      <c r="AA64" s="89">
        <v>1.0900000000000001</v>
      </c>
      <c r="AB64" s="89">
        <v>0.99199999999999999</v>
      </c>
      <c r="AC64" s="89">
        <v>0.90300000000000002</v>
      </c>
      <c r="AD64" s="89">
        <v>0.82299999999999995</v>
      </c>
      <c r="AE64" s="89">
        <v>0.751</v>
      </c>
    </row>
    <row r="65" spans="1:31" x14ac:dyDescent="0.25">
      <c r="A65" s="97">
        <v>58</v>
      </c>
      <c r="B65" s="89">
        <v>18.221</v>
      </c>
      <c r="C65" s="89">
        <v>16.167000000000002</v>
      </c>
      <c r="D65" s="89">
        <v>14.339</v>
      </c>
      <c r="E65" s="89">
        <v>12.717000000000001</v>
      </c>
      <c r="F65" s="89">
        <v>11.278</v>
      </c>
      <c r="G65" s="89">
        <v>10.005000000000001</v>
      </c>
      <c r="H65" s="89">
        <v>8.8800000000000008</v>
      </c>
      <c r="I65" s="89">
        <v>7.8869999999999996</v>
      </c>
      <c r="J65" s="89">
        <v>7.0110000000000001</v>
      </c>
      <c r="K65" s="89">
        <v>6.2389999999999999</v>
      </c>
      <c r="L65" s="89">
        <v>5.5590000000000002</v>
      </c>
      <c r="M65" s="89">
        <v>4.9589999999999996</v>
      </c>
      <c r="N65" s="89">
        <v>4.43</v>
      </c>
      <c r="O65" s="89">
        <v>3.9620000000000002</v>
      </c>
      <c r="P65" s="89">
        <v>3.5489999999999999</v>
      </c>
      <c r="Q65" s="89">
        <v>3.1840000000000002</v>
      </c>
      <c r="R65" s="89">
        <v>2.859</v>
      </c>
      <c r="S65" s="89">
        <v>2.5710000000000002</v>
      </c>
      <c r="T65" s="89">
        <v>2.3140000000000001</v>
      </c>
      <c r="U65" s="89">
        <v>2.0859999999999999</v>
      </c>
      <c r="V65" s="89">
        <v>1.8819999999999999</v>
      </c>
      <c r="W65" s="89">
        <v>1.6990000000000001</v>
      </c>
      <c r="X65" s="89">
        <v>1.536</v>
      </c>
      <c r="Y65" s="89">
        <v>1.39</v>
      </c>
      <c r="Z65" s="89">
        <v>1.26</v>
      </c>
      <c r="AA65" s="89">
        <v>1.143</v>
      </c>
      <c r="AB65" s="89">
        <v>1.038</v>
      </c>
      <c r="AC65" s="89">
        <v>0.94299999999999995</v>
      </c>
      <c r="AD65" s="89">
        <v>0.85899999999999999</v>
      </c>
      <c r="AE65" s="89">
        <v>0.78300000000000003</v>
      </c>
    </row>
    <row r="66" spans="1:31" x14ac:dyDescent="0.25">
      <c r="A66" s="97">
        <v>59</v>
      </c>
      <c r="B66" s="89">
        <v>20.065999999999999</v>
      </c>
      <c r="C66" s="89">
        <v>17.794</v>
      </c>
      <c r="D66" s="89">
        <v>15.77</v>
      </c>
      <c r="E66" s="89">
        <v>13.971</v>
      </c>
      <c r="F66" s="89">
        <v>12.375999999999999</v>
      </c>
      <c r="G66" s="89">
        <v>10.962999999999999</v>
      </c>
      <c r="H66" s="89">
        <v>9.7149999999999999</v>
      </c>
      <c r="I66" s="89">
        <v>8.6140000000000008</v>
      </c>
      <c r="J66" s="89">
        <v>7.6429999999999998</v>
      </c>
      <c r="K66" s="89">
        <v>6.7880000000000003</v>
      </c>
      <c r="L66" s="89">
        <v>6.0350000000000001</v>
      </c>
      <c r="M66" s="89">
        <v>5.3719999999999999</v>
      </c>
      <c r="N66" s="89">
        <v>4.7880000000000003</v>
      </c>
      <c r="O66" s="89">
        <v>4.2720000000000002</v>
      </c>
      <c r="P66" s="89">
        <v>3.8180000000000001</v>
      </c>
      <c r="Q66" s="89">
        <v>3.4169999999999998</v>
      </c>
      <c r="R66" s="89">
        <v>3.0609999999999999</v>
      </c>
      <c r="S66" s="89">
        <v>2.746</v>
      </c>
      <c r="T66" s="89">
        <v>2.4660000000000002</v>
      </c>
      <c r="U66" s="89">
        <v>2.218</v>
      </c>
      <c r="V66" s="89">
        <v>1.996</v>
      </c>
      <c r="W66" s="89">
        <v>1.798</v>
      </c>
      <c r="X66" s="89">
        <v>1.623</v>
      </c>
      <c r="Y66" s="89">
        <v>1.466</v>
      </c>
      <c r="Z66" s="89">
        <v>1.3260000000000001</v>
      </c>
      <c r="AA66" s="89">
        <v>1.2</v>
      </c>
      <c r="AB66" s="89">
        <v>1.0880000000000001</v>
      </c>
      <c r="AC66" s="89">
        <v>0.98799999999999999</v>
      </c>
      <c r="AD66" s="89">
        <v>0.89800000000000002</v>
      </c>
      <c r="AE66" s="89">
        <v>0.81699999999999995</v>
      </c>
    </row>
    <row r="67" spans="1:31" x14ac:dyDescent="0.25">
      <c r="A67" s="97">
        <v>60</v>
      </c>
      <c r="B67" s="89">
        <v>22.132999999999999</v>
      </c>
      <c r="C67" s="89">
        <v>19.617999999999999</v>
      </c>
      <c r="D67" s="89">
        <v>17.375</v>
      </c>
      <c r="E67" s="89">
        <v>15.38</v>
      </c>
      <c r="F67" s="89">
        <v>13.609</v>
      </c>
      <c r="G67" s="89">
        <v>12.042</v>
      </c>
      <c r="H67" s="89">
        <v>10.656000000000001</v>
      </c>
      <c r="I67" s="89">
        <v>9.4329999999999998</v>
      </c>
      <c r="J67" s="89">
        <v>8.3550000000000004</v>
      </c>
      <c r="K67" s="89">
        <v>7.4059999999999997</v>
      </c>
      <c r="L67" s="89">
        <v>6.5709999999999997</v>
      </c>
      <c r="M67" s="89">
        <v>5.8369999999999997</v>
      </c>
      <c r="N67" s="89">
        <v>5.19</v>
      </c>
      <c r="O67" s="89">
        <v>4.6210000000000004</v>
      </c>
      <c r="P67" s="89">
        <v>4.12</v>
      </c>
      <c r="Q67" s="89">
        <v>3.6779999999999999</v>
      </c>
      <c r="R67" s="89">
        <v>3.2869999999999999</v>
      </c>
      <c r="S67" s="89">
        <v>2.9420000000000002</v>
      </c>
      <c r="T67" s="89">
        <v>2.6360000000000001</v>
      </c>
      <c r="U67" s="89">
        <v>2.3639999999999999</v>
      </c>
      <c r="V67" s="89">
        <v>2.1230000000000002</v>
      </c>
      <c r="W67" s="89">
        <v>1.9079999999999999</v>
      </c>
      <c r="X67" s="89">
        <v>1.718</v>
      </c>
      <c r="Y67" s="89">
        <v>1.5489999999999999</v>
      </c>
      <c r="Z67" s="89">
        <v>1.399</v>
      </c>
      <c r="AA67" s="89">
        <v>1.264</v>
      </c>
      <c r="AB67" s="89">
        <v>1.1439999999999999</v>
      </c>
      <c r="AC67" s="89">
        <v>1.036</v>
      </c>
      <c r="AD67" s="89">
        <v>0.94</v>
      </c>
      <c r="AE67" s="89">
        <v>0.85499999999999998</v>
      </c>
    </row>
    <row r="68" spans="1:31" x14ac:dyDescent="0.25">
      <c r="A68" s="97">
        <v>61</v>
      </c>
      <c r="B68" s="89">
        <v>24.449000000000002</v>
      </c>
      <c r="C68" s="89">
        <v>21.664000000000001</v>
      </c>
      <c r="D68" s="89">
        <v>19.177</v>
      </c>
      <c r="E68" s="89">
        <v>16.963000000000001</v>
      </c>
      <c r="F68" s="89">
        <v>14.997</v>
      </c>
      <c r="G68" s="89">
        <v>13.255000000000001</v>
      </c>
      <c r="H68" s="89">
        <v>11.715</v>
      </c>
      <c r="I68" s="89">
        <v>10.355</v>
      </c>
      <c r="J68" s="89">
        <v>9.157</v>
      </c>
      <c r="K68" s="89">
        <v>8.1029999999999998</v>
      </c>
      <c r="L68" s="89">
        <v>7.1749999999999998</v>
      </c>
      <c r="M68" s="89">
        <v>6.36</v>
      </c>
      <c r="N68" s="89">
        <v>5.6429999999999998</v>
      </c>
      <c r="O68" s="89">
        <v>5.0129999999999999</v>
      </c>
      <c r="P68" s="89">
        <v>4.4589999999999996</v>
      </c>
      <c r="Q68" s="89">
        <v>3.9710000000000001</v>
      </c>
      <c r="R68" s="89">
        <v>3.5409999999999999</v>
      </c>
      <c r="S68" s="89">
        <v>3.161</v>
      </c>
      <c r="T68" s="89">
        <v>2.8250000000000002</v>
      </c>
      <c r="U68" s="89">
        <v>2.5289999999999999</v>
      </c>
      <c r="V68" s="89">
        <v>2.2650000000000001</v>
      </c>
      <c r="W68" s="89">
        <v>2.0310000000000001</v>
      </c>
      <c r="X68" s="89">
        <v>1.825</v>
      </c>
      <c r="Y68" s="89">
        <v>1.6419999999999999</v>
      </c>
      <c r="Z68" s="89">
        <v>1.4790000000000001</v>
      </c>
      <c r="AA68" s="89">
        <v>1.3340000000000001</v>
      </c>
      <c r="AB68" s="89">
        <v>1.2050000000000001</v>
      </c>
      <c r="AC68" s="89">
        <v>1.0900000000000001</v>
      </c>
      <c r="AD68" s="89">
        <v>0.98699999999999999</v>
      </c>
      <c r="AE68" s="89">
        <v>0.89600000000000002</v>
      </c>
    </row>
    <row r="69" spans="1:31" x14ac:dyDescent="0.25">
      <c r="A69" s="97">
        <v>62</v>
      </c>
      <c r="B69" s="89">
        <v>27.045999999999999</v>
      </c>
      <c r="C69" s="89">
        <v>23.96</v>
      </c>
      <c r="D69" s="89">
        <v>21.201000000000001</v>
      </c>
      <c r="E69" s="89">
        <v>18.744</v>
      </c>
      <c r="F69" s="89">
        <v>16.559000000000001</v>
      </c>
      <c r="G69" s="89">
        <v>14.622</v>
      </c>
      <c r="H69" s="89">
        <v>12.907999999999999</v>
      </c>
      <c r="I69" s="89">
        <v>11.395</v>
      </c>
      <c r="J69" s="89">
        <v>10.061999999999999</v>
      </c>
      <c r="K69" s="89">
        <v>8.8889999999999993</v>
      </c>
      <c r="L69" s="89">
        <v>7.8570000000000002</v>
      </c>
      <c r="M69" s="89">
        <v>6.9509999999999996</v>
      </c>
      <c r="N69" s="89">
        <v>6.1550000000000002</v>
      </c>
      <c r="O69" s="89">
        <v>5.4550000000000001</v>
      </c>
      <c r="P69" s="89">
        <v>4.8410000000000002</v>
      </c>
      <c r="Q69" s="89">
        <v>4.3010000000000002</v>
      </c>
      <c r="R69" s="89">
        <v>3.8260000000000001</v>
      </c>
      <c r="S69" s="89">
        <v>3.407</v>
      </c>
      <c r="T69" s="89">
        <v>3.0379999999999998</v>
      </c>
      <c r="U69" s="89">
        <v>2.7120000000000002</v>
      </c>
      <c r="V69" s="89">
        <v>2.4239999999999999</v>
      </c>
      <c r="W69" s="89">
        <v>2.1680000000000001</v>
      </c>
      <c r="X69" s="89">
        <v>1.944</v>
      </c>
      <c r="Y69" s="89">
        <v>1.7450000000000001</v>
      </c>
      <c r="Z69" s="89">
        <v>1.5680000000000001</v>
      </c>
      <c r="AA69" s="89">
        <v>1.4119999999999999</v>
      </c>
      <c r="AB69" s="89">
        <v>1.2729999999999999</v>
      </c>
      <c r="AC69" s="89">
        <v>1.149</v>
      </c>
      <c r="AD69" s="89">
        <v>1.0389999999999999</v>
      </c>
      <c r="AE69" s="89">
        <v>0.94099999999999995</v>
      </c>
    </row>
    <row r="70" spans="1:31" x14ac:dyDescent="0.25">
      <c r="A70" s="97">
        <v>63</v>
      </c>
      <c r="B70" s="89">
        <v>29.957999999999998</v>
      </c>
      <c r="C70" s="89">
        <v>26.539000000000001</v>
      </c>
      <c r="D70" s="89">
        <v>23.477</v>
      </c>
      <c r="E70" s="89">
        <v>20.748000000000001</v>
      </c>
      <c r="F70" s="89">
        <v>18.318000000000001</v>
      </c>
      <c r="G70" s="89">
        <v>16.163</v>
      </c>
      <c r="H70" s="89">
        <v>14.255000000000001</v>
      </c>
      <c r="I70" s="89">
        <v>12.569000000000001</v>
      </c>
      <c r="J70" s="89">
        <v>11.083</v>
      </c>
      <c r="K70" s="89">
        <v>9.7769999999999992</v>
      </c>
      <c r="L70" s="89">
        <v>8.6280000000000001</v>
      </c>
      <c r="M70" s="89">
        <v>7.6180000000000003</v>
      </c>
      <c r="N70" s="89">
        <v>6.7320000000000002</v>
      </c>
      <c r="O70" s="89">
        <v>5.9550000000000001</v>
      </c>
      <c r="P70" s="89">
        <v>5.2720000000000002</v>
      </c>
      <c r="Q70" s="89">
        <v>4.6740000000000004</v>
      </c>
      <c r="R70" s="89">
        <v>4.1479999999999997</v>
      </c>
      <c r="S70" s="89">
        <v>3.6850000000000001</v>
      </c>
      <c r="T70" s="89">
        <v>3.2770000000000001</v>
      </c>
      <c r="U70" s="89">
        <v>2.919</v>
      </c>
      <c r="V70" s="89">
        <v>2.6019999999999999</v>
      </c>
      <c r="W70" s="89">
        <v>2.3220000000000001</v>
      </c>
      <c r="X70" s="89">
        <v>2.0760000000000001</v>
      </c>
      <c r="Y70" s="89">
        <v>1.859</v>
      </c>
      <c r="Z70" s="89">
        <v>1.6679999999999999</v>
      </c>
      <c r="AA70" s="89">
        <v>1.498</v>
      </c>
      <c r="AB70" s="89">
        <v>1.347</v>
      </c>
      <c r="AC70" s="89">
        <v>1.214</v>
      </c>
      <c r="AD70" s="89">
        <v>1.0960000000000001</v>
      </c>
      <c r="AE70" s="89">
        <v>0.99099999999999999</v>
      </c>
    </row>
    <row r="71" spans="1:31" x14ac:dyDescent="0.25">
      <c r="A71" s="97">
        <v>64</v>
      </c>
      <c r="B71" s="89">
        <v>33.228000000000002</v>
      </c>
      <c r="C71" s="89">
        <v>29.437000000000001</v>
      </c>
      <c r="D71" s="89">
        <v>26.038</v>
      </c>
      <c r="E71" s="89">
        <v>23.004000000000001</v>
      </c>
      <c r="F71" s="89">
        <v>20.302</v>
      </c>
      <c r="G71" s="89">
        <v>17.901</v>
      </c>
      <c r="H71" s="89">
        <v>15.775</v>
      </c>
      <c r="I71" s="89">
        <v>13.896000000000001</v>
      </c>
      <c r="J71" s="89">
        <v>12.239000000000001</v>
      </c>
      <c r="K71" s="89">
        <v>10.781000000000001</v>
      </c>
      <c r="L71" s="89">
        <v>9.4990000000000006</v>
      </c>
      <c r="M71" s="89">
        <v>8.3740000000000006</v>
      </c>
      <c r="N71" s="89">
        <v>7.3860000000000001</v>
      </c>
      <c r="O71" s="89">
        <v>6.52</v>
      </c>
      <c r="P71" s="89">
        <v>5.76</v>
      </c>
      <c r="Q71" s="89">
        <v>5.0949999999999998</v>
      </c>
      <c r="R71" s="89">
        <v>4.5110000000000001</v>
      </c>
      <c r="S71" s="89">
        <v>3.9980000000000002</v>
      </c>
      <c r="T71" s="89">
        <v>3.5470000000000002</v>
      </c>
      <c r="U71" s="89">
        <v>3.1509999999999998</v>
      </c>
      <c r="V71" s="89">
        <v>2.802</v>
      </c>
      <c r="W71" s="89">
        <v>2.4940000000000002</v>
      </c>
      <c r="X71" s="89">
        <v>2.2250000000000001</v>
      </c>
      <c r="Y71" s="89">
        <v>1.988</v>
      </c>
      <c r="Z71" s="89">
        <v>1.778</v>
      </c>
      <c r="AA71" s="89">
        <v>1.5940000000000001</v>
      </c>
      <c r="AB71" s="89">
        <v>1.431</v>
      </c>
      <c r="AC71" s="89">
        <v>1.286</v>
      </c>
      <c r="AD71" s="89">
        <v>1.159</v>
      </c>
      <c r="AE71" s="89">
        <v>1.046</v>
      </c>
    </row>
    <row r="72" spans="1:31" x14ac:dyDescent="0.25">
      <c r="A72" s="97">
        <v>65</v>
      </c>
      <c r="B72" s="89">
        <v>36.904000000000003</v>
      </c>
      <c r="C72" s="89">
        <v>32.698</v>
      </c>
      <c r="D72" s="89">
        <v>28.922999999999998</v>
      </c>
      <c r="E72" s="89">
        <v>25.548999999999999</v>
      </c>
      <c r="F72" s="89">
        <v>22.54</v>
      </c>
      <c r="G72" s="89">
        <v>19.864999999999998</v>
      </c>
      <c r="H72" s="89">
        <v>17.494</v>
      </c>
      <c r="I72" s="89">
        <v>15.397</v>
      </c>
      <c r="J72" s="89">
        <v>13.545999999999999</v>
      </c>
      <c r="K72" s="89">
        <v>11.917999999999999</v>
      </c>
      <c r="L72" s="89">
        <v>10.487</v>
      </c>
      <c r="M72" s="89">
        <v>9.23</v>
      </c>
      <c r="N72" s="89">
        <v>8.1270000000000007</v>
      </c>
      <c r="O72" s="89">
        <v>7.16</v>
      </c>
      <c r="P72" s="89">
        <v>6.3129999999999997</v>
      </c>
      <c r="Q72" s="89">
        <v>5.5720000000000001</v>
      </c>
      <c r="R72" s="89">
        <v>4.9219999999999997</v>
      </c>
      <c r="S72" s="89">
        <v>4.3520000000000003</v>
      </c>
      <c r="T72" s="89">
        <v>3.851</v>
      </c>
      <c r="U72" s="89">
        <v>3.4129999999999998</v>
      </c>
      <c r="V72" s="89">
        <v>3.0270000000000001</v>
      </c>
      <c r="W72" s="89">
        <v>2.6869999999999998</v>
      </c>
      <c r="X72" s="89">
        <v>2.391</v>
      </c>
      <c r="Y72" s="89">
        <v>2.1309999999999998</v>
      </c>
      <c r="Z72" s="89">
        <v>1.9019999999999999</v>
      </c>
      <c r="AA72" s="89">
        <v>1.7010000000000001</v>
      </c>
      <c r="AB72" s="89">
        <v>1.5229999999999999</v>
      </c>
      <c r="AC72" s="89">
        <v>1.367</v>
      </c>
      <c r="AD72" s="89">
        <v>1.2290000000000001</v>
      </c>
      <c r="AE72" s="89">
        <v>1.107</v>
      </c>
    </row>
    <row r="73" spans="1:31" x14ac:dyDescent="0.25">
      <c r="A73" s="97">
        <v>66</v>
      </c>
      <c r="B73" s="89">
        <v>41.042999999999999</v>
      </c>
      <c r="C73" s="89">
        <v>36.372999999999998</v>
      </c>
      <c r="D73" s="89">
        <v>32.177</v>
      </c>
      <c r="E73" s="89">
        <v>28.422000000000001</v>
      </c>
      <c r="F73" s="89">
        <v>25.068999999999999</v>
      </c>
      <c r="G73" s="89">
        <v>22.087</v>
      </c>
      <c r="H73" s="89">
        <v>19.439</v>
      </c>
      <c r="I73" s="89">
        <v>17.097000000000001</v>
      </c>
      <c r="J73" s="89">
        <v>15.029</v>
      </c>
      <c r="K73" s="89">
        <v>13.209</v>
      </c>
      <c r="L73" s="89">
        <v>11.608000000000001</v>
      </c>
      <c r="M73" s="89">
        <v>10.202</v>
      </c>
      <c r="N73" s="89">
        <v>8.9689999999999994</v>
      </c>
      <c r="O73" s="89">
        <v>7.8879999999999999</v>
      </c>
      <c r="P73" s="89">
        <v>6.9409999999999998</v>
      </c>
      <c r="Q73" s="89">
        <v>6.1139999999999999</v>
      </c>
      <c r="R73" s="89">
        <v>5.3890000000000002</v>
      </c>
      <c r="S73" s="89">
        <v>4.7530000000000001</v>
      </c>
      <c r="T73" s="89">
        <v>4.1959999999999997</v>
      </c>
      <c r="U73" s="89">
        <v>3.7090000000000001</v>
      </c>
      <c r="V73" s="89">
        <v>3.282</v>
      </c>
      <c r="W73" s="89">
        <v>2.9060000000000001</v>
      </c>
      <c r="X73" s="89">
        <v>2.5790000000000002</v>
      </c>
      <c r="Y73" s="89">
        <v>2.2930000000000001</v>
      </c>
      <c r="Z73" s="89">
        <v>2.0409999999999999</v>
      </c>
      <c r="AA73" s="89">
        <v>1.821</v>
      </c>
      <c r="AB73" s="89">
        <v>1.627</v>
      </c>
      <c r="AC73" s="89">
        <v>1.456</v>
      </c>
      <c r="AD73" s="89">
        <v>1.306</v>
      </c>
      <c r="AE73" s="89">
        <v>1.175</v>
      </c>
    </row>
    <row r="74" spans="1:31" x14ac:dyDescent="0.25">
      <c r="A74" s="97">
        <v>67</v>
      </c>
      <c r="B74" s="89">
        <v>45.710999999999999</v>
      </c>
      <c r="C74" s="89">
        <v>40.521999999999998</v>
      </c>
      <c r="D74" s="89">
        <v>35.853000000000002</v>
      </c>
      <c r="E74" s="89">
        <v>31.67</v>
      </c>
      <c r="F74" s="89">
        <v>27.931999999999999</v>
      </c>
      <c r="G74" s="89">
        <v>24.603000000000002</v>
      </c>
      <c r="H74" s="89">
        <v>21.645</v>
      </c>
      <c r="I74" s="89">
        <v>19.026</v>
      </c>
      <c r="J74" s="89">
        <v>16.713000000000001</v>
      </c>
      <c r="K74" s="89">
        <v>14.675000000000001</v>
      </c>
      <c r="L74" s="89">
        <v>12.882</v>
      </c>
      <c r="M74" s="89">
        <v>11.307</v>
      </c>
      <c r="N74" s="89">
        <v>9.9260000000000002</v>
      </c>
      <c r="O74" s="89">
        <v>8.7159999999999993</v>
      </c>
      <c r="P74" s="89">
        <v>7.6559999999999997</v>
      </c>
      <c r="Q74" s="89">
        <v>6.73</v>
      </c>
      <c r="R74" s="89">
        <v>5.92</v>
      </c>
      <c r="S74" s="89">
        <v>5.2089999999999996</v>
      </c>
      <c r="T74" s="89">
        <v>4.5880000000000001</v>
      </c>
      <c r="U74" s="89">
        <v>4.0449999999999999</v>
      </c>
      <c r="V74" s="89">
        <v>3.57</v>
      </c>
      <c r="W74" s="89">
        <v>3.153</v>
      </c>
      <c r="X74" s="89">
        <v>2.7909999999999999</v>
      </c>
      <c r="Y74" s="89">
        <v>2.4750000000000001</v>
      </c>
      <c r="Z74" s="89">
        <v>2.198</v>
      </c>
      <c r="AA74" s="89">
        <v>1.9550000000000001</v>
      </c>
      <c r="AB74" s="89">
        <v>1.7430000000000001</v>
      </c>
      <c r="AC74" s="89">
        <v>1.5569999999999999</v>
      </c>
      <c r="AD74" s="89">
        <v>1.393</v>
      </c>
      <c r="AE74" s="89">
        <v>1.25</v>
      </c>
    </row>
    <row r="75" spans="1:31" x14ac:dyDescent="0.25">
      <c r="A75" s="97">
        <v>68</v>
      </c>
      <c r="B75" s="89">
        <v>50.984000000000002</v>
      </c>
      <c r="C75" s="89">
        <v>45.212000000000003</v>
      </c>
      <c r="D75" s="89">
        <v>40.012</v>
      </c>
      <c r="E75" s="89">
        <v>35.348999999999997</v>
      </c>
      <c r="F75" s="89">
        <v>31.177</v>
      </c>
      <c r="G75" s="89">
        <v>27.457000000000001</v>
      </c>
      <c r="H75" s="89">
        <v>24.15</v>
      </c>
      <c r="I75" s="89">
        <v>21.219000000000001</v>
      </c>
      <c r="J75" s="89">
        <v>18.626999999999999</v>
      </c>
      <c r="K75" s="89">
        <v>16.344000000000001</v>
      </c>
      <c r="L75" s="89">
        <v>14.334</v>
      </c>
      <c r="M75" s="89">
        <v>12.567</v>
      </c>
      <c r="N75" s="89">
        <v>11.016999999999999</v>
      </c>
      <c r="O75" s="89">
        <v>9.6590000000000007</v>
      </c>
      <c r="P75" s="89">
        <v>8.4710000000000001</v>
      </c>
      <c r="Q75" s="89">
        <v>7.4329999999999998</v>
      </c>
      <c r="R75" s="89">
        <v>6.5250000000000004</v>
      </c>
      <c r="S75" s="89">
        <v>5.7290000000000001</v>
      </c>
      <c r="T75" s="89">
        <v>5.0350000000000001</v>
      </c>
      <c r="U75" s="89">
        <v>4.4279999999999999</v>
      </c>
      <c r="V75" s="89">
        <v>3.8980000000000001</v>
      </c>
      <c r="W75" s="89">
        <v>3.4340000000000002</v>
      </c>
      <c r="X75" s="89">
        <v>3.032</v>
      </c>
      <c r="Y75" s="89">
        <v>2.681</v>
      </c>
      <c r="Z75" s="89">
        <v>2.375</v>
      </c>
      <c r="AA75" s="89">
        <v>2.1070000000000002</v>
      </c>
      <c r="AB75" s="89">
        <v>1.8740000000000001</v>
      </c>
      <c r="AC75" s="89">
        <v>1.669</v>
      </c>
      <c r="AD75" s="89">
        <v>1.4910000000000001</v>
      </c>
      <c r="AE75" s="89">
        <v>1.3340000000000001</v>
      </c>
    </row>
    <row r="76" spans="1:31" x14ac:dyDescent="0.25">
      <c r="A76" s="97">
        <v>69</v>
      </c>
      <c r="B76" s="89">
        <v>56.954999999999998</v>
      </c>
      <c r="C76" s="89">
        <v>50.527000000000001</v>
      </c>
      <c r="D76" s="89">
        <v>44.728999999999999</v>
      </c>
      <c r="E76" s="89">
        <v>39.524000000000001</v>
      </c>
      <c r="F76" s="89">
        <v>34.862000000000002</v>
      </c>
      <c r="G76" s="89">
        <v>30.702000000000002</v>
      </c>
      <c r="H76" s="89">
        <v>26.998999999999999</v>
      </c>
      <c r="I76" s="89">
        <v>23.715</v>
      </c>
      <c r="J76" s="89">
        <v>20.808</v>
      </c>
      <c r="K76" s="89">
        <v>18.245999999999999</v>
      </c>
      <c r="L76" s="89">
        <v>15.989000000000001</v>
      </c>
      <c r="M76" s="89">
        <v>14.005000000000001</v>
      </c>
      <c r="N76" s="89">
        <v>12.263999999999999</v>
      </c>
      <c r="O76" s="89">
        <v>10.738</v>
      </c>
      <c r="P76" s="89">
        <v>9.4030000000000005</v>
      </c>
      <c r="Q76" s="89">
        <v>8.2360000000000007</v>
      </c>
      <c r="R76" s="89">
        <v>7.2160000000000002</v>
      </c>
      <c r="S76" s="89">
        <v>6.3230000000000004</v>
      </c>
      <c r="T76" s="89">
        <v>5.5449999999999999</v>
      </c>
      <c r="U76" s="89">
        <v>4.8650000000000002</v>
      </c>
      <c r="V76" s="89">
        <v>4.2720000000000002</v>
      </c>
      <c r="W76" s="89">
        <v>3.7530000000000001</v>
      </c>
      <c r="X76" s="89">
        <v>3.3050000000000002</v>
      </c>
      <c r="Y76" s="89">
        <v>2.915</v>
      </c>
      <c r="Z76" s="89">
        <v>2.5760000000000001</v>
      </c>
      <c r="AA76" s="89">
        <v>2.2789999999999999</v>
      </c>
      <c r="AB76" s="89">
        <v>2.0219999999999998</v>
      </c>
      <c r="AC76" s="89">
        <v>1.7969999999999999</v>
      </c>
      <c r="AD76" s="89">
        <v>1.6</v>
      </c>
      <c r="AE76" s="89">
        <v>1.429</v>
      </c>
    </row>
    <row r="77" spans="1:31" x14ac:dyDescent="0.25">
      <c r="A77" s="97">
        <v>70</v>
      </c>
      <c r="B77" s="89">
        <v>63.73</v>
      </c>
      <c r="C77" s="89">
        <v>56.561</v>
      </c>
      <c r="D77" s="89">
        <v>50.088000000000001</v>
      </c>
      <c r="E77" s="89">
        <v>44.271000000000001</v>
      </c>
      <c r="F77" s="89">
        <v>39.055999999999997</v>
      </c>
      <c r="G77" s="89">
        <v>34.396000000000001</v>
      </c>
      <c r="H77" s="89">
        <v>30.245999999999999</v>
      </c>
      <c r="I77" s="89">
        <v>26.561</v>
      </c>
      <c r="J77" s="89">
        <v>23.297999999999998</v>
      </c>
      <c r="K77" s="89">
        <v>20.419</v>
      </c>
      <c r="L77" s="89">
        <v>17.882000000000001</v>
      </c>
      <c r="M77" s="89">
        <v>15.65</v>
      </c>
      <c r="N77" s="89">
        <v>13.691000000000001</v>
      </c>
      <c r="O77" s="89">
        <v>11.973000000000001</v>
      </c>
      <c r="P77" s="89">
        <v>10.47</v>
      </c>
      <c r="Q77" s="89">
        <v>9.157</v>
      </c>
      <c r="R77" s="89">
        <v>8.0090000000000003</v>
      </c>
      <c r="S77" s="89">
        <v>7.0039999999999996</v>
      </c>
      <c r="T77" s="89">
        <v>6.1280000000000001</v>
      </c>
      <c r="U77" s="89">
        <v>5.3650000000000002</v>
      </c>
      <c r="V77" s="89">
        <v>4.7</v>
      </c>
      <c r="W77" s="89">
        <v>4.1180000000000003</v>
      </c>
      <c r="X77" s="89">
        <v>3.617</v>
      </c>
      <c r="Y77" s="89">
        <v>3.1819999999999999</v>
      </c>
      <c r="Z77" s="89">
        <v>2.8039999999999998</v>
      </c>
      <c r="AA77" s="89">
        <v>2.4750000000000001</v>
      </c>
      <c r="AB77" s="89">
        <v>2.1890000000000001</v>
      </c>
      <c r="AC77" s="89">
        <v>1.9410000000000001</v>
      </c>
      <c r="AD77" s="89">
        <v>1.724</v>
      </c>
      <c r="AE77" s="89">
        <v>1.536</v>
      </c>
    </row>
    <row r="78" spans="1:31" x14ac:dyDescent="0.25">
      <c r="A78" s="97">
        <v>71</v>
      </c>
      <c r="B78" s="89">
        <v>71.421999999999997</v>
      </c>
      <c r="C78" s="89">
        <v>63.417000000000002</v>
      </c>
      <c r="D78" s="89">
        <v>56.18</v>
      </c>
      <c r="E78" s="89">
        <v>49.670999999999999</v>
      </c>
      <c r="F78" s="89">
        <v>43.828000000000003</v>
      </c>
      <c r="G78" s="89">
        <v>38.603999999999999</v>
      </c>
      <c r="H78" s="89">
        <v>33.945999999999998</v>
      </c>
      <c r="I78" s="89">
        <v>29.806999999999999</v>
      </c>
      <c r="J78" s="89">
        <v>26.138999999999999</v>
      </c>
      <c r="K78" s="89">
        <v>22.901</v>
      </c>
      <c r="L78" s="89">
        <v>20.045000000000002</v>
      </c>
      <c r="M78" s="89">
        <v>17.530999999999999</v>
      </c>
      <c r="N78" s="89">
        <v>15.324</v>
      </c>
      <c r="O78" s="89">
        <v>13.387</v>
      </c>
      <c r="P78" s="89">
        <v>11.692</v>
      </c>
      <c r="Q78" s="89">
        <v>10.212</v>
      </c>
      <c r="R78" s="89">
        <v>8.9169999999999998</v>
      </c>
      <c r="S78" s="89">
        <v>7.7839999999999998</v>
      </c>
      <c r="T78" s="89">
        <v>6.7969999999999997</v>
      </c>
      <c r="U78" s="89">
        <v>5.9379999999999997</v>
      </c>
      <c r="V78" s="89">
        <v>5.19</v>
      </c>
      <c r="W78" s="89">
        <v>4.5359999999999996</v>
      </c>
      <c r="X78" s="89">
        <v>3.9740000000000002</v>
      </c>
      <c r="Y78" s="89">
        <v>3.4860000000000002</v>
      </c>
      <c r="Z78" s="89">
        <v>3.0640000000000001</v>
      </c>
      <c r="AA78" s="89">
        <v>2.6970000000000001</v>
      </c>
      <c r="AB78" s="89">
        <v>2.379</v>
      </c>
      <c r="AC78" s="89">
        <v>2.1040000000000001</v>
      </c>
      <c r="AD78" s="89">
        <v>1.8640000000000001</v>
      </c>
      <c r="AE78" s="89">
        <v>1.657</v>
      </c>
    </row>
    <row r="79" spans="1:31" x14ac:dyDescent="0.25">
      <c r="A79" s="97">
        <v>72</v>
      </c>
      <c r="B79" s="89">
        <v>80.171000000000006</v>
      </c>
      <c r="C79" s="89">
        <v>71.218000000000004</v>
      </c>
      <c r="D79" s="89">
        <v>63.115000000000002</v>
      </c>
      <c r="E79" s="89">
        <v>55.820999999999998</v>
      </c>
      <c r="F79" s="89">
        <v>49.268000000000001</v>
      </c>
      <c r="G79" s="89">
        <v>43.402999999999999</v>
      </c>
      <c r="H79" s="89">
        <v>38.167999999999999</v>
      </c>
      <c r="I79" s="89">
        <v>33.514000000000003</v>
      </c>
      <c r="J79" s="89">
        <v>29.385999999999999</v>
      </c>
      <c r="K79" s="89">
        <v>25.74</v>
      </c>
      <c r="L79" s="89">
        <v>22.521000000000001</v>
      </c>
      <c r="M79" s="89">
        <v>19.686</v>
      </c>
      <c r="N79" s="89">
        <v>17.195</v>
      </c>
      <c r="O79" s="89">
        <v>15.009</v>
      </c>
      <c r="P79" s="89">
        <v>13.093999999999999</v>
      </c>
      <c r="Q79" s="89">
        <v>11.422000000000001</v>
      </c>
      <c r="R79" s="89">
        <v>9.9589999999999996</v>
      </c>
      <c r="S79" s="89">
        <v>8.68</v>
      </c>
      <c r="T79" s="89">
        <v>7.5650000000000004</v>
      </c>
      <c r="U79" s="89">
        <v>6.5949999999999998</v>
      </c>
      <c r="V79" s="89">
        <v>5.7510000000000003</v>
      </c>
      <c r="W79" s="89">
        <v>5.0140000000000002</v>
      </c>
      <c r="X79" s="89">
        <v>4.3819999999999997</v>
      </c>
      <c r="Y79" s="89">
        <v>3.8340000000000001</v>
      </c>
      <c r="Z79" s="89">
        <v>3.3610000000000002</v>
      </c>
      <c r="AA79" s="89">
        <v>2.95</v>
      </c>
      <c r="AB79" s="89">
        <v>2.5960000000000001</v>
      </c>
      <c r="AC79" s="89">
        <v>2.2890000000000001</v>
      </c>
      <c r="AD79" s="89">
        <v>2.0230000000000001</v>
      </c>
      <c r="AE79" s="89">
        <v>1.7929999999999999</v>
      </c>
    </row>
    <row r="80" spans="1:31" x14ac:dyDescent="0.25">
      <c r="A80" s="97">
        <v>73</v>
      </c>
      <c r="B80" s="89">
        <v>90.156000000000006</v>
      </c>
      <c r="C80" s="89">
        <v>80.126000000000005</v>
      </c>
      <c r="D80" s="89">
        <v>71.039000000000001</v>
      </c>
      <c r="E80" s="89">
        <v>62.850999999999999</v>
      </c>
      <c r="F80" s="89">
        <v>55.488</v>
      </c>
      <c r="G80" s="89">
        <v>48.893000000000001</v>
      </c>
      <c r="H80" s="89">
        <v>43.003</v>
      </c>
      <c r="I80" s="89">
        <v>37.761000000000003</v>
      </c>
      <c r="J80" s="89">
        <v>33.107999999999997</v>
      </c>
      <c r="K80" s="89">
        <v>28.995999999999999</v>
      </c>
      <c r="L80" s="89">
        <v>25.363</v>
      </c>
      <c r="M80" s="89">
        <v>22.161000000000001</v>
      </c>
      <c r="N80" s="89">
        <v>19.346</v>
      </c>
      <c r="O80" s="89">
        <v>16.873999999999999</v>
      </c>
      <c r="P80" s="89">
        <v>14.708</v>
      </c>
      <c r="Q80" s="89">
        <v>12.816000000000001</v>
      </c>
      <c r="R80" s="89">
        <v>11.16</v>
      </c>
      <c r="S80" s="89">
        <v>9.7110000000000003</v>
      </c>
      <c r="T80" s="89">
        <v>8.4489999999999998</v>
      </c>
      <c r="U80" s="89">
        <v>7.351</v>
      </c>
      <c r="V80" s="89">
        <v>6.3970000000000002</v>
      </c>
      <c r="W80" s="89">
        <v>5.5640000000000001</v>
      </c>
      <c r="X80" s="89">
        <v>4.8499999999999996</v>
      </c>
      <c r="Y80" s="89">
        <v>4.234</v>
      </c>
      <c r="Z80" s="89">
        <v>3.7010000000000001</v>
      </c>
      <c r="AA80" s="89">
        <v>3.24</v>
      </c>
      <c r="AB80" s="89">
        <v>2.843</v>
      </c>
      <c r="AC80" s="89">
        <v>2.5</v>
      </c>
      <c r="AD80" s="89">
        <v>2.2040000000000002</v>
      </c>
      <c r="AE80" s="89">
        <v>1.9490000000000001</v>
      </c>
    </row>
    <row r="81" spans="1:31" x14ac:dyDescent="0.25">
      <c r="A81" s="97">
        <v>74</v>
      </c>
      <c r="B81" s="89">
        <v>101.59399999999999</v>
      </c>
      <c r="C81" s="89">
        <v>90.334000000000003</v>
      </c>
      <c r="D81" s="89">
        <v>80.122</v>
      </c>
      <c r="E81" s="89">
        <v>70.914000000000001</v>
      </c>
      <c r="F81" s="89">
        <v>62.625</v>
      </c>
      <c r="G81" s="89">
        <v>55.195999999999998</v>
      </c>
      <c r="H81" s="89">
        <v>48.554000000000002</v>
      </c>
      <c r="I81" s="89">
        <v>42.64</v>
      </c>
      <c r="J81" s="89">
        <v>37.387</v>
      </c>
      <c r="K81" s="89">
        <v>32.741999999999997</v>
      </c>
      <c r="L81" s="89">
        <v>28.635000000000002</v>
      </c>
      <c r="M81" s="89">
        <v>25.013000000000002</v>
      </c>
      <c r="N81" s="89">
        <v>21.826000000000001</v>
      </c>
      <c r="O81" s="89">
        <v>19.026</v>
      </c>
      <c r="P81" s="89">
        <v>16.571000000000002</v>
      </c>
      <c r="Q81" s="89">
        <v>14.426</v>
      </c>
      <c r="R81" s="89">
        <v>12.547000000000001</v>
      </c>
      <c r="S81" s="89">
        <v>10.903</v>
      </c>
      <c r="T81" s="89">
        <v>9.4719999999999995</v>
      </c>
      <c r="U81" s="89">
        <v>8.2260000000000009</v>
      </c>
      <c r="V81" s="89">
        <v>7.1429999999999998</v>
      </c>
      <c r="W81" s="89">
        <v>6.1989999999999998</v>
      </c>
      <c r="X81" s="89">
        <v>5.391</v>
      </c>
      <c r="Y81" s="89">
        <v>4.694</v>
      </c>
      <c r="Z81" s="89">
        <v>4.0919999999999996</v>
      </c>
      <c r="AA81" s="89">
        <v>3.5739999999999998</v>
      </c>
      <c r="AB81" s="89">
        <v>3.1269999999999998</v>
      </c>
      <c r="AC81" s="89">
        <v>2.7429999999999999</v>
      </c>
      <c r="AD81" s="89">
        <v>2.411</v>
      </c>
      <c r="AE81" s="89">
        <v>2.1259999999999999</v>
      </c>
    </row>
    <row r="82" spans="1:31" x14ac:dyDescent="0.25">
      <c r="A82" s="97">
        <v>75</v>
      </c>
      <c r="B82" s="89">
        <v>114.729</v>
      </c>
      <c r="C82" s="89">
        <v>102.063</v>
      </c>
      <c r="D82" s="89">
        <v>90.561999999999998</v>
      </c>
      <c r="E82" s="89">
        <v>80.183999999999997</v>
      </c>
      <c r="F82" s="89">
        <v>70.834999999999994</v>
      </c>
      <c r="G82" s="89">
        <v>62.448</v>
      </c>
      <c r="H82" s="89">
        <v>54.945</v>
      </c>
      <c r="I82" s="89">
        <v>48.26</v>
      </c>
      <c r="J82" s="89">
        <v>42.317</v>
      </c>
      <c r="K82" s="89">
        <v>37.06</v>
      </c>
      <c r="L82" s="89">
        <v>32.409999999999997</v>
      </c>
      <c r="M82" s="89">
        <v>28.305</v>
      </c>
      <c r="N82" s="89">
        <v>24.690999999999999</v>
      </c>
      <c r="O82" s="89">
        <v>21.513000000000002</v>
      </c>
      <c r="P82" s="89">
        <v>18.725999999999999</v>
      </c>
      <c r="Q82" s="89">
        <v>16.289000000000001</v>
      </c>
      <c r="R82" s="89">
        <v>14.154</v>
      </c>
      <c r="S82" s="89">
        <v>12.285</v>
      </c>
      <c r="T82" s="89">
        <v>10.656000000000001</v>
      </c>
      <c r="U82" s="89">
        <v>9.2379999999999995</v>
      </c>
      <c r="V82" s="89">
        <v>8.0069999999999997</v>
      </c>
      <c r="W82" s="89">
        <v>6.9329999999999998</v>
      </c>
      <c r="X82" s="89">
        <v>6.016</v>
      </c>
      <c r="Y82" s="89">
        <v>5.2249999999999996</v>
      </c>
      <c r="Z82" s="89">
        <v>4.5449999999999999</v>
      </c>
      <c r="AA82" s="89">
        <v>3.9580000000000002</v>
      </c>
      <c r="AB82" s="89">
        <v>3.4540000000000002</v>
      </c>
      <c r="AC82" s="89">
        <v>3.0209999999999999</v>
      </c>
      <c r="AD82" s="89">
        <v>2.649</v>
      </c>
      <c r="AE82" s="89">
        <v>2.3290000000000002</v>
      </c>
    </row>
    <row r="83" spans="1:31" x14ac:dyDescent="0.25">
      <c r="A83" s="97">
        <v>76</v>
      </c>
      <c r="B83" s="89">
        <v>129.86199999999999</v>
      </c>
      <c r="C83" s="89">
        <v>115.581</v>
      </c>
      <c r="D83" s="89">
        <v>102.599</v>
      </c>
      <c r="E83" s="89">
        <v>90.875</v>
      </c>
      <c r="F83" s="89">
        <v>80.305000000000007</v>
      </c>
      <c r="G83" s="89">
        <v>70.816000000000003</v>
      </c>
      <c r="H83" s="89">
        <v>62.322000000000003</v>
      </c>
      <c r="I83" s="89">
        <v>54.749000000000002</v>
      </c>
      <c r="J83" s="89">
        <v>48.014000000000003</v>
      </c>
      <c r="K83" s="89">
        <v>42.052999999999997</v>
      </c>
      <c r="L83" s="89">
        <v>36.776000000000003</v>
      </c>
      <c r="M83" s="89">
        <v>32.115000000000002</v>
      </c>
      <c r="N83" s="89">
        <v>28.009</v>
      </c>
      <c r="O83" s="89">
        <v>24.396999999999998</v>
      </c>
      <c r="P83" s="89">
        <v>21.225999999999999</v>
      </c>
      <c r="Q83" s="89">
        <v>18.452000000000002</v>
      </c>
      <c r="R83" s="89">
        <v>16.02</v>
      </c>
      <c r="S83" s="89">
        <v>13.888999999999999</v>
      </c>
      <c r="T83" s="89">
        <v>12.032</v>
      </c>
      <c r="U83" s="89">
        <v>10.414999999999999</v>
      </c>
      <c r="V83" s="89">
        <v>9.0109999999999992</v>
      </c>
      <c r="W83" s="89">
        <v>7.7859999999999996</v>
      </c>
      <c r="X83" s="89">
        <v>6.742</v>
      </c>
      <c r="Y83" s="89">
        <v>5.8419999999999996</v>
      </c>
      <c r="Z83" s="89">
        <v>5.0679999999999996</v>
      </c>
      <c r="AA83" s="89">
        <v>4.4029999999999996</v>
      </c>
      <c r="AB83" s="89">
        <v>3.8319999999999999</v>
      </c>
      <c r="AC83" s="89">
        <v>3.343</v>
      </c>
      <c r="AD83" s="89">
        <v>2.923</v>
      </c>
      <c r="AE83" s="89">
        <v>2.5630000000000002</v>
      </c>
    </row>
    <row r="84" spans="1:31" x14ac:dyDescent="0.25">
      <c r="A84" s="97">
        <v>77</v>
      </c>
      <c r="B84" s="89">
        <v>147.35</v>
      </c>
      <c r="C84" s="89">
        <v>131.208</v>
      </c>
      <c r="D84" s="89">
        <v>116.51900000000001</v>
      </c>
      <c r="E84" s="89">
        <v>103.242</v>
      </c>
      <c r="F84" s="89">
        <v>91.263000000000005</v>
      </c>
      <c r="G84" s="89">
        <v>80.501000000000005</v>
      </c>
      <c r="H84" s="89">
        <v>70.861999999999995</v>
      </c>
      <c r="I84" s="89">
        <v>62.264000000000003</v>
      </c>
      <c r="J84" s="89">
        <v>54.613</v>
      </c>
      <c r="K84" s="89">
        <v>47.838999999999999</v>
      </c>
      <c r="L84" s="89">
        <v>41.838999999999999</v>
      </c>
      <c r="M84" s="89">
        <v>36.536000000000001</v>
      </c>
      <c r="N84" s="89">
        <v>31.861999999999998</v>
      </c>
      <c r="O84" s="89">
        <v>27.745999999999999</v>
      </c>
      <c r="P84" s="89">
        <v>24.132000000000001</v>
      </c>
      <c r="Q84" s="89">
        <v>20.968</v>
      </c>
      <c r="R84" s="89">
        <v>18.193000000000001</v>
      </c>
      <c r="S84" s="89">
        <v>15.757999999999999</v>
      </c>
      <c r="T84" s="89">
        <v>13.635</v>
      </c>
      <c r="U84" s="89">
        <v>11.786</v>
      </c>
      <c r="V84" s="89">
        <v>10.180999999999999</v>
      </c>
      <c r="W84" s="89">
        <v>8.7799999999999994</v>
      </c>
      <c r="X84" s="89">
        <v>7.5860000000000003</v>
      </c>
      <c r="Y84" s="89">
        <v>6.5590000000000002</v>
      </c>
      <c r="Z84" s="89">
        <v>5.6760000000000002</v>
      </c>
      <c r="AA84" s="89">
        <v>4.9189999999999996</v>
      </c>
      <c r="AB84" s="89">
        <v>4.2699999999999996</v>
      </c>
      <c r="AC84" s="89">
        <v>3.7149999999999999</v>
      </c>
      <c r="AD84" s="89">
        <v>3.24</v>
      </c>
      <c r="AE84" s="89">
        <v>2.8330000000000002</v>
      </c>
    </row>
    <row r="85" spans="1:31" x14ac:dyDescent="0.25">
      <c r="A85" s="97">
        <v>78</v>
      </c>
      <c r="B85" s="89">
        <v>167.59700000000001</v>
      </c>
      <c r="C85" s="89">
        <v>149.31</v>
      </c>
      <c r="D85" s="89">
        <v>132.649</v>
      </c>
      <c r="E85" s="89">
        <v>117.577</v>
      </c>
      <c r="F85" s="89">
        <v>103.967</v>
      </c>
      <c r="G85" s="89">
        <v>91.731999999999999</v>
      </c>
      <c r="H85" s="89">
        <v>80.766999999999996</v>
      </c>
      <c r="I85" s="89">
        <v>70.981999999999999</v>
      </c>
      <c r="J85" s="89">
        <v>62.27</v>
      </c>
      <c r="K85" s="89">
        <v>54.555</v>
      </c>
      <c r="L85" s="89">
        <v>47.719000000000001</v>
      </c>
      <c r="M85" s="89">
        <v>41.673999999999999</v>
      </c>
      <c r="N85" s="89">
        <v>36.341999999999999</v>
      </c>
      <c r="O85" s="89">
        <v>31.643999999999998</v>
      </c>
      <c r="P85" s="89">
        <v>27.515999999999998</v>
      </c>
      <c r="Q85" s="89">
        <v>23.9</v>
      </c>
      <c r="R85" s="89">
        <v>20.725000000000001</v>
      </c>
      <c r="S85" s="89">
        <v>17.937999999999999</v>
      </c>
      <c r="T85" s="89">
        <v>15.506</v>
      </c>
      <c r="U85" s="89">
        <v>13.385999999999999</v>
      </c>
      <c r="V85" s="89">
        <v>11.545999999999999</v>
      </c>
      <c r="W85" s="89">
        <v>9.9380000000000006</v>
      </c>
      <c r="X85" s="89">
        <v>8.57</v>
      </c>
      <c r="Y85" s="89">
        <v>7.3940000000000001</v>
      </c>
      <c r="Z85" s="89">
        <v>6.3840000000000003</v>
      </c>
      <c r="AA85" s="89">
        <v>5.5190000000000001</v>
      </c>
      <c r="AB85" s="89">
        <v>4.7789999999999999</v>
      </c>
      <c r="AC85" s="89">
        <v>4.1470000000000002</v>
      </c>
      <c r="AD85" s="89">
        <v>3.6070000000000002</v>
      </c>
      <c r="AE85" s="89">
        <v>3.1459999999999999</v>
      </c>
    </row>
    <row r="86" spans="1:31" x14ac:dyDescent="0.25">
      <c r="A86" s="97">
        <v>79</v>
      </c>
      <c r="B86" s="89">
        <v>191.07599999999999</v>
      </c>
      <c r="C86" s="89">
        <v>170.31100000000001</v>
      </c>
      <c r="D86" s="89">
        <v>151.369</v>
      </c>
      <c r="E86" s="89">
        <v>134.21899999999999</v>
      </c>
      <c r="F86" s="89">
        <v>118.71899999999999</v>
      </c>
      <c r="G86" s="89">
        <v>104.776</v>
      </c>
      <c r="H86" s="89">
        <v>92.272999999999996</v>
      </c>
      <c r="I86" s="89">
        <v>81.111000000000004</v>
      </c>
      <c r="J86" s="89">
        <v>71.168999999999997</v>
      </c>
      <c r="K86" s="89">
        <v>62.363</v>
      </c>
      <c r="L86" s="89">
        <v>54.557000000000002</v>
      </c>
      <c r="M86" s="89">
        <v>47.651000000000003</v>
      </c>
      <c r="N86" s="89">
        <v>41.557000000000002</v>
      </c>
      <c r="O86" s="89">
        <v>36.183999999999997</v>
      </c>
      <c r="P86" s="89">
        <v>31.46</v>
      </c>
      <c r="Q86" s="89">
        <v>27.32</v>
      </c>
      <c r="R86" s="89">
        <v>23.681999999999999</v>
      </c>
      <c r="S86" s="89">
        <v>20.484000000000002</v>
      </c>
      <c r="T86" s="89">
        <v>17.690999999999999</v>
      </c>
      <c r="U86" s="89">
        <v>15.256</v>
      </c>
      <c r="V86" s="89">
        <v>13.141</v>
      </c>
      <c r="W86" s="89">
        <v>11.291</v>
      </c>
      <c r="X86" s="89">
        <v>9.7189999999999994</v>
      </c>
      <c r="Y86" s="89">
        <v>8.3680000000000003</v>
      </c>
      <c r="Z86" s="89">
        <v>7.21</v>
      </c>
      <c r="AA86" s="89">
        <v>6.218</v>
      </c>
      <c r="AB86" s="89">
        <v>5.3710000000000004</v>
      </c>
      <c r="AC86" s="89">
        <v>4.649</v>
      </c>
      <c r="AD86" s="89">
        <v>4.0330000000000004</v>
      </c>
      <c r="AE86" s="89">
        <v>3.508</v>
      </c>
    </row>
    <row r="87" spans="1:31" x14ac:dyDescent="0.25">
      <c r="A87" s="97">
        <v>80</v>
      </c>
      <c r="B87" s="89">
        <v>218.32900000000001</v>
      </c>
      <c r="C87" s="89">
        <v>194.702</v>
      </c>
      <c r="D87" s="89">
        <v>173.119</v>
      </c>
      <c r="E87" s="89">
        <v>153.56100000000001</v>
      </c>
      <c r="F87" s="89">
        <v>135.86799999999999</v>
      </c>
      <c r="G87" s="89">
        <v>119.943</v>
      </c>
      <c r="H87" s="89">
        <v>105.652</v>
      </c>
      <c r="I87" s="89">
        <v>92.89</v>
      </c>
      <c r="J87" s="89">
        <v>81.519000000000005</v>
      </c>
      <c r="K87" s="89">
        <v>71.447999999999993</v>
      </c>
      <c r="L87" s="89">
        <v>62.515000000000001</v>
      </c>
      <c r="M87" s="89">
        <v>54.610999999999997</v>
      </c>
      <c r="N87" s="89">
        <v>47.633000000000003</v>
      </c>
      <c r="O87" s="89">
        <v>41.476999999999997</v>
      </c>
      <c r="P87" s="89">
        <v>36.061</v>
      </c>
      <c r="Q87" s="89">
        <v>31.312000000000001</v>
      </c>
      <c r="R87" s="89">
        <v>27.135000000000002</v>
      </c>
      <c r="S87" s="89">
        <v>23.459</v>
      </c>
      <c r="T87" s="89">
        <v>20.247</v>
      </c>
      <c r="U87" s="89">
        <v>17.443999999999999</v>
      </c>
      <c r="V87" s="89">
        <v>15.006</v>
      </c>
      <c r="W87" s="89">
        <v>12.872999999999999</v>
      </c>
      <c r="X87" s="89">
        <v>11.061999999999999</v>
      </c>
      <c r="Y87" s="89">
        <v>9.5060000000000002</v>
      </c>
      <c r="Z87" s="89">
        <v>8.173</v>
      </c>
      <c r="AA87" s="89">
        <v>7.0330000000000004</v>
      </c>
      <c r="AB87" s="89">
        <v>6.0609999999999999</v>
      </c>
      <c r="AC87" s="89">
        <v>5.234</v>
      </c>
      <c r="AD87" s="89">
        <v>4.5289999999999999</v>
      </c>
      <c r="AE87" s="89">
        <v>3.9289999999999998</v>
      </c>
    </row>
    <row r="88" spans="1:31" x14ac:dyDescent="0.25">
      <c r="A88" s="97">
        <v>81</v>
      </c>
      <c r="B88" s="89">
        <v>249.96899999999999</v>
      </c>
      <c r="C88" s="89">
        <v>223.035</v>
      </c>
      <c r="D88" s="89">
        <v>198.39599999999999</v>
      </c>
      <c r="E88" s="89">
        <v>176.048</v>
      </c>
      <c r="F88" s="89">
        <v>155.81100000000001</v>
      </c>
      <c r="G88" s="89">
        <v>137.583</v>
      </c>
      <c r="H88" s="89">
        <v>121.21599999999999</v>
      </c>
      <c r="I88" s="89">
        <v>106.59399999999999</v>
      </c>
      <c r="J88" s="89">
        <v>93.563000000000002</v>
      </c>
      <c r="K88" s="89">
        <v>82.019000000000005</v>
      </c>
      <c r="L88" s="89">
        <v>71.78</v>
      </c>
      <c r="M88" s="89">
        <v>62.715000000000003</v>
      </c>
      <c r="N88" s="89">
        <v>54.710999999999999</v>
      </c>
      <c r="O88" s="89">
        <v>47.646000000000001</v>
      </c>
      <c r="P88" s="89">
        <v>41.427</v>
      </c>
      <c r="Q88" s="89">
        <v>35.972000000000001</v>
      </c>
      <c r="R88" s="89">
        <v>31.17</v>
      </c>
      <c r="S88" s="89">
        <v>26.937000000000001</v>
      </c>
      <c r="T88" s="89">
        <v>23.234999999999999</v>
      </c>
      <c r="U88" s="89">
        <v>20.001999999999999</v>
      </c>
      <c r="V88" s="89">
        <v>17.187999999999999</v>
      </c>
      <c r="W88" s="89">
        <v>14.724</v>
      </c>
      <c r="X88" s="89">
        <v>12.632</v>
      </c>
      <c r="Y88" s="89">
        <v>10.836</v>
      </c>
      <c r="Z88" s="89">
        <v>9.2989999999999995</v>
      </c>
      <c r="AA88" s="89">
        <v>7.984</v>
      </c>
      <c r="AB88" s="89">
        <v>6.8659999999999997</v>
      </c>
      <c r="AC88" s="89">
        <v>5.9139999999999997</v>
      </c>
      <c r="AD88" s="89">
        <v>5.1050000000000004</v>
      </c>
      <c r="AE88" s="89">
        <v>4.4180000000000001</v>
      </c>
    </row>
    <row r="89" spans="1:31" x14ac:dyDescent="0.25">
      <c r="A89" s="97">
        <v>82</v>
      </c>
      <c r="B89" s="89">
        <v>286.73399999999998</v>
      </c>
      <c r="C89" s="89">
        <v>255.97800000000001</v>
      </c>
      <c r="D89" s="89">
        <v>227.80199999999999</v>
      </c>
      <c r="E89" s="89">
        <v>202.22</v>
      </c>
      <c r="F89" s="89">
        <v>179.03</v>
      </c>
      <c r="G89" s="89">
        <v>158.125</v>
      </c>
      <c r="H89" s="89">
        <v>139.34299999999999</v>
      </c>
      <c r="I89" s="89">
        <v>122.557</v>
      </c>
      <c r="J89" s="89">
        <v>107.592</v>
      </c>
      <c r="K89" s="89">
        <v>94.335999999999999</v>
      </c>
      <c r="L89" s="89">
        <v>82.575000000000003</v>
      </c>
      <c r="M89" s="89">
        <v>72.162000000000006</v>
      </c>
      <c r="N89" s="89">
        <v>62.963999999999999</v>
      </c>
      <c r="O89" s="89">
        <v>54.843000000000004</v>
      </c>
      <c r="P89" s="89">
        <v>47.691000000000003</v>
      </c>
      <c r="Q89" s="89">
        <v>41.415999999999997</v>
      </c>
      <c r="R89" s="89">
        <v>35.886000000000003</v>
      </c>
      <c r="S89" s="89">
        <v>31.006</v>
      </c>
      <c r="T89" s="89">
        <v>26.733000000000001</v>
      </c>
      <c r="U89" s="89">
        <v>22.998000000000001</v>
      </c>
      <c r="V89" s="89">
        <v>19.744</v>
      </c>
      <c r="W89" s="89">
        <v>16.89</v>
      </c>
      <c r="X89" s="89">
        <v>14.468999999999999</v>
      </c>
      <c r="Y89" s="89">
        <v>12.391999999999999</v>
      </c>
      <c r="Z89" s="89">
        <v>10.614000000000001</v>
      </c>
      <c r="AA89" s="89">
        <v>9.0950000000000006</v>
      </c>
      <c r="AB89" s="89">
        <v>7.8040000000000003</v>
      </c>
      <c r="AC89" s="89">
        <v>6.7080000000000002</v>
      </c>
      <c r="AD89" s="89">
        <v>5.7770000000000001</v>
      </c>
      <c r="AE89" s="89">
        <v>4.9870000000000001</v>
      </c>
    </row>
    <row r="90" spans="1:31" x14ac:dyDescent="0.25">
      <c r="A90" s="97">
        <v>83</v>
      </c>
      <c r="B90" s="89">
        <v>329.529</v>
      </c>
      <c r="C90" s="89">
        <v>294.35199999999998</v>
      </c>
      <c r="D90" s="89">
        <v>262.07400000000001</v>
      </c>
      <c r="E90" s="89">
        <v>232.738</v>
      </c>
      <c r="F90" s="89">
        <v>206.114</v>
      </c>
      <c r="G90" s="89">
        <v>182.09399999999999</v>
      </c>
      <c r="H90" s="89">
        <v>160.49600000000001</v>
      </c>
      <c r="I90" s="89">
        <v>141.18600000000001</v>
      </c>
      <c r="J90" s="89">
        <v>123.965</v>
      </c>
      <c r="K90" s="89">
        <v>108.71299999999999</v>
      </c>
      <c r="L90" s="89">
        <v>95.177999999999997</v>
      </c>
      <c r="M90" s="89">
        <v>83.191999999999993</v>
      </c>
      <c r="N90" s="89">
        <v>72.603999999999999</v>
      </c>
      <c r="O90" s="89">
        <v>63.252000000000002</v>
      </c>
      <c r="P90" s="89">
        <v>55.015000000000001</v>
      </c>
      <c r="Q90" s="89">
        <v>47.784999999999997</v>
      </c>
      <c r="R90" s="89">
        <v>41.408000000000001</v>
      </c>
      <c r="S90" s="89">
        <v>35.773000000000003</v>
      </c>
      <c r="T90" s="89">
        <v>30.834</v>
      </c>
      <c r="U90" s="89">
        <v>26.510999999999999</v>
      </c>
      <c r="V90" s="89">
        <v>22.742000000000001</v>
      </c>
      <c r="W90" s="89">
        <v>19.43</v>
      </c>
      <c r="X90" s="89">
        <v>16.623000000000001</v>
      </c>
      <c r="Y90" s="89">
        <v>14.215</v>
      </c>
      <c r="Z90" s="89">
        <v>12.154999999999999</v>
      </c>
      <c r="AA90" s="89">
        <v>10.396000000000001</v>
      </c>
      <c r="AB90" s="89">
        <v>8.9030000000000005</v>
      </c>
      <c r="AC90" s="89">
        <v>7.6360000000000001</v>
      </c>
      <c r="AD90" s="89">
        <v>6.5609999999999999</v>
      </c>
      <c r="AE90" s="89">
        <v>5.6509999999999998</v>
      </c>
    </row>
    <row r="91" spans="1:31" x14ac:dyDescent="0.25">
      <c r="A91" s="97">
        <v>84</v>
      </c>
      <c r="B91" s="89">
        <v>379.45499999999998</v>
      </c>
      <c r="C91" s="89">
        <v>339.15</v>
      </c>
      <c r="D91" s="89">
        <v>302.108</v>
      </c>
      <c r="E91" s="89">
        <v>268.40499999999997</v>
      </c>
      <c r="F91" s="89">
        <v>237.78200000000001</v>
      </c>
      <c r="G91" s="89">
        <v>210.12700000000001</v>
      </c>
      <c r="H91" s="89">
        <v>185.24199999999999</v>
      </c>
      <c r="I91" s="89">
        <v>162.982</v>
      </c>
      <c r="J91" s="89">
        <v>143.12200000000001</v>
      </c>
      <c r="K91" s="89">
        <v>125.535</v>
      </c>
      <c r="L91" s="89">
        <v>109.926</v>
      </c>
      <c r="M91" s="89">
        <v>96.102000000000004</v>
      </c>
      <c r="N91" s="89">
        <v>83.89</v>
      </c>
      <c r="O91" s="89">
        <v>73.100999999999999</v>
      </c>
      <c r="P91" s="89">
        <v>63.595999999999997</v>
      </c>
      <c r="Q91" s="89">
        <v>55.253</v>
      </c>
      <c r="R91" s="89">
        <v>47.887999999999998</v>
      </c>
      <c r="S91" s="89">
        <v>41.371000000000002</v>
      </c>
      <c r="T91" s="89">
        <v>35.652999999999999</v>
      </c>
      <c r="U91" s="89">
        <v>30.640999999999998</v>
      </c>
      <c r="V91" s="89">
        <v>26.268000000000001</v>
      </c>
      <c r="W91" s="89">
        <v>22.417000000000002</v>
      </c>
      <c r="X91" s="89">
        <v>19.155000000000001</v>
      </c>
      <c r="Y91" s="89">
        <v>16.356999999999999</v>
      </c>
      <c r="Z91" s="89">
        <v>13.964</v>
      </c>
      <c r="AA91" s="89">
        <v>11.922000000000001</v>
      </c>
      <c r="AB91" s="89">
        <v>10.19</v>
      </c>
      <c r="AC91" s="89">
        <v>8.7219999999999995</v>
      </c>
      <c r="AD91" s="89">
        <v>7.4790000000000001</v>
      </c>
      <c r="AE91" s="89">
        <v>6.4269999999999996</v>
      </c>
    </row>
    <row r="92" spans="1:31" x14ac:dyDescent="0.25">
      <c r="A92" s="97">
        <v>85</v>
      </c>
      <c r="B92" s="89">
        <v>437.75299999999999</v>
      </c>
      <c r="C92" s="89">
        <v>391.49799999999999</v>
      </c>
      <c r="D92" s="89">
        <v>348.91899999999998</v>
      </c>
      <c r="E92" s="89">
        <v>310.13400000000001</v>
      </c>
      <c r="F92" s="89">
        <v>274.84800000000001</v>
      </c>
      <c r="G92" s="89">
        <v>242.95099999999999</v>
      </c>
      <c r="H92" s="89">
        <v>214.22300000000001</v>
      </c>
      <c r="I92" s="89">
        <v>188.511</v>
      </c>
      <c r="J92" s="89">
        <v>165.56200000000001</v>
      </c>
      <c r="K92" s="89">
        <v>145.24199999999999</v>
      </c>
      <c r="L92" s="89">
        <v>127.20399999999999</v>
      </c>
      <c r="M92" s="89">
        <v>111.22799999999999</v>
      </c>
      <c r="N92" s="89">
        <v>97.114999999999995</v>
      </c>
      <c r="O92" s="89">
        <v>84.644999999999996</v>
      </c>
      <c r="P92" s="89">
        <v>73.659000000000006</v>
      </c>
      <c r="Q92" s="89">
        <v>64.016000000000005</v>
      </c>
      <c r="R92" s="89">
        <v>55.497</v>
      </c>
      <c r="S92" s="89">
        <v>47.948999999999998</v>
      </c>
      <c r="T92" s="89">
        <v>41.319000000000003</v>
      </c>
      <c r="U92" s="89">
        <v>35.5</v>
      </c>
      <c r="V92" s="89">
        <v>30.417000000000002</v>
      </c>
      <c r="W92" s="89">
        <v>25.93</v>
      </c>
      <c r="X92" s="89">
        <v>22.134</v>
      </c>
      <c r="Y92" s="89">
        <v>18.876000000000001</v>
      </c>
      <c r="Z92" s="89">
        <v>16.09</v>
      </c>
      <c r="AA92" s="89">
        <v>13.714</v>
      </c>
      <c r="AB92" s="89">
        <v>11.702</v>
      </c>
      <c r="AC92" s="89">
        <v>9.9969999999999999</v>
      </c>
      <c r="AD92" s="89">
        <v>8.5549999999999997</v>
      </c>
      <c r="AE92" s="89">
        <v>7.335</v>
      </c>
    </row>
  </sheetData>
  <sheetProtection algorithmName="SHA-512" hashValue="7T2H0ZkrLrzm37iZK9LuCWNnoEv4ohOjUvYzmAJ0szYzhVzHsQ8h2y5D7gaZwRU9WlWnMXBEIJs/Jopm0A5SYQ==" saltValue="396JwFX+WozL5qi6NQcLeQ==" spinCount="100000" sheet="1" objects="1" scenarios="1"/>
  <conditionalFormatting sqref="A6:A21">
    <cfRule type="expression" dxfId="173" priority="5" stopIfTrue="1">
      <formula>MOD(ROW(),2)=0</formula>
    </cfRule>
    <cfRule type="expression" dxfId="172" priority="6" stopIfTrue="1">
      <formula>MOD(ROW(),2)&lt;&gt;0</formula>
    </cfRule>
  </conditionalFormatting>
  <conditionalFormatting sqref="A27:A92">
    <cfRule type="expression" dxfId="171" priority="21" stopIfTrue="1">
      <formula>MOD(ROW(),2)=0</formula>
    </cfRule>
    <cfRule type="expression" dxfId="170" priority="22" stopIfTrue="1">
      <formula>MOD(ROW(),2)&lt;&gt;0</formula>
    </cfRule>
  </conditionalFormatting>
  <conditionalFormatting sqref="B17:B21">
    <cfRule type="expression" dxfId="169" priority="1" stopIfTrue="1">
      <formula>MOD(ROW(),2)=0</formula>
    </cfRule>
    <cfRule type="expression" dxfId="168" priority="2" stopIfTrue="1">
      <formula>MOD(ROW(),2)&lt;&gt;0</formula>
    </cfRule>
  </conditionalFormatting>
  <conditionalFormatting sqref="B6:AE21">
    <cfRule type="expression" dxfId="167" priority="35" stopIfTrue="1">
      <formula>MOD(ROW(),2)=0</formula>
    </cfRule>
    <cfRule type="expression" dxfId="166" priority="36" stopIfTrue="1">
      <formula>MOD(ROW(),2)&lt;&gt;0</formula>
    </cfRule>
  </conditionalFormatting>
  <conditionalFormatting sqref="B26:AE92">
    <cfRule type="expression" dxfId="165" priority="27" stopIfTrue="1">
      <formula>MOD(ROW(),2)=0</formula>
    </cfRule>
    <cfRule type="expression" dxfId="164" priority="28" stopIfTrue="1">
      <formula>MOD(ROW(),2)&lt;&gt;0</formula>
    </cfRule>
  </conditionalFormatting>
  <conditionalFormatting sqref="C6:AE21">
    <cfRule type="expression" dxfId="163" priority="3" stopIfTrue="1">
      <formula>MOD(ROW(),2)=0</formula>
    </cfRule>
    <cfRule type="expression" dxfId="162" priority="4" stopIfTrue="1">
      <formula>MOD(ROW(),2)&lt;&gt;0</formula>
    </cfRule>
  </conditionalFormatting>
  <hyperlinks>
    <hyperlink ref="B24" location="Sheet1!A1" display="Assumptions" xr:uid="{A47453B8-F8DD-4945-B736-E505F7B0BEF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27"/>
  <dimension ref="A1:AE92"/>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31" ht="21" x14ac:dyDescent="0.4">
      <c r="A1" s="39" t="s">
        <v>0</v>
      </c>
      <c r="B1" s="40"/>
      <c r="C1" s="40"/>
      <c r="D1" s="40"/>
      <c r="E1" s="40"/>
      <c r="F1" s="40"/>
      <c r="G1" s="40"/>
      <c r="H1" s="40"/>
      <c r="I1" s="40"/>
    </row>
    <row r="2" spans="1:31"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31" ht="15.6" x14ac:dyDescent="0.3">
      <c r="A3" s="43" t="str">
        <f>TABLE_FACTOR_TYPE_1&amp;" - x-"&amp;TABLE_SERIES_NUMBER_1</f>
        <v>Allocation - x-804</v>
      </c>
      <c r="B3" s="42"/>
      <c r="C3" s="42"/>
      <c r="D3" s="42"/>
      <c r="E3" s="42"/>
      <c r="F3" s="42"/>
      <c r="G3" s="42"/>
      <c r="H3" s="42"/>
      <c r="I3" s="42"/>
    </row>
    <row r="4" spans="1:31" x14ac:dyDescent="0.25">
      <c r="A4" s="44"/>
    </row>
    <row r="6" spans="1:31" x14ac:dyDescent="0.25">
      <c r="A6" s="87" t="s">
        <v>290</v>
      </c>
      <c r="B6" s="185" t="s">
        <v>291</v>
      </c>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row>
    <row r="7" spans="1:31" x14ac:dyDescent="0.25">
      <c r="A7" s="81" t="s">
        <v>804</v>
      </c>
      <c r="B7" s="185" t="s">
        <v>324</v>
      </c>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row>
    <row r="8" spans="1:31" x14ac:dyDescent="0.25">
      <c r="A8" s="81" t="s">
        <v>805</v>
      </c>
      <c r="B8" s="185" t="s">
        <v>85</v>
      </c>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row>
    <row r="9" spans="1:31" x14ac:dyDescent="0.25">
      <c r="A9" s="81" t="s">
        <v>296</v>
      </c>
      <c r="B9" s="185" t="s">
        <v>688</v>
      </c>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row>
    <row r="10" spans="1:31" x14ac:dyDescent="0.25">
      <c r="A10" s="81" t="s">
        <v>6</v>
      </c>
      <c r="B10" s="185" t="s">
        <v>699</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row>
    <row r="11" spans="1:31" x14ac:dyDescent="0.25">
      <c r="A11" s="81" t="s">
        <v>299</v>
      </c>
      <c r="B11" s="185" t="s">
        <v>409</v>
      </c>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row>
    <row r="12" spans="1:31" x14ac:dyDescent="0.25">
      <c r="A12" s="81" t="s">
        <v>301</v>
      </c>
      <c r="B12" s="185" t="s">
        <v>690</v>
      </c>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row>
    <row r="13" spans="1:31" x14ac:dyDescent="0.25">
      <c r="A13" s="81" t="s">
        <v>303</v>
      </c>
      <c r="B13" s="185">
        <v>0</v>
      </c>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row>
    <row r="14" spans="1:31" x14ac:dyDescent="0.25">
      <c r="A14" s="81" t="s">
        <v>305</v>
      </c>
      <c r="B14" s="185">
        <v>804</v>
      </c>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row>
    <row r="15" spans="1:31" x14ac:dyDescent="0.25">
      <c r="A15" s="81" t="s">
        <v>307</v>
      </c>
      <c r="B15" s="185" t="s">
        <v>700</v>
      </c>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row>
    <row r="16" spans="1:31" x14ac:dyDescent="0.25">
      <c r="A16" s="81" t="s">
        <v>309</v>
      </c>
      <c r="B16" s="185" t="s">
        <v>701</v>
      </c>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row>
    <row r="17" spans="1:31" x14ac:dyDescent="0.25">
      <c r="A17" s="81" t="s">
        <v>803</v>
      </c>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row>
    <row r="18" spans="1:31" x14ac:dyDescent="0.25">
      <c r="A18" s="81" t="s">
        <v>313</v>
      </c>
      <c r="B18" s="188">
        <v>45184</v>
      </c>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row>
    <row r="19" spans="1:31" x14ac:dyDescent="0.25">
      <c r="A19" s="81" t="s">
        <v>315</v>
      </c>
      <c r="B19" s="188"/>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row>
    <row r="20" spans="1:31" x14ac:dyDescent="0.25">
      <c r="A20" s="81" t="s">
        <v>317</v>
      </c>
      <c r="B20" s="185" t="s">
        <v>331</v>
      </c>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row>
    <row r="21" spans="1:31" x14ac:dyDescent="0.25">
      <c r="A21" s="77" t="s">
        <v>323</v>
      </c>
      <c r="B21" s="185" t="s">
        <v>332</v>
      </c>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row>
    <row r="23" spans="1:31" x14ac:dyDescent="0.25">
      <c r="B23" s="102" t="str">
        <f>HYPERLINK("#'Factor List'!A1","Back to Factor List")</f>
        <v>Back to Factor List</v>
      </c>
    </row>
    <row r="24" spans="1:31" x14ac:dyDescent="0.25">
      <c r="B24" s="102" t="s">
        <v>13</v>
      </c>
    </row>
    <row r="25" spans="1:31" x14ac:dyDescent="0.25">
      <c r="B25" s="102"/>
    </row>
    <row r="26" spans="1:31" x14ac:dyDescent="0.25">
      <c r="A26" s="178" t="s">
        <v>972</v>
      </c>
      <c r="B26" s="83">
        <v>50</v>
      </c>
      <c r="C26" s="83">
        <v>51</v>
      </c>
      <c r="D26" s="83">
        <v>52</v>
      </c>
      <c r="E26" s="83">
        <v>53</v>
      </c>
      <c r="F26" s="83">
        <v>54</v>
      </c>
      <c r="G26" s="83">
        <v>55</v>
      </c>
      <c r="H26" s="83">
        <v>56</v>
      </c>
      <c r="I26" s="83">
        <v>57</v>
      </c>
      <c r="J26" s="83">
        <v>58</v>
      </c>
      <c r="K26" s="83">
        <v>59</v>
      </c>
      <c r="L26" s="83">
        <v>60</v>
      </c>
      <c r="M26" s="83">
        <v>61</v>
      </c>
      <c r="N26" s="83">
        <v>62</v>
      </c>
      <c r="O26" s="83">
        <v>63</v>
      </c>
      <c r="P26" s="83">
        <v>64</v>
      </c>
      <c r="Q26" s="83">
        <v>65</v>
      </c>
      <c r="R26" s="83">
        <v>66</v>
      </c>
      <c r="S26" s="83">
        <v>67</v>
      </c>
      <c r="T26" s="83">
        <v>68</v>
      </c>
      <c r="U26" s="83">
        <v>69</v>
      </c>
      <c r="V26" s="83">
        <v>70</v>
      </c>
      <c r="W26" s="83">
        <v>71</v>
      </c>
      <c r="X26" s="83">
        <v>72</v>
      </c>
      <c r="Y26" s="83">
        <v>73</v>
      </c>
      <c r="Z26" s="83">
        <v>74</v>
      </c>
      <c r="AA26" s="83">
        <v>75</v>
      </c>
      <c r="AB26" s="83">
        <v>76</v>
      </c>
      <c r="AC26" s="83">
        <v>77</v>
      </c>
      <c r="AD26" s="83">
        <v>78</v>
      </c>
      <c r="AE26" s="83">
        <v>79</v>
      </c>
    </row>
    <row r="27" spans="1:31" x14ac:dyDescent="0.25">
      <c r="A27" s="97">
        <v>20</v>
      </c>
      <c r="B27" s="96">
        <v>2.1120000000000001</v>
      </c>
      <c r="C27" s="96">
        <v>1.9890000000000001</v>
      </c>
      <c r="D27" s="96">
        <v>1.873</v>
      </c>
      <c r="E27" s="96">
        <v>1.7649999999999999</v>
      </c>
      <c r="F27" s="96">
        <v>1.6619999999999999</v>
      </c>
      <c r="G27" s="96">
        <v>1.5660000000000001</v>
      </c>
      <c r="H27" s="96">
        <v>1.4750000000000001</v>
      </c>
      <c r="I27" s="96">
        <v>1.389</v>
      </c>
      <c r="J27" s="96">
        <v>1.3080000000000001</v>
      </c>
      <c r="K27" s="96">
        <v>1.232</v>
      </c>
      <c r="L27" s="96">
        <v>1.159</v>
      </c>
      <c r="M27" s="96">
        <v>1.091</v>
      </c>
      <c r="N27" s="96">
        <v>1.026</v>
      </c>
      <c r="O27" s="96">
        <v>0.96499999999999997</v>
      </c>
      <c r="P27" s="96">
        <v>0.90700000000000003</v>
      </c>
      <c r="Q27" s="96">
        <v>0.85199999999999998</v>
      </c>
      <c r="R27" s="96">
        <v>0.8</v>
      </c>
      <c r="S27" s="96">
        <v>0.751</v>
      </c>
      <c r="T27" s="96">
        <v>0.70399999999999996</v>
      </c>
      <c r="U27" s="96">
        <v>0.65900000000000003</v>
      </c>
      <c r="V27" s="96">
        <v>0.61699999999999999</v>
      </c>
      <c r="W27" s="96">
        <v>0.57699999999999996</v>
      </c>
      <c r="X27" s="96">
        <v>0.54</v>
      </c>
      <c r="Y27" s="96">
        <v>0.504</v>
      </c>
      <c r="Z27" s="96">
        <v>0.47099999999999997</v>
      </c>
      <c r="AA27" s="96">
        <v>0.439</v>
      </c>
      <c r="AB27" s="96">
        <v>0.40899999999999997</v>
      </c>
      <c r="AC27" s="96">
        <v>0.38200000000000001</v>
      </c>
      <c r="AD27" s="96">
        <v>0.35599999999999998</v>
      </c>
      <c r="AE27" s="96">
        <v>0.33100000000000002</v>
      </c>
    </row>
    <row r="28" spans="1:31" x14ac:dyDescent="0.25">
      <c r="A28" s="97">
        <v>21</v>
      </c>
      <c r="B28" s="89">
        <v>2.1669999999999998</v>
      </c>
      <c r="C28" s="89">
        <v>2.0390000000000001</v>
      </c>
      <c r="D28" s="89">
        <v>1.919</v>
      </c>
      <c r="E28" s="89">
        <v>1.806</v>
      </c>
      <c r="F28" s="89">
        <v>1.7</v>
      </c>
      <c r="G28" s="89">
        <v>1.601</v>
      </c>
      <c r="H28" s="89">
        <v>1.5069999999999999</v>
      </c>
      <c r="I28" s="89">
        <v>1.4179999999999999</v>
      </c>
      <c r="J28" s="89">
        <v>1.335</v>
      </c>
      <c r="K28" s="89">
        <v>1.256</v>
      </c>
      <c r="L28" s="89">
        <v>1.181</v>
      </c>
      <c r="M28" s="89">
        <v>1.111</v>
      </c>
      <c r="N28" s="89">
        <v>1.0449999999999999</v>
      </c>
      <c r="O28" s="89">
        <v>0.98199999999999998</v>
      </c>
      <c r="P28" s="89">
        <v>0.92200000000000004</v>
      </c>
      <c r="Q28" s="89">
        <v>0.86599999999999999</v>
      </c>
      <c r="R28" s="89">
        <v>0.81299999999999994</v>
      </c>
      <c r="S28" s="89">
        <v>0.76200000000000001</v>
      </c>
      <c r="T28" s="89">
        <v>0.71399999999999997</v>
      </c>
      <c r="U28" s="89">
        <v>0.66900000000000004</v>
      </c>
      <c r="V28" s="89">
        <v>0.626</v>
      </c>
      <c r="W28" s="89">
        <v>0.58499999999999996</v>
      </c>
      <c r="X28" s="89">
        <v>0.54700000000000004</v>
      </c>
      <c r="Y28" s="89">
        <v>0.51100000000000001</v>
      </c>
      <c r="Z28" s="89">
        <v>0.47699999999999998</v>
      </c>
      <c r="AA28" s="89">
        <v>0.44500000000000001</v>
      </c>
      <c r="AB28" s="89">
        <v>0.41499999999999998</v>
      </c>
      <c r="AC28" s="89">
        <v>0.38600000000000001</v>
      </c>
      <c r="AD28" s="89">
        <v>0.36</v>
      </c>
      <c r="AE28" s="89">
        <v>0.33500000000000002</v>
      </c>
    </row>
    <row r="29" spans="1:31" x14ac:dyDescent="0.25">
      <c r="A29" s="97">
        <v>22</v>
      </c>
      <c r="B29" s="89">
        <v>2.226</v>
      </c>
      <c r="C29" s="89">
        <v>2.0920000000000001</v>
      </c>
      <c r="D29" s="89">
        <v>1.968</v>
      </c>
      <c r="E29" s="89">
        <v>1.85</v>
      </c>
      <c r="F29" s="89">
        <v>1.7410000000000001</v>
      </c>
      <c r="G29" s="89">
        <v>1.637</v>
      </c>
      <c r="H29" s="89">
        <v>1.54</v>
      </c>
      <c r="I29" s="89">
        <v>1.4490000000000001</v>
      </c>
      <c r="J29" s="89">
        <v>1.3620000000000001</v>
      </c>
      <c r="K29" s="89">
        <v>1.2809999999999999</v>
      </c>
      <c r="L29" s="89">
        <v>1.2050000000000001</v>
      </c>
      <c r="M29" s="89">
        <v>1.1319999999999999</v>
      </c>
      <c r="N29" s="89">
        <v>1.0640000000000001</v>
      </c>
      <c r="O29" s="89">
        <v>0.999</v>
      </c>
      <c r="P29" s="89">
        <v>0.93799999999999994</v>
      </c>
      <c r="Q29" s="89">
        <v>0.88100000000000001</v>
      </c>
      <c r="R29" s="89">
        <v>0.82599999999999996</v>
      </c>
      <c r="S29" s="89">
        <v>0.77500000000000002</v>
      </c>
      <c r="T29" s="89">
        <v>0.72599999999999998</v>
      </c>
      <c r="U29" s="89">
        <v>0.67900000000000005</v>
      </c>
      <c r="V29" s="89">
        <v>0.63600000000000001</v>
      </c>
      <c r="W29" s="89">
        <v>0.59399999999999997</v>
      </c>
      <c r="X29" s="89">
        <v>0.55500000000000005</v>
      </c>
      <c r="Y29" s="89">
        <v>0.51800000000000002</v>
      </c>
      <c r="Z29" s="89">
        <v>0.48299999999999998</v>
      </c>
      <c r="AA29" s="89">
        <v>0.45100000000000001</v>
      </c>
      <c r="AB29" s="89">
        <v>0.42</v>
      </c>
      <c r="AC29" s="89">
        <v>0.39100000000000001</v>
      </c>
      <c r="AD29" s="89">
        <v>0.36399999999999999</v>
      </c>
      <c r="AE29" s="89">
        <v>0.33900000000000002</v>
      </c>
    </row>
    <row r="30" spans="1:31" x14ac:dyDescent="0.25">
      <c r="A30" s="97">
        <v>23</v>
      </c>
      <c r="B30" s="89">
        <v>2.2879999999999998</v>
      </c>
      <c r="C30" s="89">
        <v>2.149</v>
      </c>
      <c r="D30" s="89">
        <v>2.0190000000000001</v>
      </c>
      <c r="E30" s="89">
        <v>1.897</v>
      </c>
      <c r="F30" s="89">
        <v>1.7829999999999999</v>
      </c>
      <c r="G30" s="89">
        <v>1.6759999999999999</v>
      </c>
      <c r="H30" s="89">
        <v>1.575</v>
      </c>
      <c r="I30" s="89">
        <v>1.4810000000000001</v>
      </c>
      <c r="J30" s="89">
        <v>1.3919999999999999</v>
      </c>
      <c r="K30" s="89">
        <v>1.3080000000000001</v>
      </c>
      <c r="L30" s="89">
        <v>1.2290000000000001</v>
      </c>
      <c r="M30" s="89">
        <v>1.155</v>
      </c>
      <c r="N30" s="89">
        <v>1.0840000000000001</v>
      </c>
      <c r="O30" s="89">
        <v>1.018</v>
      </c>
      <c r="P30" s="89">
        <v>0.95499999999999996</v>
      </c>
      <c r="Q30" s="89">
        <v>0.89600000000000002</v>
      </c>
      <c r="R30" s="89">
        <v>0.84</v>
      </c>
      <c r="S30" s="89">
        <v>0.78800000000000003</v>
      </c>
      <c r="T30" s="89">
        <v>0.73699999999999999</v>
      </c>
      <c r="U30" s="89">
        <v>0.69</v>
      </c>
      <c r="V30" s="89">
        <v>0.64500000000000002</v>
      </c>
      <c r="W30" s="89">
        <v>0.60299999999999998</v>
      </c>
      <c r="X30" s="89">
        <v>0.56299999999999994</v>
      </c>
      <c r="Y30" s="89">
        <v>0.52600000000000002</v>
      </c>
      <c r="Z30" s="89">
        <v>0.49</v>
      </c>
      <c r="AA30" s="89">
        <v>0.45700000000000002</v>
      </c>
      <c r="AB30" s="89">
        <v>0.42599999999999999</v>
      </c>
      <c r="AC30" s="89">
        <v>0.39700000000000002</v>
      </c>
      <c r="AD30" s="89">
        <v>0.36899999999999999</v>
      </c>
      <c r="AE30" s="89">
        <v>0.34399999999999997</v>
      </c>
    </row>
    <row r="31" spans="1:31" x14ac:dyDescent="0.25">
      <c r="A31" s="97">
        <v>24</v>
      </c>
      <c r="B31" s="89">
        <v>2.355</v>
      </c>
      <c r="C31" s="89">
        <v>2.21</v>
      </c>
      <c r="D31" s="89">
        <v>2.0739999999999998</v>
      </c>
      <c r="E31" s="89">
        <v>1.9470000000000001</v>
      </c>
      <c r="F31" s="89">
        <v>1.8280000000000001</v>
      </c>
      <c r="G31" s="89">
        <v>1.7170000000000001</v>
      </c>
      <c r="H31" s="89">
        <v>1.613</v>
      </c>
      <c r="I31" s="89">
        <v>1.5149999999999999</v>
      </c>
      <c r="J31" s="89">
        <v>1.423</v>
      </c>
      <c r="K31" s="89">
        <v>1.3360000000000001</v>
      </c>
      <c r="L31" s="89">
        <v>1.2549999999999999</v>
      </c>
      <c r="M31" s="89">
        <v>1.1779999999999999</v>
      </c>
      <c r="N31" s="89">
        <v>1.1060000000000001</v>
      </c>
      <c r="O31" s="89">
        <v>1.038</v>
      </c>
      <c r="P31" s="89">
        <v>0.97299999999999998</v>
      </c>
      <c r="Q31" s="89">
        <v>0.91300000000000003</v>
      </c>
      <c r="R31" s="89">
        <v>0.85499999999999998</v>
      </c>
      <c r="S31" s="89">
        <v>0.80100000000000005</v>
      </c>
      <c r="T31" s="89">
        <v>0.75</v>
      </c>
      <c r="U31" s="89">
        <v>0.70099999999999996</v>
      </c>
      <c r="V31" s="89">
        <v>0.65600000000000003</v>
      </c>
      <c r="W31" s="89">
        <v>0.61199999999999999</v>
      </c>
      <c r="X31" s="89">
        <v>0.57199999999999995</v>
      </c>
      <c r="Y31" s="89">
        <v>0.53300000000000003</v>
      </c>
      <c r="Z31" s="89">
        <v>0.497</v>
      </c>
      <c r="AA31" s="89">
        <v>0.46300000000000002</v>
      </c>
      <c r="AB31" s="89">
        <v>0.432</v>
      </c>
      <c r="AC31" s="89">
        <v>0.40200000000000002</v>
      </c>
      <c r="AD31" s="89">
        <v>0.374</v>
      </c>
      <c r="AE31" s="89">
        <v>0.34799999999999998</v>
      </c>
    </row>
    <row r="32" spans="1:31" x14ac:dyDescent="0.25">
      <c r="A32" s="97">
        <v>25</v>
      </c>
      <c r="B32" s="89">
        <v>2.427</v>
      </c>
      <c r="C32" s="89">
        <v>2.2749999999999999</v>
      </c>
      <c r="D32" s="89">
        <v>2.133</v>
      </c>
      <c r="E32" s="89">
        <v>2</v>
      </c>
      <c r="F32" s="89">
        <v>1.877</v>
      </c>
      <c r="G32" s="89">
        <v>1.7609999999999999</v>
      </c>
      <c r="H32" s="89">
        <v>1.653</v>
      </c>
      <c r="I32" s="89">
        <v>1.5509999999999999</v>
      </c>
      <c r="J32" s="89">
        <v>1.456</v>
      </c>
      <c r="K32" s="89">
        <v>1.3660000000000001</v>
      </c>
      <c r="L32" s="89">
        <v>1.282</v>
      </c>
      <c r="M32" s="89">
        <v>1.2030000000000001</v>
      </c>
      <c r="N32" s="89">
        <v>1.1279999999999999</v>
      </c>
      <c r="O32" s="89">
        <v>1.0580000000000001</v>
      </c>
      <c r="P32" s="89">
        <v>0.99199999999999999</v>
      </c>
      <c r="Q32" s="89">
        <v>0.93</v>
      </c>
      <c r="R32" s="89">
        <v>0.871</v>
      </c>
      <c r="S32" s="89">
        <v>0.81499999999999995</v>
      </c>
      <c r="T32" s="89">
        <v>0.76300000000000001</v>
      </c>
      <c r="U32" s="89">
        <v>0.71299999999999997</v>
      </c>
      <c r="V32" s="89">
        <v>0.66600000000000004</v>
      </c>
      <c r="W32" s="89">
        <v>0.622</v>
      </c>
      <c r="X32" s="89">
        <v>0.58099999999999996</v>
      </c>
      <c r="Y32" s="89">
        <v>0.54100000000000004</v>
      </c>
      <c r="Z32" s="89">
        <v>0.505</v>
      </c>
      <c r="AA32" s="89">
        <v>0.47</v>
      </c>
      <c r="AB32" s="89">
        <v>0.438</v>
      </c>
      <c r="AC32" s="89">
        <v>0.40799999999999997</v>
      </c>
      <c r="AD32" s="89">
        <v>0.379</v>
      </c>
      <c r="AE32" s="89">
        <v>0.35299999999999998</v>
      </c>
    </row>
    <row r="33" spans="1:31" x14ac:dyDescent="0.25">
      <c r="A33" s="97">
        <v>26</v>
      </c>
      <c r="B33" s="89">
        <v>2.5030000000000001</v>
      </c>
      <c r="C33" s="89">
        <v>2.3439999999999999</v>
      </c>
      <c r="D33" s="89">
        <v>2.1949999999999998</v>
      </c>
      <c r="E33" s="89">
        <v>2.0569999999999999</v>
      </c>
      <c r="F33" s="89">
        <v>1.9279999999999999</v>
      </c>
      <c r="G33" s="89">
        <v>1.8080000000000001</v>
      </c>
      <c r="H33" s="89">
        <v>1.6950000000000001</v>
      </c>
      <c r="I33" s="89">
        <v>1.589</v>
      </c>
      <c r="J33" s="89">
        <v>1.4910000000000001</v>
      </c>
      <c r="K33" s="89">
        <v>1.3979999999999999</v>
      </c>
      <c r="L33" s="89">
        <v>1.3109999999999999</v>
      </c>
      <c r="M33" s="89">
        <v>1.2290000000000001</v>
      </c>
      <c r="N33" s="89">
        <v>1.1519999999999999</v>
      </c>
      <c r="O33" s="89">
        <v>1.08</v>
      </c>
      <c r="P33" s="89">
        <v>1.012</v>
      </c>
      <c r="Q33" s="89">
        <v>0.94799999999999995</v>
      </c>
      <c r="R33" s="89">
        <v>0.88700000000000001</v>
      </c>
      <c r="S33" s="89">
        <v>0.83</v>
      </c>
      <c r="T33" s="89">
        <v>0.77600000000000002</v>
      </c>
      <c r="U33" s="89">
        <v>0.72599999999999998</v>
      </c>
      <c r="V33" s="89">
        <v>0.67800000000000005</v>
      </c>
      <c r="W33" s="89">
        <v>0.63200000000000001</v>
      </c>
      <c r="X33" s="89">
        <v>0.59</v>
      </c>
      <c r="Y33" s="89">
        <v>0.55000000000000004</v>
      </c>
      <c r="Z33" s="89">
        <v>0.51300000000000001</v>
      </c>
      <c r="AA33" s="89">
        <v>0.47699999999999998</v>
      </c>
      <c r="AB33" s="89">
        <v>0.44400000000000001</v>
      </c>
      <c r="AC33" s="89">
        <v>0.41299999999999998</v>
      </c>
      <c r="AD33" s="89">
        <v>0.38500000000000001</v>
      </c>
      <c r="AE33" s="89">
        <v>0.35799999999999998</v>
      </c>
    </row>
    <row r="34" spans="1:31" x14ac:dyDescent="0.25">
      <c r="A34" s="97">
        <v>27</v>
      </c>
      <c r="B34" s="89">
        <v>2.5859999999999999</v>
      </c>
      <c r="C34" s="89">
        <v>2.4180000000000001</v>
      </c>
      <c r="D34" s="89">
        <v>2.2629999999999999</v>
      </c>
      <c r="E34" s="89">
        <v>2.1179999999999999</v>
      </c>
      <c r="F34" s="89">
        <v>1.9830000000000001</v>
      </c>
      <c r="G34" s="89">
        <v>1.857</v>
      </c>
      <c r="H34" s="89">
        <v>1.74</v>
      </c>
      <c r="I34" s="89">
        <v>1.63</v>
      </c>
      <c r="J34" s="89">
        <v>1.528</v>
      </c>
      <c r="K34" s="89">
        <v>1.4319999999999999</v>
      </c>
      <c r="L34" s="89">
        <v>1.341</v>
      </c>
      <c r="M34" s="89">
        <v>1.2569999999999999</v>
      </c>
      <c r="N34" s="89">
        <v>1.177</v>
      </c>
      <c r="O34" s="89">
        <v>1.103</v>
      </c>
      <c r="P34" s="89">
        <v>1.0329999999999999</v>
      </c>
      <c r="Q34" s="89">
        <v>0.96699999999999997</v>
      </c>
      <c r="R34" s="89">
        <v>0.90500000000000003</v>
      </c>
      <c r="S34" s="89">
        <v>0.84599999999999997</v>
      </c>
      <c r="T34" s="89">
        <v>0.79100000000000004</v>
      </c>
      <c r="U34" s="89">
        <v>0.73899999999999999</v>
      </c>
      <c r="V34" s="89">
        <v>0.69</v>
      </c>
      <c r="W34" s="89">
        <v>0.64300000000000002</v>
      </c>
      <c r="X34" s="89">
        <v>0.6</v>
      </c>
      <c r="Y34" s="89">
        <v>0.55900000000000005</v>
      </c>
      <c r="Z34" s="89">
        <v>0.52100000000000002</v>
      </c>
      <c r="AA34" s="89">
        <v>0.48499999999999999</v>
      </c>
      <c r="AB34" s="89">
        <v>0.45100000000000001</v>
      </c>
      <c r="AC34" s="89">
        <v>0.42</v>
      </c>
      <c r="AD34" s="89">
        <v>0.39</v>
      </c>
      <c r="AE34" s="89">
        <v>0.36299999999999999</v>
      </c>
    </row>
    <row r="35" spans="1:31" x14ac:dyDescent="0.25">
      <c r="A35" s="97">
        <v>28</v>
      </c>
      <c r="B35" s="89">
        <v>2.6739999999999999</v>
      </c>
      <c r="C35" s="89">
        <v>2.4980000000000002</v>
      </c>
      <c r="D35" s="89">
        <v>2.3340000000000001</v>
      </c>
      <c r="E35" s="89">
        <v>2.1829999999999998</v>
      </c>
      <c r="F35" s="89">
        <v>2.0419999999999998</v>
      </c>
      <c r="G35" s="89">
        <v>1.91</v>
      </c>
      <c r="H35" s="89">
        <v>1.788</v>
      </c>
      <c r="I35" s="89">
        <v>1.6739999999999999</v>
      </c>
      <c r="J35" s="89">
        <v>1.5669999999999999</v>
      </c>
      <c r="K35" s="89">
        <v>1.4670000000000001</v>
      </c>
      <c r="L35" s="89">
        <v>1.3740000000000001</v>
      </c>
      <c r="M35" s="89">
        <v>1.286</v>
      </c>
      <c r="N35" s="89">
        <v>1.204</v>
      </c>
      <c r="O35" s="89">
        <v>1.127</v>
      </c>
      <c r="P35" s="89">
        <v>1.0549999999999999</v>
      </c>
      <c r="Q35" s="89">
        <v>0.98699999999999999</v>
      </c>
      <c r="R35" s="89">
        <v>0.92300000000000004</v>
      </c>
      <c r="S35" s="89">
        <v>0.86299999999999999</v>
      </c>
      <c r="T35" s="89">
        <v>0.80600000000000005</v>
      </c>
      <c r="U35" s="89">
        <v>0.752</v>
      </c>
      <c r="V35" s="89">
        <v>0.70199999999999996</v>
      </c>
      <c r="W35" s="89">
        <v>0.65500000000000003</v>
      </c>
      <c r="X35" s="89">
        <v>0.61</v>
      </c>
      <c r="Y35" s="89">
        <v>0.56799999999999995</v>
      </c>
      <c r="Z35" s="89">
        <v>0.52900000000000003</v>
      </c>
      <c r="AA35" s="89">
        <v>0.49199999999999999</v>
      </c>
      <c r="AB35" s="89">
        <v>0.45800000000000002</v>
      </c>
      <c r="AC35" s="89">
        <v>0.42599999999999999</v>
      </c>
      <c r="AD35" s="89">
        <v>0.39600000000000002</v>
      </c>
      <c r="AE35" s="89">
        <v>0.36799999999999999</v>
      </c>
    </row>
    <row r="36" spans="1:31" x14ac:dyDescent="0.25">
      <c r="A36" s="97">
        <v>29</v>
      </c>
      <c r="B36" s="89">
        <v>2.77</v>
      </c>
      <c r="C36" s="89">
        <v>2.5840000000000001</v>
      </c>
      <c r="D36" s="89">
        <v>2.4119999999999999</v>
      </c>
      <c r="E36" s="89">
        <v>2.2519999999999998</v>
      </c>
      <c r="F36" s="89">
        <v>2.1040000000000001</v>
      </c>
      <c r="G36" s="89">
        <v>1.9670000000000001</v>
      </c>
      <c r="H36" s="89">
        <v>1.839</v>
      </c>
      <c r="I36" s="89">
        <v>1.72</v>
      </c>
      <c r="J36" s="89">
        <v>1.609</v>
      </c>
      <c r="K36" s="89">
        <v>1.5049999999999999</v>
      </c>
      <c r="L36" s="89">
        <v>1.4079999999999999</v>
      </c>
      <c r="M36" s="89">
        <v>1.3169999999999999</v>
      </c>
      <c r="N36" s="89">
        <v>1.232</v>
      </c>
      <c r="O36" s="89">
        <v>1.153</v>
      </c>
      <c r="P36" s="89">
        <v>1.0780000000000001</v>
      </c>
      <c r="Q36" s="89">
        <v>1.008</v>
      </c>
      <c r="R36" s="89">
        <v>0.94199999999999995</v>
      </c>
      <c r="S36" s="89">
        <v>0.88</v>
      </c>
      <c r="T36" s="89">
        <v>0.82199999999999995</v>
      </c>
      <c r="U36" s="89">
        <v>0.76700000000000002</v>
      </c>
      <c r="V36" s="89">
        <v>0.71499999999999997</v>
      </c>
      <c r="W36" s="89">
        <v>0.66600000000000004</v>
      </c>
      <c r="X36" s="89">
        <v>0.621</v>
      </c>
      <c r="Y36" s="89">
        <v>0.57799999999999996</v>
      </c>
      <c r="Z36" s="89">
        <v>0.53800000000000003</v>
      </c>
      <c r="AA36" s="89">
        <v>0.501</v>
      </c>
      <c r="AB36" s="89">
        <v>0.46500000000000002</v>
      </c>
      <c r="AC36" s="89">
        <v>0.433</v>
      </c>
      <c r="AD36" s="89">
        <v>0.40200000000000002</v>
      </c>
      <c r="AE36" s="89">
        <v>0.374</v>
      </c>
    </row>
    <row r="37" spans="1:31" x14ac:dyDescent="0.25">
      <c r="A37" s="97">
        <v>30</v>
      </c>
      <c r="B37" s="89">
        <v>2.8719999999999999</v>
      </c>
      <c r="C37" s="89">
        <v>2.6760000000000002</v>
      </c>
      <c r="D37" s="89">
        <v>2.4950000000000001</v>
      </c>
      <c r="E37" s="89">
        <v>2.327</v>
      </c>
      <c r="F37" s="89">
        <v>2.1720000000000002</v>
      </c>
      <c r="G37" s="89">
        <v>2.028</v>
      </c>
      <c r="H37" s="89">
        <v>1.8939999999999999</v>
      </c>
      <c r="I37" s="89">
        <v>1.7689999999999999</v>
      </c>
      <c r="J37" s="89">
        <v>1.6539999999999999</v>
      </c>
      <c r="K37" s="89">
        <v>1.546</v>
      </c>
      <c r="L37" s="89">
        <v>1.4450000000000001</v>
      </c>
      <c r="M37" s="89">
        <v>1.351</v>
      </c>
      <c r="N37" s="89">
        <v>1.262</v>
      </c>
      <c r="O37" s="89">
        <v>1.18</v>
      </c>
      <c r="P37" s="89">
        <v>1.103</v>
      </c>
      <c r="Q37" s="89">
        <v>1.03</v>
      </c>
      <c r="R37" s="89">
        <v>0.96199999999999997</v>
      </c>
      <c r="S37" s="89">
        <v>0.89800000000000002</v>
      </c>
      <c r="T37" s="89">
        <v>0.83799999999999997</v>
      </c>
      <c r="U37" s="89">
        <v>0.78200000000000003</v>
      </c>
      <c r="V37" s="89">
        <v>0.72899999999999998</v>
      </c>
      <c r="W37" s="89">
        <v>0.67900000000000005</v>
      </c>
      <c r="X37" s="89">
        <v>0.63200000000000001</v>
      </c>
      <c r="Y37" s="89">
        <v>0.58799999999999997</v>
      </c>
      <c r="Z37" s="89">
        <v>0.54700000000000004</v>
      </c>
      <c r="AA37" s="89">
        <v>0.50900000000000001</v>
      </c>
      <c r="AB37" s="89">
        <v>0.47299999999999998</v>
      </c>
      <c r="AC37" s="89">
        <v>0.44</v>
      </c>
      <c r="AD37" s="89">
        <v>0.40899999999999997</v>
      </c>
      <c r="AE37" s="89">
        <v>0.38</v>
      </c>
    </row>
    <row r="38" spans="1:31" x14ac:dyDescent="0.25">
      <c r="A38" s="97">
        <v>31</v>
      </c>
      <c r="B38" s="89">
        <v>2.984</v>
      </c>
      <c r="C38" s="89">
        <v>2.7759999999999998</v>
      </c>
      <c r="D38" s="89">
        <v>2.5840000000000001</v>
      </c>
      <c r="E38" s="89">
        <v>2.407</v>
      </c>
      <c r="F38" s="89">
        <v>2.2440000000000002</v>
      </c>
      <c r="G38" s="89">
        <v>2.093</v>
      </c>
      <c r="H38" s="89">
        <v>1.952</v>
      </c>
      <c r="I38" s="89">
        <v>1.8220000000000001</v>
      </c>
      <c r="J38" s="89">
        <v>1.7010000000000001</v>
      </c>
      <c r="K38" s="89">
        <v>1.589</v>
      </c>
      <c r="L38" s="89">
        <v>1.484</v>
      </c>
      <c r="M38" s="89">
        <v>1.3859999999999999</v>
      </c>
      <c r="N38" s="89">
        <v>1.294</v>
      </c>
      <c r="O38" s="89">
        <v>1.2090000000000001</v>
      </c>
      <c r="P38" s="89">
        <v>1.129</v>
      </c>
      <c r="Q38" s="89">
        <v>1.054</v>
      </c>
      <c r="R38" s="89">
        <v>0.98399999999999999</v>
      </c>
      <c r="S38" s="89">
        <v>0.91800000000000004</v>
      </c>
      <c r="T38" s="89">
        <v>0.85599999999999998</v>
      </c>
      <c r="U38" s="89">
        <v>0.79800000000000004</v>
      </c>
      <c r="V38" s="89">
        <v>0.74299999999999999</v>
      </c>
      <c r="W38" s="89">
        <v>0.69199999999999995</v>
      </c>
      <c r="X38" s="89">
        <v>0.64400000000000002</v>
      </c>
      <c r="Y38" s="89">
        <v>0.59899999999999998</v>
      </c>
      <c r="Z38" s="89">
        <v>0.55700000000000005</v>
      </c>
      <c r="AA38" s="89">
        <v>0.51800000000000002</v>
      </c>
      <c r="AB38" s="89">
        <v>0.48099999999999998</v>
      </c>
      <c r="AC38" s="89">
        <v>0.44700000000000001</v>
      </c>
      <c r="AD38" s="89">
        <v>0.41499999999999998</v>
      </c>
      <c r="AE38" s="89">
        <v>0.38600000000000001</v>
      </c>
    </row>
    <row r="39" spans="1:31" x14ac:dyDescent="0.25">
      <c r="A39" s="97">
        <v>32</v>
      </c>
      <c r="B39" s="89">
        <v>3.1040000000000001</v>
      </c>
      <c r="C39" s="89">
        <v>2.883</v>
      </c>
      <c r="D39" s="89">
        <v>2.681</v>
      </c>
      <c r="E39" s="89">
        <v>2.4940000000000002</v>
      </c>
      <c r="F39" s="89">
        <v>2.3220000000000001</v>
      </c>
      <c r="G39" s="89">
        <v>2.1619999999999999</v>
      </c>
      <c r="H39" s="89">
        <v>2.0150000000000001</v>
      </c>
      <c r="I39" s="89">
        <v>1.879</v>
      </c>
      <c r="J39" s="89">
        <v>1.752</v>
      </c>
      <c r="K39" s="89">
        <v>1.6339999999999999</v>
      </c>
      <c r="L39" s="89">
        <v>1.5249999999999999</v>
      </c>
      <c r="M39" s="89">
        <v>1.423</v>
      </c>
      <c r="N39" s="89">
        <v>1.3280000000000001</v>
      </c>
      <c r="O39" s="89">
        <v>1.2390000000000001</v>
      </c>
      <c r="P39" s="89">
        <v>1.157</v>
      </c>
      <c r="Q39" s="89">
        <v>1.079</v>
      </c>
      <c r="R39" s="89">
        <v>1.0069999999999999</v>
      </c>
      <c r="S39" s="89">
        <v>0.93799999999999994</v>
      </c>
      <c r="T39" s="89">
        <v>0.875</v>
      </c>
      <c r="U39" s="89">
        <v>0.81499999999999995</v>
      </c>
      <c r="V39" s="89">
        <v>0.75900000000000001</v>
      </c>
      <c r="W39" s="89">
        <v>0.70599999999999996</v>
      </c>
      <c r="X39" s="89">
        <v>0.65700000000000003</v>
      </c>
      <c r="Y39" s="89">
        <v>0.61099999999999999</v>
      </c>
      <c r="Z39" s="89">
        <v>0.56799999999999995</v>
      </c>
      <c r="AA39" s="89">
        <v>0.52700000000000002</v>
      </c>
      <c r="AB39" s="89">
        <v>0.49</v>
      </c>
      <c r="AC39" s="89">
        <v>0.45500000000000002</v>
      </c>
      <c r="AD39" s="89">
        <v>0.42199999999999999</v>
      </c>
      <c r="AE39" s="89">
        <v>0.39200000000000002</v>
      </c>
    </row>
    <row r="40" spans="1:31" x14ac:dyDescent="0.25">
      <c r="A40" s="97">
        <v>33</v>
      </c>
      <c r="B40" s="89">
        <v>3.2349999999999999</v>
      </c>
      <c r="C40" s="89">
        <v>3</v>
      </c>
      <c r="D40" s="89">
        <v>2.7850000000000001</v>
      </c>
      <c r="E40" s="89">
        <v>2.5870000000000002</v>
      </c>
      <c r="F40" s="89">
        <v>2.4049999999999998</v>
      </c>
      <c r="G40" s="89">
        <v>2.2370000000000001</v>
      </c>
      <c r="H40" s="89">
        <v>2.0830000000000002</v>
      </c>
      <c r="I40" s="89">
        <v>1.9390000000000001</v>
      </c>
      <c r="J40" s="89">
        <v>1.8069999999999999</v>
      </c>
      <c r="K40" s="89">
        <v>1.6839999999999999</v>
      </c>
      <c r="L40" s="89">
        <v>1.569</v>
      </c>
      <c r="M40" s="89">
        <v>1.4630000000000001</v>
      </c>
      <c r="N40" s="89">
        <v>1.3640000000000001</v>
      </c>
      <c r="O40" s="89">
        <v>1.272</v>
      </c>
      <c r="P40" s="89">
        <v>1.1859999999999999</v>
      </c>
      <c r="Q40" s="89">
        <v>1.1060000000000001</v>
      </c>
      <c r="R40" s="89">
        <v>1.0309999999999999</v>
      </c>
      <c r="S40" s="89">
        <v>0.96</v>
      </c>
      <c r="T40" s="89">
        <v>0.89400000000000002</v>
      </c>
      <c r="U40" s="89">
        <v>0.83299999999999996</v>
      </c>
      <c r="V40" s="89">
        <v>0.77500000000000002</v>
      </c>
      <c r="W40" s="89">
        <v>0.72099999999999997</v>
      </c>
      <c r="X40" s="89">
        <v>0.67</v>
      </c>
      <c r="Y40" s="89">
        <v>0.623</v>
      </c>
      <c r="Z40" s="89">
        <v>0.57899999999999996</v>
      </c>
      <c r="AA40" s="89">
        <v>0.53700000000000003</v>
      </c>
      <c r="AB40" s="89">
        <v>0.499</v>
      </c>
      <c r="AC40" s="89">
        <v>0.46300000000000002</v>
      </c>
      <c r="AD40" s="89">
        <v>0.43</v>
      </c>
      <c r="AE40" s="89">
        <v>0.39900000000000002</v>
      </c>
    </row>
    <row r="41" spans="1:31" x14ac:dyDescent="0.25">
      <c r="A41" s="97">
        <v>34</v>
      </c>
      <c r="B41" s="89">
        <v>3.3769999999999998</v>
      </c>
      <c r="C41" s="89">
        <v>3.1269999999999998</v>
      </c>
      <c r="D41" s="89">
        <v>2.8980000000000001</v>
      </c>
      <c r="E41" s="89">
        <v>2.6880000000000002</v>
      </c>
      <c r="F41" s="89">
        <v>2.4950000000000001</v>
      </c>
      <c r="G41" s="89">
        <v>2.3180000000000001</v>
      </c>
      <c r="H41" s="89">
        <v>2.1549999999999998</v>
      </c>
      <c r="I41" s="89">
        <v>2.004</v>
      </c>
      <c r="J41" s="89">
        <v>1.865</v>
      </c>
      <c r="K41" s="89">
        <v>1.736</v>
      </c>
      <c r="L41" s="89">
        <v>1.617</v>
      </c>
      <c r="M41" s="89">
        <v>1.506</v>
      </c>
      <c r="N41" s="89">
        <v>1.4019999999999999</v>
      </c>
      <c r="O41" s="89">
        <v>1.3069999999999999</v>
      </c>
      <c r="P41" s="89">
        <v>1.2170000000000001</v>
      </c>
      <c r="Q41" s="89">
        <v>1.1339999999999999</v>
      </c>
      <c r="R41" s="89">
        <v>1.056</v>
      </c>
      <c r="S41" s="89">
        <v>0.98299999999999998</v>
      </c>
      <c r="T41" s="89">
        <v>0.91500000000000004</v>
      </c>
      <c r="U41" s="89">
        <v>0.85099999999999998</v>
      </c>
      <c r="V41" s="89">
        <v>0.79200000000000004</v>
      </c>
      <c r="W41" s="89">
        <v>0.73599999999999999</v>
      </c>
      <c r="X41" s="89">
        <v>0.68400000000000005</v>
      </c>
      <c r="Y41" s="89">
        <v>0.63500000000000001</v>
      </c>
      <c r="Z41" s="89">
        <v>0.59</v>
      </c>
      <c r="AA41" s="89">
        <v>0.54800000000000004</v>
      </c>
      <c r="AB41" s="89">
        <v>0.50800000000000001</v>
      </c>
      <c r="AC41" s="89">
        <v>0.47099999999999997</v>
      </c>
      <c r="AD41" s="89">
        <v>0.437</v>
      </c>
      <c r="AE41" s="89">
        <v>0.40600000000000003</v>
      </c>
    </row>
    <row r="42" spans="1:31" x14ac:dyDescent="0.25">
      <c r="A42" s="97">
        <v>35</v>
      </c>
      <c r="B42" s="89">
        <v>3.5310000000000001</v>
      </c>
      <c r="C42" s="89">
        <v>3.2639999999999998</v>
      </c>
      <c r="D42" s="89">
        <v>3.02</v>
      </c>
      <c r="E42" s="89">
        <v>2.7970000000000002</v>
      </c>
      <c r="F42" s="89">
        <v>2.593</v>
      </c>
      <c r="G42" s="89">
        <v>2.4060000000000001</v>
      </c>
      <c r="H42" s="89">
        <v>2.2330000000000001</v>
      </c>
      <c r="I42" s="89">
        <v>2.0739999999999998</v>
      </c>
      <c r="J42" s="89">
        <v>1.9279999999999999</v>
      </c>
      <c r="K42" s="89">
        <v>1.792</v>
      </c>
      <c r="L42" s="89">
        <v>1.667</v>
      </c>
      <c r="M42" s="89">
        <v>1.5509999999999999</v>
      </c>
      <c r="N42" s="89">
        <v>1.4430000000000001</v>
      </c>
      <c r="O42" s="89">
        <v>1.343</v>
      </c>
      <c r="P42" s="89">
        <v>1.25</v>
      </c>
      <c r="Q42" s="89">
        <v>1.1639999999999999</v>
      </c>
      <c r="R42" s="89">
        <v>1.083</v>
      </c>
      <c r="S42" s="89">
        <v>1.008</v>
      </c>
      <c r="T42" s="89">
        <v>0.93700000000000006</v>
      </c>
      <c r="U42" s="89">
        <v>0.871</v>
      </c>
      <c r="V42" s="89">
        <v>0.81</v>
      </c>
      <c r="W42" s="89">
        <v>0.752</v>
      </c>
      <c r="X42" s="89">
        <v>0.69899999999999995</v>
      </c>
      <c r="Y42" s="89">
        <v>0.64900000000000002</v>
      </c>
      <c r="Z42" s="89">
        <v>0.60199999999999998</v>
      </c>
      <c r="AA42" s="89">
        <v>0.55800000000000005</v>
      </c>
      <c r="AB42" s="89">
        <v>0.51800000000000002</v>
      </c>
      <c r="AC42" s="89">
        <v>0.48</v>
      </c>
      <c r="AD42" s="89">
        <v>0.44600000000000001</v>
      </c>
      <c r="AE42" s="89">
        <v>0.41299999999999998</v>
      </c>
    </row>
    <row r="43" spans="1:31" x14ac:dyDescent="0.25">
      <c r="A43" s="97">
        <v>36</v>
      </c>
      <c r="B43" s="89">
        <v>3.7</v>
      </c>
      <c r="C43" s="89">
        <v>3.4140000000000001</v>
      </c>
      <c r="D43" s="89">
        <v>3.1539999999999999</v>
      </c>
      <c r="E43" s="89">
        <v>2.9159999999999999</v>
      </c>
      <c r="F43" s="89">
        <v>2.6989999999999998</v>
      </c>
      <c r="G43" s="89">
        <v>2.5</v>
      </c>
      <c r="H43" s="89">
        <v>2.3170000000000002</v>
      </c>
      <c r="I43" s="89">
        <v>2.15</v>
      </c>
      <c r="J43" s="89">
        <v>1.9950000000000001</v>
      </c>
      <c r="K43" s="89">
        <v>1.853</v>
      </c>
      <c r="L43" s="89">
        <v>1.7210000000000001</v>
      </c>
      <c r="M43" s="89">
        <v>1.6</v>
      </c>
      <c r="N43" s="89">
        <v>1.4870000000000001</v>
      </c>
      <c r="O43" s="89">
        <v>1.383</v>
      </c>
      <c r="P43" s="89">
        <v>1.286</v>
      </c>
      <c r="Q43" s="89">
        <v>1.196</v>
      </c>
      <c r="R43" s="89">
        <v>1.1120000000000001</v>
      </c>
      <c r="S43" s="89">
        <v>1.034</v>
      </c>
      <c r="T43" s="89">
        <v>0.96099999999999997</v>
      </c>
      <c r="U43" s="89">
        <v>0.89300000000000002</v>
      </c>
      <c r="V43" s="89">
        <v>0.82899999999999996</v>
      </c>
      <c r="W43" s="89">
        <v>0.76900000000000002</v>
      </c>
      <c r="X43" s="89">
        <v>0.71399999999999997</v>
      </c>
      <c r="Y43" s="89">
        <v>0.66300000000000003</v>
      </c>
      <c r="Z43" s="89">
        <v>0.61499999999999999</v>
      </c>
      <c r="AA43" s="89">
        <v>0.56999999999999995</v>
      </c>
      <c r="AB43" s="89">
        <v>0.52800000000000002</v>
      </c>
      <c r="AC43" s="89">
        <v>0.49</v>
      </c>
      <c r="AD43" s="89">
        <v>0.45400000000000001</v>
      </c>
      <c r="AE43" s="89">
        <v>0.42099999999999999</v>
      </c>
    </row>
    <row r="44" spans="1:31" x14ac:dyDescent="0.25">
      <c r="A44" s="97">
        <v>37</v>
      </c>
      <c r="B44" s="89">
        <v>3.8839999999999999</v>
      </c>
      <c r="C44" s="89">
        <v>3.5779999999999998</v>
      </c>
      <c r="D44" s="89">
        <v>3.2989999999999999</v>
      </c>
      <c r="E44" s="89">
        <v>3.0449999999999999</v>
      </c>
      <c r="F44" s="89">
        <v>2.8140000000000001</v>
      </c>
      <c r="G44" s="89">
        <v>2.6019999999999999</v>
      </c>
      <c r="H44" s="89">
        <v>2.4089999999999998</v>
      </c>
      <c r="I44" s="89">
        <v>2.2309999999999999</v>
      </c>
      <c r="J44" s="89">
        <v>2.0680000000000001</v>
      </c>
      <c r="K44" s="89">
        <v>1.9179999999999999</v>
      </c>
      <c r="L44" s="89">
        <v>1.78</v>
      </c>
      <c r="M44" s="89">
        <v>1.6519999999999999</v>
      </c>
      <c r="N44" s="89">
        <v>1.534</v>
      </c>
      <c r="O44" s="89">
        <v>1.425</v>
      </c>
      <c r="P44" s="89">
        <v>1.3240000000000001</v>
      </c>
      <c r="Q44" s="89">
        <v>1.23</v>
      </c>
      <c r="R44" s="89">
        <v>1.143</v>
      </c>
      <c r="S44" s="89">
        <v>1.0609999999999999</v>
      </c>
      <c r="T44" s="89">
        <v>0.98599999999999999</v>
      </c>
      <c r="U44" s="89">
        <v>0.91500000000000004</v>
      </c>
      <c r="V44" s="89">
        <v>0.84899999999999998</v>
      </c>
      <c r="W44" s="89">
        <v>0.78800000000000003</v>
      </c>
      <c r="X44" s="89">
        <v>0.73099999999999998</v>
      </c>
      <c r="Y44" s="89">
        <v>0.67700000000000005</v>
      </c>
      <c r="Z44" s="89">
        <v>0.628</v>
      </c>
      <c r="AA44" s="89">
        <v>0.58199999999999996</v>
      </c>
      <c r="AB44" s="89">
        <v>0.53900000000000003</v>
      </c>
      <c r="AC44" s="89">
        <v>0.5</v>
      </c>
      <c r="AD44" s="89">
        <v>0.46300000000000002</v>
      </c>
      <c r="AE44" s="89">
        <v>0.42899999999999999</v>
      </c>
    </row>
    <row r="45" spans="1:31" x14ac:dyDescent="0.25">
      <c r="A45" s="97">
        <v>38</v>
      </c>
      <c r="B45" s="89">
        <v>4.0860000000000003</v>
      </c>
      <c r="C45" s="89">
        <v>3.7570000000000001</v>
      </c>
      <c r="D45" s="89">
        <v>3.4569999999999999</v>
      </c>
      <c r="E45" s="89">
        <v>3.1859999999999999</v>
      </c>
      <c r="F45" s="89">
        <v>2.9390000000000001</v>
      </c>
      <c r="G45" s="89">
        <v>2.7130000000000001</v>
      </c>
      <c r="H45" s="89">
        <v>2.508</v>
      </c>
      <c r="I45" s="89">
        <v>2.319</v>
      </c>
      <c r="J45" s="89">
        <v>2.1469999999999998</v>
      </c>
      <c r="K45" s="89">
        <v>1.988</v>
      </c>
      <c r="L45" s="89">
        <v>1.843</v>
      </c>
      <c r="M45" s="89">
        <v>1.708</v>
      </c>
      <c r="N45" s="89">
        <v>1.585</v>
      </c>
      <c r="O45" s="89">
        <v>1.47</v>
      </c>
      <c r="P45" s="89">
        <v>1.3640000000000001</v>
      </c>
      <c r="Q45" s="89">
        <v>1.266</v>
      </c>
      <c r="R45" s="89">
        <v>1.175</v>
      </c>
      <c r="S45" s="89">
        <v>1.091</v>
      </c>
      <c r="T45" s="89">
        <v>1.012</v>
      </c>
      <c r="U45" s="89">
        <v>0.93899999999999995</v>
      </c>
      <c r="V45" s="89">
        <v>0.871</v>
      </c>
      <c r="W45" s="89">
        <v>0.80700000000000005</v>
      </c>
      <c r="X45" s="89">
        <v>0.748</v>
      </c>
      <c r="Y45" s="89">
        <v>0.69299999999999995</v>
      </c>
      <c r="Z45" s="89">
        <v>0.64200000000000002</v>
      </c>
      <c r="AA45" s="89">
        <v>0.59499999999999997</v>
      </c>
      <c r="AB45" s="89">
        <v>0.55100000000000005</v>
      </c>
      <c r="AC45" s="89">
        <v>0.51</v>
      </c>
      <c r="AD45" s="89">
        <v>0.47199999999999998</v>
      </c>
      <c r="AE45" s="89">
        <v>0.438</v>
      </c>
    </row>
    <row r="46" spans="1:31" x14ac:dyDescent="0.25">
      <c r="A46" s="97">
        <v>39</v>
      </c>
      <c r="B46" s="89">
        <v>4.3079999999999998</v>
      </c>
      <c r="C46" s="89">
        <v>3.9529999999999998</v>
      </c>
      <c r="D46" s="89">
        <v>3.6309999999999998</v>
      </c>
      <c r="E46" s="89">
        <v>3.339</v>
      </c>
      <c r="F46" s="89">
        <v>3.0750000000000002</v>
      </c>
      <c r="G46" s="89">
        <v>2.8340000000000001</v>
      </c>
      <c r="H46" s="89">
        <v>2.6150000000000002</v>
      </c>
      <c r="I46" s="89">
        <v>2.415</v>
      </c>
      <c r="J46" s="89">
        <v>2.2320000000000002</v>
      </c>
      <c r="K46" s="89">
        <v>2.0640000000000001</v>
      </c>
      <c r="L46" s="89">
        <v>1.91</v>
      </c>
      <c r="M46" s="89">
        <v>1.7689999999999999</v>
      </c>
      <c r="N46" s="89">
        <v>1.639</v>
      </c>
      <c r="O46" s="89">
        <v>1.5189999999999999</v>
      </c>
      <c r="P46" s="89">
        <v>1.4079999999999999</v>
      </c>
      <c r="Q46" s="89">
        <v>1.3049999999999999</v>
      </c>
      <c r="R46" s="89">
        <v>1.21</v>
      </c>
      <c r="S46" s="89">
        <v>1.1220000000000001</v>
      </c>
      <c r="T46" s="89">
        <v>1.04</v>
      </c>
      <c r="U46" s="89">
        <v>0.96399999999999997</v>
      </c>
      <c r="V46" s="89">
        <v>0.89300000000000002</v>
      </c>
      <c r="W46" s="89">
        <v>0.82699999999999996</v>
      </c>
      <c r="X46" s="89">
        <v>0.76600000000000001</v>
      </c>
      <c r="Y46" s="89">
        <v>0.71</v>
      </c>
      <c r="Z46" s="89">
        <v>0.65700000000000003</v>
      </c>
      <c r="AA46" s="89">
        <v>0.60799999999999998</v>
      </c>
      <c r="AB46" s="89">
        <v>0.56299999999999994</v>
      </c>
      <c r="AC46" s="89">
        <v>0.52100000000000002</v>
      </c>
      <c r="AD46" s="89">
        <v>0.48199999999999998</v>
      </c>
      <c r="AE46" s="89">
        <v>0.44700000000000001</v>
      </c>
    </row>
    <row r="47" spans="1:31" x14ac:dyDescent="0.25">
      <c r="A47" s="97">
        <v>40</v>
      </c>
      <c r="B47" s="89">
        <v>4.5519999999999996</v>
      </c>
      <c r="C47" s="89">
        <v>4.1680000000000001</v>
      </c>
      <c r="D47" s="89">
        <v>3.8210000000000002</v>
      </c>
      <c r="E47" s="89">
        <v>3.508</v>
      </c>
      <c r="F47" s="89">
        <v>3.2240000000000002</v>
      </c>
      <c r="G47" s="89">
        <v>2.9660000000000002</v>
      </c>
      <c r="H47" s="89">
        <v>2.7320000000000002</v>
      </c>
      <c r="I47" s="89">
        <v>2.5190000000000001</v>
      </c>
      <c r="J47" s="89">
        <v>2.3239999999999998</v>
      </c>
      <c r="K47" s="89">
        <v>2.1459999999999999</v>
      </c>
      <c r="L47" s="89">
        <v>1.9830000000000001</v>
      </c>
      <c r="M47" s="89">
        <v>1.8340000000000001</v>
      </c>
      <c r="N47" s="89">
        <v>1.6970000000000001</v>
      </c>
      <c r="O47" s="89">
        <v>1.571</v>
      </c>
      <c r="P47" s="89">
        <v>1.454</v>
      </c>
      <c r="Q47" s="89">
        <v>1.347</v>
      </c>
      <c r="R47" s="89">
        <v>1.248</v>
      </c>
      <c r="S47" s="89">
        <v>1.1559999999999999</v>
      </c>
      <c r="T47" s="89">
        <v>1.07</v>
      </c>
      <c r="U47" s="89">
        <v>0.99099999999999999</v>
      </c>
      <c r="V47" s="89">
        <v>0.91800000000000004</v>
      </c>
      <c r="W47" s="89">
        <v>0.84899999999999998</v>
      </c>
      <c r="X47" s="89">
        <v>0.78600000000000003</v>
      </c>
      <c r="Y47" s="89">
        <v>0.72699999999999998</v>
      </c>
      <c r="Z47" s="89">
        <v>0.67300000000000004</v>
      </c>
      <c r="AA47" s="89">
        <v>0.623</v>
      </c>
      <c r="AB47" s="89">
        <v>0.57599999999999996</v>
      </c>
      <c r="AC47" s="89">
        <v>0.53300000000000003</v>
      </c>
      <c r="AD47" s="89">
        <v>0.49299999999999999</v>
      </c>
      <c r="AE47" s="89">
        <v>0.45600000000000002</v>
      </c>
    </row>
    <row r="48" spans="1:31" x14ac:dyDescent="0.25">
      <c r="A48" s="97">
        <v>41</v>
      </c>
      <c r="B48" s="89">
        <v>4.8209999999999997</v>
      </c>
      <c r="C48" s="89">
        <v>4.4050000000000002</v>
      </c>
      <c r="D48" s="89">
        <v>4.03</v>
      </c>
      <c r="E48" s="89">
        <v>3.6920000000000002</v>
      </c>
      <c r="F48" s="89">
        <v>3.3860000000000001</v>
      </c>
      <c r="G48" s="89">
        <v>3.11</v>
      </c>
      <c r="H48" s="89">
        <v>2.859</v>
      </c>
      <c r="I48" s="89">
        <v>2.6309999999999998</v>
      </c>
      <c r="J48" s="89">
        <v>2.4239999999999999</v>
      </c>
      <c r="K48" s="89">
        <v>2.2349999999999999</v>
      </c>
      <c r="L48" s="89">
        <v>2.0630000000000002</v>
      </c>
      <c r="M48" s="89">
        <v>1.905</v>
      </c>
      <c r="N48" s="89">
        <v>1.76</v>
      </c>
      <c r="O48" s="89">
        <v>1.627</v>
      </c>
      <c r="P48" s="89">
        <v>1.504</v>
      </c>
      <c r="Q48" s="89">
        <v>1.3919999999999999</v>
      </c>
      <c r="R48" s="89">
        <v>1.288</v>
      </c>
      <c r="S48" s="89">
        <v>1.1910000000000001</v>
      </c>
      <c r="T48" s="89">
        <v>1.1020000000000001</v>
      </c>
      <c r="U48" s="89">
        <v>1.02</v>
      </c>
      <c r="V48" s="89">
        <v>0.94299999999999995</v>
      </c>
      <c r="W48" s="89">
        <v>0.872</v>
      </c>
      <c r="X48" s="89">
        <v>0.80700000000000005</v>
      </c>
      <c r="Y48" s="89">
        <v>0.746</v>
      </c>
      <c r="Z48" s="89">
        <v>0.69</v>
      </c>
      <c r="AA48" s="89">
        <v>0.63800000000000001</v>
      </c>
      <c r="AB48" s="89">
        <v>0.59</v>
      </c>
      <c r="AC48" s="89">
        <v>0.54500000000000004</v>
      </c>
      <c r="AD48" s="89">
        <v>0.504</v>
      </c>
      <c r="AE48" s="89">
        <v>0.46600000000000003</v>
      </c>
    </row>
    <row r="49" spans="1:31" x14ac:dyDescent="0.25">
      <c r="A49" s="97">
        <v>42</v>
      </c>
      <c r="B49" s="89">
        <v>5.117</v>
      </c>
      <c r="C49" s="89">
        <v>4.665</v>
      </c>
      <c r="D49" s="89">
        <v>4.2590000000000003</v>
      </c>
      <c r="E49" s="89">
        <v>3.8940000000000001</v>
      </c>
      <c r="F49" s="89">
        <v>3.5649999999999999</v>
      </c>
      <c r="G49" s="89">
        <v>3.2669999999999999</v>
      </c>
      <c r="H49" s="89">
        <v>2.9980000000000002</v>
      </c>
      <c r="I49" s="89">
        <v>2.7549999999999999</v>
      </c>
      <c r="J49" s="89">
        <v>2.5329999999999999</v>
      </c>
      <c r="K49" s="89">
        <v>2.3319999999999999</v>
      </c>
      <c r="L49" s="89">
        <v>2.1480000000000001</v>
      </c>
      <c r="M49" s="89">
        <v>1.9810000000000001</v>
      </c>
      <c r="N49" s="89">
        <v>1.8280000000000001</v>
      </c>
      <c r="O49" s="89">
        <v>1.6870000000000001</v>
      </c>
      <c r="P49" s="89">
        <v>1.5580000000000001</v>
      </c>
      <c r="Q49" s="89">
        <v>1.44</v>
      </c>
      <c r="R49" s="89">
        <v>1.331</v>
      </c>
      <c r="S49" s="89">
        <v>1.23</v>
      </c>
      <c r="T49" s="89">
        <v>1.137</v>
      </c>
      <c r="U49" s="89">
        <v>1.0509999999999999</v>
      </c>
      <c r="V49" s="89">
        <v>0.97099999999999997</v>
      </c>
      <c r="W49" s="89">
        <v>0.89700000000000002</v>
      </c>
      <c r="X49" s="89">
        <v>0.82899999999999996</v>
      </c>
      <c r="Y49" s="89">
        <v>0.76600000000000001</v>
      </c>
      <c r="Z49" s="89">
        <v>0.70799999999999996</v>
      </c>
      <c r="AA49" s="89">
        <v>0.65400000000000003</v>
      </c>
      <c r="AB49" s="89">
        <v>0.60399999999999998</v>
      </c>
      <c r="AC49" s="89">
        <v>0.55800000000000005</v>
      </c>
      <c r="AD49" s="89">
        <v>0.51600000000000001</v>
      </c>
      <c r="AE49" s="89">
        <v>0.47699999999999998</v>
      </c>
    </row>
    <row r="50" spans="1:31" x14ac:dyDescent="0.25">
      <c r="A50" s="97">
        <v>43</v>
      </c>
      <c r="B50" s="89">
        <v>5.444</v>
      </c>
      <c r="C50" s="89">
        <v>4.9530000000000003</v>
      </c>
      <c r="D50" s="89">
        <v>4.5119999999999996</v>
      </c>
      <c r="E50" s="89">
        <v>4.117</v>
      </c>
      <c r="F50" s="89">
        <v>3.7610000000000001</v>
      </c>
      <c r="G50" s="89">
        <v>3.44</v>
      </c>
      <c r="H50" s="89">
        <v>3.1509999999999998</v>
      </c>
      <c r="I50" s="89">
        <v>2.8889999999999998</v>
      </c>
      <c r="J50" s="89">
        <v>2.6520000000000001</v>
      </c>
      <c r="K50" s="89">
        <v>2.4369999999999998</v>
      </c>
      <c r="L50" s="89">
        <v>2.242</v>
      </c>
      <c r="M50" s="89">
        <v>2.0640000000000001</v>
      </c>
      <c r="N50" s="89">
        <v>1.901</v>
      </c>
      <c r="O50" s="89">
        <v>1.752</v>
      </c>
      <c r="P50" s="89">
        <v>1.6160000000000001</v>
      </c>
      <c r="Q50" s="89">
        <v>1.492</v>
      </c>
      <c r="R50" s="89">
        <v>1.377</v>
      </c>
      <c r="S50" s="89">
        <v>1.2709999999999999</v>
      </c>
      <c r="T50" s="89">
        <v>1.1739999999999999</v>
      </c>
      <c r="U50" s="89">
        <v>1.0840000000000001</v>
      </c>
      <c r="V50" s="89">
        <v>1</v>
      </c>
      <c r="W50" s="89">
        <v>0.92300000000000004</v>
      </c>
      <c r="X50" s="89">
        <v>0.85199999999999998</v>
      </c>
      <c r="Y50" s="89">
        <v>0.78700000000000003</v>
      </c>
      <c r="Z50" s="89">
        <v>0.72699999999999998</v>
      </c>
      <c r="AA50" s="89">
        <v>0.67100000000000004</v>
      </c>
      <c r="AB50" s="89">
        <v>0.61899999999999999</v>
      </c>
      <c r="AC50" s="89">
        <v>0.57199999999999995</v>
      </c>
      <c r="AD50" s="89">
        <v>0.52800000000000002</v>
      </c>
      <c r="AE50" s="89">
        <v>0.48799999999999999</v>
      </c>
    </row>
    <row r="51" spans="1:31" x14ac:dyDescent="0.25">
      <c r="A51" s="97">
        <v>44</v>
      </c>
      <c r="B51" s="89">
        <v>5.8070000000000004</v>
      </c>
      <c r="C51" s="89">
        <v>5.2709999999999999</v>
      </c>
      <c r="D51" s="89">
        <v>4.7919999999999998</v>
      </c>
      <c r="E51" s="89">
        <v>4.3620000000000001</v>
      </c>
      <c r="F51" s="89">
        <v>3.9769999999999999</v>
      </c>
      <c r="G51" s="89">
        <v>3.63</v>
      </c>
      <c r="H51" s="89">
        <v>3.3180000000000001</v>
      </c>
      <c r="I51" s="89">
        <v>3.036</v>
      </c>
      <c r="J51" s="89">
        <v>2.782</v>
      </c>
      <c r="K51" s="89">
        <v>2.552</v>
      </c>
      <c r="L51" s="89">
        <v>2.343</v>
      </c>
      <c r="M51" s="89">
        <v>2.153</v>
      </c>
      <c r="N51" s="89">
        <v>1.9810000000000001</v>
      </c>
      <c r="O51" s="89">
        <v>1.823</v>
      </c>
      <c r="P51" s="89">
        <v>1.679</v>
      </c>
      <c r="Q51" s="89">
        <v>1.5469999999999999</v>
      </c>
      <c r="R51" s="89">
        <v>1.427</v>
      </c>
      <c r="S51" s="89">
        <v>1.3149999999999999</v>
      </c>
      <c r="T51" s="89">
        <v>1.2130000000000001</v>
      </c>
      <c r="U51" s="89">
        <v>1.119</v>
      </c>
      <c r="V51" s="89">
        <v>1.032</v>
      </c>
      <c r="W51" s="89">
        <v>0.95099999999999996</v>
      </c>
      <c r="X51" s="89">
        <v>0.878</v>
      </c>
      <c r="Y51" s="89">
        <v>0.81</v>
      </c>
      <c r="Z51" s="89">
        <v>0.747</v>
      </c>
      <c r="AA51" s="89">
        <v>0.68899999999999995</v>
      </c>
      <c r="AB51" s="89">
        <v>0.63600000000000001</v>
      </c>
      <c r="AC51" s="89">
        <v>0.58599999999999997</v>
      </c>
      <c r="AD51" s="89">
        <v>0.54100000000000004</v>
      </c>
      <c r="AE51" s="89">
        <v>0.5</v>
      </c>
    </row>
    <row r="52" spans="1:31" x14ac:dyDescent="0.25">
      <c r="A52" s="97">
        <v>45</v>
      </c>
      <c r="B52" s="89">
        <v>6.2080000000000002</v>
      </c>
      <c r="C52" s="89">
        <v>5.6230000000000002</v>
      </c>
      <c r="D52" s="89">
        <v>5.101</v>
      </c>
      <c r="E52" s="89">
        <v>4.633</v>
      </c>
      <c r="F52" s="89">
        <v>4.2140000000000004</v>
      </c>
      <c r="G52" s="89">
        <v>3.839</v>
      </c>
      <c r="H52" s="89">
        <v>3.5019999999999998</v>
      </c>
      <c r="I52" s="89">
        <v>3.198</v>
      </c>
      <c r="J52" s="89">
        <v>2.9239999999999999</v>
      </c>
      <c r="K52" s="89">
        <v>2.677</v>
      </c>
      <c r="L52" s="89">
        <v>2.4540000000000002</v>
      </c>
      <c r="M52" s="89">
        <v>2.2509999999999999</v>
      </c>
      <c r="N52" s="89">
        <v>2.0670000000000002</v>
      </c>
      <c r="O52" s="89">
        <v>1.9</v>
      </c>
      <c r="P52" s="89">
        <v>1.7470000000000001</v>
      </c>
      <c r="Q52" s="89">
        <v>1.6080000000000001</v>
      </c>
      <c r="R52" s="89">
        <v>1.48</v>
      </c>
      <c r="S52" s="89">
        <v>1.363</v>
      </c>
      <c r="T52" s="89">
        <v>1.256</v>
      </c>
      <c r="U52" s="89">
        <v>1.157</v>
      </c>
      <c r="V52" s="89">
        <v>1.0660000000000001</v>
      </c>
      <c r="W52" s="89">
        <v>0.98199999999999998</v>
      </c>
      <c r="X52" s="89">
        <v>0.90500000000000003</v>
      </c>
      <c r="Y52" s="89">
        <v>0.83399999999999996</v>
      </c>
      <c r="Z52" s="89">
        <v>0.76800000000000002</v>
      </c>
      <c r="AA52" s="89">
        <v>0.70799999999999996</v>
      </c>
      <c r="AB52" s="89">
        <v>0.65300000000000002</v>
      </c>
      <c r="AC52" s="89">
        <v>0.60199999999999998</v>
      </c>
      <c r="AD52" s="89">
        <v>0.55500000000000005</v>
      </c>
      <c r="AE52" s="89">
        <v>0.51200000000000001</v>
      </c>
    </row>
    <row r="53" spans="1:31" x14ac:dyDescent="0.25">
      <c r="A53" s="97">
        <v>46</v>
      </c>
      <c r="B53" s="89">
        <v>6.6529999999999996</v>
      </c>
      <c r="C53" s="89">
        <v>6.0129999999999999</v>
      </c>
      <c r="D53" s="89">
        <v>5.4429999999999996</v>
      </c>
      <c r="E53" s="89">
        <v>4.9329999999999998</v>
      </c>
      <c r="F53" s="89">
        <v>4.4770000000000003</v>
      </c>
      <c r="G53" s="89">
        <v>4.069</v>
      </c>
      <c r="H53" s="89">
        <v>3.7040000000000002</v>
      </c>
      <c r="I53" s="89">
        <v>3.3759999999999999</v>
      </c>
      <c r="J53" s="89">
        <v>3.081</v>
      </c>
      <c r="K53" s="89">
        <v>2.8149999999999999</v>
      </c>
      <c r="L53" s="89">
        <v>2.5750000000000002</v>
      </c>
      <c r="M53" s="89">
        <v>2.3580000000000001</v>
      </c>
      <c r="N53" s="89">
        <v>2.1619999999999999</v>
      </c>
      <c r="O53" s="89">
        <v>1.9830000000000001</v>
      </c>
      <c r="P53" s="89">
        <v>1.821</v>
      </c>
      <c r="Q53" s="89">
        <v>1.673</v>
      </c>
      <c r="R53" s="89">
        <v>1.538</v>
      </c>
      <c r="S53" s="89">
        <v>1.415</v>
      </c>
      <c r="T53" s="89">
        <v>1.3009999999999999</v>
      </c>
      <c r="U53" s="89">
        <v>1.1970000000000001</v>
      </c>
      <c r="V53" s="89">
        <v>1.1020000000000001</v>
      </c>
      <c r="W53" s="89">
        <v>1.014</v>
      </c>
      <c r="X53" s="89">
        <v>0.93300000000000005</v>
      </c>
      <c r="Y53" s="89">
        <v>0.85899999999999999</v>
      </c>
      <c r="Z53" s="89">
        <v>0.79100000000000004</v>
      </c>
      <c r="AA53" s="89">
        <v>0.72899999999999998</v>
      </c>
      <c r="AB53" s="89">
        <v>0.67100000000000004</v>
      </c>
      <c r="AC53" s="89">
        <v>0.61799999999999999</v>
      </c>
      <c r="AD53" s="89">
        <v>0.56999999999999995</v>
      </c>
      <c r="AE53" s="89">
        <v>0.52600000000000002</v>
      </c>
    </row>
    <row r="54" spans="1:31" x14ac:dyDescent="0.25">
      <c r="A54" s="97">
        <v>47</v>
      </c>
      <c r="B54" s="89">
        <v>7.1479999999999997</v>
      </c>
      <c r="C54" s="89">
        <v>6.4470000000000001</v>
      </c>
      <c r="D54" s="89">
        <v>5.8220000000000001</v>
      </c>
      <c r="E54" s="89">
        <v>5.2649999999999997</v>
      </c>
      <c r="F54" s="89">
        <v>4.7679999999999998</v>
      </c>
      <c r="G54" s="89">
        <v>4.3239999999999998</v>
      </c>
      <c r="H54" s="89">
        <v>3.927</v>
      </c>
      <c r="I54" s="89">
        <v>3.5720000000000001</v>
      </c>
      <c r="J54" s="89">
        <v>3.2530000000000001</v>
      </c>
      <c r="K54" s="89">
        <v>2.9660000000000002</v>
      </c>
      <c r="L54" s="89">
        <v>2.7080000000000002</v>
      </c>
      <c r="M54" s="89">
        <v>2.4750000000000001</v>
      </c>
      <c r="N54" s="89">
        <v>2.2650000000000001</v>
      </c>
      <c r="O54" s="89">
        <v>2.0739999999999998</v>
      </c>
      <c r="P54" s="89">
        <v>1.9019999999999999</v>
      </c>
      <c r="Q54" s="89">
        <v>1.7450000000000001</v>
      </c>
      <c r="R54" s="89">
        <v>1.601</v>
      </c>
      <c r="S54" s="89">
        <v>1.47</v>
      </c>
      <c r="T54" s="89">
        <v>1.351</v>
      </c>
      <c r="U54" s="89">
        <v>1.2410000000000001</v>
      </c>
      <c r="V54" s="89">
        <v>1.141</v>
      </c>
      <c r="W54" s="89">
        <v>1.0489999999999999</v>
      </c>
      <c r="X54" s="89">
        <v>0.96399999999999997</v>
      </c>
      <c r="Y54" s="89">
        <v>0.88700000000000001</v>
      </c>
      <c r="Z54" s="89">
        <v>0.81599999999999995</v>
      </c>
      <c r="AA54" s="89">
        <v>0.751</v>
      </c>
      <c r="AB54" s="89">
        <v>0.69099999999999995</v>
      </c>
      <c r="AC54" s="89">
        <v>0.63600000000000001</v>
      </c>
      <c r="AD54" s="89">
        <v>0.58599999999999997</v>
      </c>
      <c r="AE54" s="89">
        <v>0.54</v>
      </c>
    </row>
    <row r="55" spans="1:31" x14ac:dyDescent="0.25">
      <c r="A55" s="97">
        <v>48</v>
      </c>
      <c r="B55" s="89">
        <v>7.6970000000000001</v>
      </c>
      <c r="C55" s="89">
        <v>6.9279999999999999</v>
      </c>
      <c r="D55" s="89">
        <v>6.2430000000000003</v>
      </c>
      <c r="E55" s="89">
        <v>5.6340000000000003</v>
      </c>
      <c r="F55" s="89">
        <v>5.0910000000000002</v>
      </c>
      <c r="G55" s="89">
        <v>4.6070000000000002</v>
      </c>
      <c r="H55" s="89">
        <v>4.1740000000000004</v>
      </c>
      <c r="I55" s="89">
        <v>3.7879999999999998</v>
      </c>
      <c r="J55" s="89">
        <v>3.4420000000000002</v>
      </c>
      <c r="K55" s="89">
        <v>3.1320000000000001</v>
      </c>
      <c r="L55" s="89">
        <v>2.8540000000000001</v>
      </c>
      <c r="M55" s="89">
        <v>2.6040000000000001</v>
      </c>
      <c r="N55" s="89">
        <v>2.3780000000000001</v>
      </c>
      <c r="O55" s="89">
        <v>2.1739999999999999</v>
      </c>
      <c r="P55" s="89">
        <v>1.9890000000000001</v>
      </c>
      <c r="Q55" s="89">
        <v>1.8220000000000001</v>
      </c>
      <c r="R55" s="89">
        <v>1.67</v>
      </c>
      <c r="S55" s="89">
        <v>1.5309999999999999</v>
      </c>
      <c r="T55" s="89">
        <v>1.4039999999999999</v>
      </c>
      <c r="U55" s="89">
        <v>1.2889999999999999</v>
      </c>
      <c r="V55" s="89">
        <v>1.1830000000000001</v>
      </c>
      <c r="W55" s="89">
        <v>1.0860000000000001</v>
      </c>
      <c r="X55" s="89">
        <v>0.997</v>
      </c>
      <c r="Y55" s="89">
        <v>0.91600000000000004</v>
      </c>
      <c r="Z55" s="89">
        <v>0.84199999999999997</v>
      </c>
      <c r="AA55" s="89">
        <v>0.77400000000000002</v>
      </c>
      <c r="AB55" s="89">
        <v>0.71199999999999997</v>
      </c>
      <c r="AC55" s="89">
        <v>0.65500000000000003</v>
      </c>
      <c r="AD55" s="89">
        <v>0.60199999999999998</v>
      </c>
      <c r="AE55" s="89">
        <v>0.55500000000000005</v>
      </c>
    </row>
    <row r="56" spans="1:31" x14ac:dyDescent="0.25">
      <c r="A56" s="97">
        <v>49</v>
      </c>
      <c r="B56" s="89">
        <v>8.3089999999999993</v>
      </c>
      <c r="C56" s="89">
        <v>7.4640000000000004</v>
      </c>
      <c r="D56" s="89">
        <v>6.7119999999999997</v>
      </c>
      <c r="E56" s="89">
        <v>6.0439999999999996</v>
      </c>
      <c r="F56" s="89">
        <v>5.4489999999999998</v>
      </c>
      <c r="G56" s="89">
        <v>4.92</v>
      </c>
      <c r="H56" s="89">
        <v>4.4480000000000004</v>
      </c>
      <c r="I56" s="89">
        <v>4.0270000000000001</v>
      </c>
      <c r="J56" s="89">
        <v>3.6520000000000001</v>
      </c>
      <c r="K56" s="89">
        <v>3.3159999999999998</v>
      </c>
      <c r="L56" s="89">
        <v>3.0150000000000001</v>
      </c>
      <c r="M56" s="89">
        <v>2.7450000000000001</v>
      </c>
      <c r="N56" s="89">
        <v>2.5019999999999998</v>
      </c>
      <c r="O56" s="89">
        <v>2.2829999999999999</v>
      </c>
      <c r="P56" s="89">
        <v>2.085</v>
      </c>
      <c r="Q56" s="89">
        <v>1.9059999999999999</v>
      </c>
      <c r="R56" s="89">
        <v>1.744</v>
      </c>
      <c r="S56" s="89">
        <v>1.597</v>
      </c>
      <c r="T56" s="89">
        <v>1.4630000000000001</v>
      </c>
      <c r="U56" s="89">
        <v>1.34</v>
      </c>
      <c r="V56" s="89">
        <v>1.2290000000000001</v>
      </c>
      <c r="W56" s="89">
        <v>1.1259999999999999</v>
      </c>
      <c r="X56" s="89">
        <v>1.0329999999999999</v>
      </c>
      <c r="Y56" s="89">
        <v>0.94799999999999995</v>
      </c>
      <c r="Z56" s="89">
        <v>0.87</v>
      </c>
      <c r="AA56" s="89">
        <v>0.79900000000000004</v>
      </c>
      <c r="AB56" s="89">
        <v>0.73399999999999999</v>
      </c>
      <c r="AC56" s="89">
        <v>0.67500000000000004</v>
      </c>
      <c r="AD56" s="89">
        <v>0.62</v>
      </c>
      <c r="AE56" s="89">
        <v>0.57099999999999995</v>
      </c>
    </row>
    <row r="57" spans="1:31" x14ac:dyDescent="0.25">
      <c r="A57" s="97">
        <v>50</v>
      </c>
      <c r="B57" s="89">
        <v>8.99</v>
      </c>
      <c r="C57" s="89">
        <v>8.06</v>
      </c>
      <c r="D57" s="89">
        <v>7.234</v>
      </c>
      <c r="E57" s="89">
        <v>6.5</v>
      </c>
      <c r="F57" s="89">
        <v>5.8479999999999999</v>
      </c>
      <c r="G57" s="89">
        <v>5.2679999999999998</v>
      </c>
      <c r="H57" s="89">
        <v>4.7519999999999998</v>
      </c>
      <c r="I57" s="89">
        <v>4.2930000000000001</v>
      </c>
      <c r="J57" s="89">
        <v>3.8839999999999999</v>
      </c>
      <c r="K57" s="89">
        <v>3.5190000000000001</v>
      </c>
      <c r="L57" s="89">
        <v>3.1920000000000002</v>
      </c>
      <c r="M57" s="89">
        <v>2.9</v>
      </c>
      <c r="N57" s="89">
        <v>2.6379999999999999</v>
      </c>
      <c r="O57" s="89">
        <v>2.4020000000000001</v>
      </c>
      <c r="P57" s="89">
        <v>2.19</v>
      </c>
      <c r="Q57" s="89">
        <v>1.9990000000000001</v>
      </c>
      <c r="R57" s="89">
        <v>1.8260000000000001</v>
      </c>
      <c r="S57" s="89">
        <v>1.669</v>
      </c>
      <c r="T57" s="89">
        <v>1.526</v>
      </c>
      <c r="U57" s="89">
        <v>1.3959999999999999</v>
      </c>
      <c r="V57" s="89">
        <v>1.278</v>
      </c>
      <c r="W57" s="89">
        <v>1.17</v>
      </c>
      <c r="X57" s="89">
        <v>1.0720000000000001</v>
      </c>
      <c r="Y57" s="89">
        <v>0.98299999999999998</v>
      </c>
      <c r="Z57" s="89">
        <v>0.90100000000000002</v>
      </c>
      <c r="AA57" s="89">
        <v>0.82599999999999996</v>
      </c>
      <c r="AB57" s="89">
        <v>0.75800000000000001</v>
      </c>
      <c r="AC57" s="89">
        <v>0.69599999999999995</v>
      </c>
      <c r="AD57" s="89">
        <v>0.64</v>
      </c>
      <c r="AE57" s="89">
        <v>0.58799999999999997</v>
      </c>
    </row>
    <row r="58" spans="1:31" x14ac:dyDescent="0.25">
      <c r="A58" s="97">
        <v>51</v>
      </c>
      <c r="B58" s="89">
        <v>9.75</v>
      </c>
      <c r="C58" s="89">
        <v>8.7260000000000009</v>
      </c>
      <c r="D58" s="89">
        <v>7.8159999999999998</v>
      </c>
      <c r="E58" s="89">
        <v>7.0090000000000003</v>
      </c>
      <c r="F58" s="89">
        <v>6.2919999999999998</v>
      </c>
      <c r="G58" s="89">
        <v>5.6550000000000002</v>
      </c>
      <c r="H58" s="89">
        <v>5.09</v>
      </c>
      <c r="I58" s="89">
        <v>4.5880000000000001</v>
      </c>
      <c r="J58" s="89">
        <v>4.141</v>
      </c>
      <c r="K58" s="89">
        <v>3.7440000000000002</v>
      </c>
      <c r="L58" s="89">
        <v>3.3889999999999998</v>
      </c>
      <c r="M58" s="89">
        <v>3.0720000000000001</v>
      </c>
      <c r="N58" s="89">
        <v>2.7879999999999998</v>
      </c>
      <c r="O58" s="89">
        <v>2.5339999999999998</v>
      </c>
      <c r="P58" s="89">
        <v>2.306</v>
      </c>
      <c r="Q58" s="89">
        <v>2.1</v>
      </c>
      <c r="R58" s="89">
        <v>1.915</v>
      </c>
      <c r="S58" s="89">
        <v>1.7470000000000001</v>
      </c>
      <c r="T58" s="89">
        <v>1.595</v>
      </c>
      <c r="U58" s="89">
        <v>1.4570000000000001</v>
      </c>
      <c r="V58" s="89">
        <v>1.3320000000000001</v>
      </c>
      <c r="W58" s="89">
        <v>1.2170000000000001</v>
      </c>
      <c r="X58" s="89">
        <v>1.1140000000000001</v>
      </c>
      <c r="Y58" s="89">
        <v>1.02</v>
      </c>
      <c r="Z58" s="89">
        <v>0.93400000000000005</v>
      </c>
      <c r="AA58" s="89">
        <v>0.85599999999999998</v>
      </c>
      <c r="AB58" s="89">
        <v>0.78400000000000003</v>
      </c>
      <c r="AC58" s="89">
        <v>0.71899999999999997</v>
      </c>
      <c r="AD58" s="89">
        <v>0.66</v>
      </c>
      <c r="AE58" s="89">
        <v>0.60599999999999998</v>
      </c>
    </row>
    <row r="59" spans="1:31" x14ac:dyDescent="0.25">
      <c r="A59" s="97">
        <v>52</v>
      </c>
      <c r="B59" s="89">
        <v>10.597</v>
      </c>
      <c r="C59" s="89">
        <v>9.468</v>
      </c>
      <c r="D59" s="89">
        <v>8.4649999999999999</v>
      </c>
      <c r="E59" s="89">
        <v>7.5759999999999996</v>
      </c>
      <c r="F59" s="89">
        <v>6.7869999999999999</v>
      </c>
      <c r="G59" s="89">
        <v>6.0880000000000001</v>
      </c>
      <c r="H59" s="89">
        <v>5.4669999999999996</v>
      </c>
      <c r="I59" s="89">
        <v>4.9169999999999998</v>
      </c>
      <c r="J59" s="89">
        <v>4.4279999999999999</v>
      </c>
      <c r="K59" s="89">
        <v>3.9929999999999999</v>
      </c>
      <c r="L59" s="89">
        <v>3.6070000000000002</v>
      </c>
      <c r="M59" s="89">
        <v>3.262</v>
      </c>
      <c r="N59" s="89">
        <v>2.9550000000000001</v>
      </c>
      <c r="O59" s="89">
        <v>2.68</v>
      </c>
      <c r="P59" s="89">
        <v>2.4329999999999998</v>
      </c>
      <c r="Q59" s="89">
        <v>2.2120000000000002</v>
      </c>
      <c r="R59" s="89">
        <v>2.0129999999999999</v>
      </c>
      <c r="S59" s="89">
        <v>1.833</v>
      </c>
      <c r="T59" s="89">
        <v>1.67</v>
      </c>
      <c r="U59" s="89">
        <v>1.5229999999999999</v>
      </c>
      <c r="V59" s="89">
        <v>1.39</v>
      </c>
      <c r="W59" s="89">
        <v>1.2689999999999999</v>
      </c>
      <c r="X59" s="89">
        <v>1.159</v>
      </c>
      <c r="Y59" s="89">
        <v>1.06</v>
      </c>
      <c r="Z59" s="89">
        <v>0.96899999999999997</v>
      </c>
      <c r="AA59" s="89">
        <v>0.88700000000000001</v>
      </c>
      <c r="AB59" s="89">
        <v>0.81200000000000006</v>
      </c>
      <c r="AC59" s="89">
        <v>0.74399999999999999</v>
      </c>
      <c r="AD59" s="89">
        <v>0.68200000000000005</v>
      </c>
      <c r="AE59" s="89">
        <v>0.626</v>
      </c>
    </row>
    <row r="60" spans="1:31" x14ac:dyDescent="0.25">
      <c r="A60" s="97">
        <v>53</v>
      </c>
      <c r="B60" s="89">
        <v>11.542999999999999</v>
      </c>
      <c r="C60" s="89">
        <v>10.297000000000001</v>
      </c>
      <c r="D60" s="89">
        <v>9.1910000000000007</v>
      </c>
      <c r="E60" s="89">
        <v>8.2100000000000009</v>
      </c>
      <c r="F60" s="89">
        <v>7.3410000000000002</v>
      </c>
      <c r="G60" s="89">
        <v>6.5709999999999997</v>
      </c>
      <c r="H60" s="89">
        <v>5.8879999999999999</v>
      </c>
      <c r="I60" s="89">
        <v>5.2830000000000004</v>
      </c>
      <c r="J60" s="89">
        <v>4.7469999999999999</v>
      </c>
      <c r="K60" s="89">
        <v>4.2720000000000002</v>
      </c>
      <c r="L60" s="89">
        <v>3.8490000000000002</v>
      </c>
      <c r="M60" s="89">
        <v>3.4740000000000002</v>
      </c>
      <c r="N60" s="89">
        <v>3.1389999999999998</v>
      </c>
      <c r="O60" s="89">
        <v>2.8410000000000002</v>
      </c>
      <c r="P60" s="89">
        <v>2.5739999999999998</v>
      </c>
      <c r="Q60" s="89">
        <v>2.335</v>
      </c>
      <c r="R60" s="89">
        <v>2.12</v>
      </c>
      <c r="S60" s="89">
        <v>1.927</v>
      </c>
      <c r="T60" s="89">
        <v>1.7529999999999999</v>
      </c>
      <c r="U60" s="89">
        <v>1.5960000000000001</v>
      </c>
      <c r="V60" s="89">
        <v>1.454</v>
      </c>
      <c r="W60" s="89">
        <v>1.325</v>
      </c>
      <c r="X60" s="89">
        <v>1.2090000000000001</v>
      </c>
      <c r="Y60" s="89">
        <v>1.103</v>
      </c>
      <c r="Z60" s="89">
        <v>1.008</v>
      </c>
      <c r="AA60" s="89">
        <v>0.92100000000000004</v>
      </c>
      <c r="AB60" s="89">
        <v>0.84199999999999997</v>
      </c>
      <c r="AC60" s="89">
        <v>0.77100000000000002</v>
      </c>
      <c r="AD60" s="89">
        <v>0.70599999999999996</v>
      </c>
      <c r="AE60" s="89">
        <v>0.64700000000000002</v>
      </c>
    </row>
    <row r="61" spans="1:31" x14ac:dyDescent="0.25">
      <c r="A61" s="97">
        <v>54</v>
      </c>
      <c r="B61" s="89">
        <v>12.599</v>
      </c>
      <c r="C61" s="89">
        <v>11.224</v>
      </c>
      <c r="D61" s="89">
        <v>10.002000000000001</v>
      </c>
      <c r="E61" s="89">
        <v>8.9190000000000005</v>
      </c>
      <c r="F61" s="89">
        <v>7.96</v>
      </c>
      <c r="G61" s="89">
        <v>7.11</v>
      </c>
      <c r="H61" s="89">
        <v>6.3579999999999997</v>
      </c>
      <c r="I61" s="89">
        <v>5.6929999999999996</v>
      </c>
      <c r="J61" s="89">
        <v>5.1029999999999998</v>
      </c>
      <c r="K61" s="89">
        <v>4.5819999999999999</v>
      </c>
      <c r="L61" s="89">
        <v>4.1189999999999998</v>
      </c>
      <c r="M61" s="89">
        <v>3.7090000000000001</v>
      </c>
      <c r="N61" s="89">
        <v>3.3439999999999999</v>
      </c>
      <c r="O61" s="89">
        <v>3.0190000000000001</v>
      </c>
      <c r="P61" s="89">
        <v>2.7290000000000001</v>
      </c>
      <c r="Q61" s="89">
        <v>2.4710000000000001</v>
      </c>
      <c r="R61" s="89">
        <v>2.2389999999999999</v>
      </c>
      <c r="S61" s="89">
        <v>2.0310000000000001</v>
      </c>
      <c r="T61" s="89">
        <v>1.8440000000000001</v>
      </c>
      <c r="U61" s="89">
        <v>1.6759999999999999</v>
      </c>
      <c r="V61" s="89">
        <v>1.524</v>
      </c>
      <c r="W61" s="89">
        <v>1.3859999999999999</v>
      </c>
      <c r="X61" s="89">
        <v>1.2629999999999999</v>
      </c>
      <c r="Y61" s="89">
        <v>1.151</v>
      </c>
      <c r="Z61" s="89">
        <v>1.05</v>
      </c>
      <c r="AA61" s="89">
        <v>0.95799999999999996</v>
      </c>
      <c r="AB61" s="89">
        <v>0.875</v>
      </c>
      <c r="AC61" s="89">
        <v>0.8</v>
      </c>
      <c r="AD61" s="89">
        <v>0.73199999999999998</v>
      </c>
      <c r="AE61" s="89">
        <v>0.67</v>
      </c>
    </row>
    <row r="62" spans="1:31" x14ac:dyDescent="0.25">
      <c r="A62" s="97">
        <v>55</v>
      </c>
      <c r="B62" s="89">
        <v>13.778</v>
      </c>
      <c r="C62" s="89">
        <v>12.259</v>
      </c>
      <c r="D62" s="89">
        <v>10.91</v>
      </c>
      <c r="E62" s="89">
        <v>9.7129999999999992</v>
      </c>
      <c r="F62" s="89">
        <v>8.6530000000000005</v>
      </c>
      <c r="G62" s="89">
        <v>7.7149999999999999</v>
      </c>
      <c r="H62" s="89">
        <v>6.8849999999999998</v>
      </c>
      <c r="I62" s="89">
        <v>6.1509999999999998</v>
      </c>
      <c r="J62" s="89">
        <v>5.5019999999999998</v>
      </c>
      <c r="K62" s="89">
        <v>4.9279999999999999</v>
      </c>
      <c r="L62" s="89">
        <v>4.4210000000000003</v>
      </c>
      <c r="M62" s="89">
        <v>3.9710000000000001</v>
      </c>
      <c r="N62" s="89">
        <v>3.5720000000000001</v>
      </c>
      <c r="O62" s="89">
        <v>3.218</v>
      </c>
      <c r="P62" s="89">
        <v>2.9020000000000001</v>
      </c>
      <c r="Q62" s="89">
        <v>2.6219999999999999</v>
      </c>
      <c r="R62" s="89">
        <v>2.371</v>
      </c>
      <c r="S62" s="89">
        <v>2.1459999999999999</v>
      </c>
      <c r="T62" s="89">
        <v>1.944</v>
      </c>
      <c r="U62" s="89">
        <v>1.764</v>
      </c>
      <c r="V62" s="89">
        <v>1.601</v>
      </c>
      <c r="W62" s="89">
        <v>1.454</v>
      </c>
      <c r="X62" s="89">
        <v>1.3220000000000001</v>
      </c>
      <c r="Y62" s="89">
        <v>1.2030000000000001</v>
      </c>
      <c r="Z62" s="89">
        <v>1.095</v>
      </c>
      <c r="AA62" s="89">
        <v>0.998</v>
      </c>
      <c r="AB62" s="89">
        <v>0.91100000000000003</v>
      </c>
      <c r="AC62" s="89">
        <v>0.83099999999999996</v>
      </c>
      <c r="AD62" s="89">
        <v>0.76</v>
      </c>
      <c r="AE62" s="89">
        <v>0.69499999999999995</v>
      </c>
    </row>
    <row r="63" spans="1:31" x14ac:dyDescent="0.25">
      <c r="A63" s="97">
        <v>56</v>
      </c>
      <c r="B63" s="89">
        <v>15.097</v>
      </c>
      <c r="C63" s="89">
        <v>13.417999999999999</v>
      </c>
      <c r="D63" s="89">
        <v>11.926</v>
      </c>
      <c r="E63" s="89">
        <v>10.602</v>
      </c>
      <c r="F63" s="89">
        <v>9.43</v>
      </c>
      <c r="G63" s="89">
        <v>8.3919999999999995</v>
      </c>
      <c r="H63" s="89">
        <v>7.4749999999999996</v>
      </c>
      <c r="I63" s="89">
        <v>6.6639999999999997</v>
      </c>
      <c r="J63" s="89">
        <v>5.9480000000000004</v>
      </c>
      <c r="K63" s="89">
        <v>5.3159999999999998</v>
      </c>
      <c r="L63" s="89">
        <v>4.758</v>
      </c>
      <c r="M63" s="89">
        <v>4.2640000000000002</v>
      </c>
      <c r="N63" s="89">
        <v>3.8260000000000001</v>
      </c>
      <c r="O63" s="89">
        <v>3.4390000000000001</v>
      </c>
      <c r="P63" s="89">
        <v>3.0950000000000002</v>
      </c>
      <c r="Q63" s="89">
        <v>2.7890000000000001</v>
      </c>
      <c r="R63" s="89">
        <v>2.5169999999999999</v>
      </c>
      <c r="S63" s="89">
        <v>2.2730000000000001</v>
      </c>
      <c r="T63" s="89">
        <v>2.0550000000000002</v>
      </c>
      <c r="U63" s="89">
        <v>1.86</v>
      </c>
      <c r="V63" s="89">
        <v>1.6850000000000001</v>
      </c>
      <c r="W63" s="89">
        <v>1.5269999999999999</v>
      </c>
      <c r="X63" s="89">
        <v>1.3859999999999999</v>
      </c>
      <c r="Y63" s="89">
        <v>1.26</v>
      </c>
      <c r="Z63" s="89">
        <v>1.145</v>
      </c>
      <c r="AA63" s="89">
        <v>1.042</v>
      </c>
      <c r="AB63" s="89">
        <v>0.94899999999999995</v>
      </c>
      <c r="AC63" s="89">
        <v>0.86599999999999999</v>
      </c>
      <c r="AD63" s="89">
        <v>0.79</v>
      </c>
      <c r="AE63" s="89">
        <v>0.72199999999999998</v>
      </c>
    </row>
    <row r="64" spans="1:31" x14ac:dyDescent="0.25">
      <c r="A64" s="97">
        <v>57</v>
      </c>
      <c r="B64" s="89">
        <v>16.571000000000002</v>
      </c>
      <c r="C64" s="89">
        <v>14.715</v>
      </c>
      <c r="D64" s="89">
        <v>13.064</v>
      </c>
      <c r="E64" s="89">
        <v>11.599</v>
      </c>
      <c r="F64" s="89">
        <v>10.3</v>
      </c>
      <c r="G64" s="89">
        <v>9.1519999999999992</v>
      </c>
      <c r="H64" s="89">
        <v>8.1359999999999992</v>
      </c>
      <c r="I64" s="89">
        <v>7.24</v>
      </c>
      <c r="J64" s="89">
        <v>6.4489999999999998</v>
      </c>
      <c r="K64" s="89">
        <v>5.7510000000000003</v>
      </c>
      <c r="L64" s="89">
        <v>5.1349999999999998</v>
      </c>
      <c r="M64" s="89">
        <v>4.5919999999999996</v>
      </c>
      <c r="N64" s="89">
        <v>4.1109999999999998</v>
      </c>
      <c r="O64" s="89">
        <v>3.6859999999999999</v>
      </c>
      <c r="P64" s="89">
        <v>3.3090000000000002</v>
      </c>
      <c r="Q64" s="89">
        <v>2.976</v>
      </c>
      <c r="R64" s="89">
        <v>2.6789999999999998</v>
      </c>
      <c r="S64" s="89">
        <v>2.4140000000000001</v>
      </c>
      <c r="T64" s="89">
        <v>2.1779999999999999</v>
      </c>
      <c r="U64" s="89">
        <v>1.9670000000000001</v>
      </c>
      <c r="V64" s="89">
        <v>1.778</v>
      </c>
      <c r="W64" s="89">
        <v>1.609</v>
      </c>
      <c r="X64" s="89">
        <v>1.458</v>
      </c>
      <c r="Y64" s="89">
        <v>1.3220000000000001</v>
      </c>
      <c r="Z64" s="89">
        <v>1.2</v>
      </c>
      <c r="AA64" s="89">
        <v>1.0900000000000001</v>
      </c>
      <c r="AB64" s="89">
        <v>0.99199999999999999</v>
      </c>
      <c r="AC64" s="89">
        <v>0.90300000000000002</v>
      </c>
      <c r="AD64" s="89">
        <v>0.82299999999999995</v>
      </c>
      <c r="AE64" s="89">
        <v>0.751</v>
      </c>
    </row>
    <row r="65" spans="1:31" x14ac:dyDescent="0.25">
      <c r="A65" s="97">
        <v>58</v>
      </c>
      <c r="B65" s="89">
        <v>18.221</v>
      </c>
      <c r="C65" s="89">
        <v>16.167000000000002</v>
      </c>
      <c r="D65" s="89">
        <v>14.339</v>
      </c>
      <c r="E65" s="89">
        <v>12.717000000000001</v>
      </c>
      <c r="F65" s="89">
        <v>11.278</v>
      </c>
      <c r="G65" s="89">
        <v>10.005000000000001</v>
      </c>
      <c r="H65" s="89">
        <v>8.8800000000000008</v>
      </c>
      <c r="I65" s="89">
        <v>7.8869999999999996</v>
      </c>
      <c r="J65" s="89">
        <v>7.0110000000000001</v>
      </c>
      <c r="K65" s="89">
        <v>6.2389999999999999</v>
      </c>
      <c r="L65" s="89">
        <v>5.5590000000000002</v>
      </c>
      <c r="M65" s="89">
        <v>4.9589999999999996</v>
      </c>
      <c r="N65" s="89">
        <v>4.43</v>
      </c>
      <c r="O65" s="89">
        <v>3.9620000000000002</v>
      </c>
      <c r="P65" s="89">
        <v>3.5489999999999999</v>
      </c>
      <c r="Q65" s="89">
        <v>3.1840000000000002</v>
      </c>
      <c r="R65" s="89">
        <v>2.859</v>
      </c>
      <c r="S65" s="89">
        <v>2.5710000000000002</v>
      </c>
      <c r="T65" s="89">
        <v>2.3140000000000001</v>
      </c>
      <c r="U65" s="89">
        <v>2.0859999999999999</v>
      </c>
      <c r="V65" s="89">
        <v>1.8819999999999999</v>
      </c>
      <c r="W65" s="89">
        <v>1.6990000000000001</v>
      </c>
      <c r="X65" s="89">
        <v>1.536</v>
      </c>
      <c r="Y65" s="89">
        <v>1.39</v>
      </c>
      <c r="Z65" s="89">
        <v>1.26</v>
      </c>
      <c r="AA65" s="89">
        <v>1.143</v>
      </c>
      <c r="AB65" s="89">
        <v>1.038</v>
      </c>
      <c r="AC65" s="89">
        <v>0.94299999999999995</v>
      </c>
      <c r="AD65" s="89">
        <v>0.85899999999999999</v>
      </c>
      <c r="AE65" s="89">
        <v>0.78300000000000003</v>
      </c>
    </row>
    <row r="66" spans="1:31" x14ac:dyDescent="0.25">
      <c r="A66" s="97">
        <v>59</v>
      </c>
      <c r="B66" s="89">
        <v>20.065999999999999</v>
      </c>
      <c r="C66" s="89">
        <v>17.794</v>
      </c>
      <c r="D66" s="89">
        <v>15.77</v>
      </c>
      <c r="E66" s="89">
        <v>13.971</v>
      </c>
      <c r="F66" s="89">
        <v>12.375999999999999</v>
      </c>
      <c r="G66" s="89">
        <v>10.962999999999999</v>
      </c>
      <c r="H66" s="89">
        <v>9.7149999999999999</v>
      </c>
      <c r="I66" s="89">
        <v>8.6140000000000008</v>
      </c>
      <c r="J66" s="89">
        <v>7.6429999999999998</v>
      </c>
      <c r="K66" s="89">
        <v>6.7880000000000003</v>
      </c>
      <c r="L66" s="89">
        <v>6.0350000000000001</v>
      </c>
      <c r="M66" s="89">
        <v>5.3719999999999999</v>
      </c>
      <c r="N66" s="89">
        <v>4.7880000000000003</v>
      </c>
      <c r="O66" s="89">
        <v>4.2720000000000002</v>
      </c>
      <c r="P66" s="89">
        <v>3.8180000000000001</v>
      </c>
      <c r="Q66" s="89">
        <v>3.4169999999999998</v>
      </c>
      <c r="R66" s="89">
        <v>3.0609999999999999</v>
      </c>
      <c r="S66" s="89">
        <v>2.746</v>
      </c>
      <c r="T66" s="89">
        <v>2.4660000000000002</v>
      </c>
      <c r="U66" s="89">
        <v>2.218</v>
      </c>
      <c r="V66" s="89">
        <v>1.996</v>
      </c>
      <c r="W66" s="89">
        <v>1.798</v>
      </c>
      <c r="X66" s="89">
        <v>1.623</v>
      </c>
      <c r="Y66" s="89">
        <v>1.466</v>
      </c>
      <c r="Z66" s="89">
        <v>1.3260000000000001</v>
      </c>
      <c r="AA66" s="89">
        <v>1.2</v>
      </c>
      <c r="AB66" s="89">
        <v>1.0880000000000001</v>
      </c>
      <c r="AC66" s="89">
        <v>0.98799999999999999</v>
      </c>
      <c r="AD66" s="89">
        <v>0.89800000000000002</v>
      </c>
      <c r="AE66" s="89">
        <v>0.81699999999999995</v>
      </c>
    </row>
    <row r="67" spans="1:31" x14ac:dyDescent="0.25">
      <c r="A67" s="97">
        <v>60</v>
      </c>
      <c r="B67" s="89">
        <v>22.132999999999999</v>
      </c>
      <c r="C67" s="89">
        <v>19.617999999999999</v>
      </c>
      <c r="D67" s="89">
        <v>17.375</v>
      </c>
      <c r="E67" s="89">
        <v>15.38</v>
      </c>
      <c r="F67" s="89">
        <v>13.609</v>
      </c>
      <c r="G67" s="89">
        <v>12.042</v>
      </c>
      <c r="H67" s="89">
        <v>10.656000000000001</v>
      </c>
      <c r="I67" s="89">
        <v>9.4329999999999998</v>
      </c>
      <c r="J67" s="89">
        <v>8.3550000000000004</v>
      </c>
      <c r="K67" s="89">
        <v>7.4059999999999997</v>
      </c>
      <c r="L67" s="89">
        <v>6.5709999999999997</v>
      </c>
      <c r="M67" s="89">
        <v>5.8369999999999997</v>
      </c>
      <c r="N67" s="89">
        <v>5.19</v>
      </c>
      <c r="O67" s="89">
        <v>4.6210000000000004</v>
      </c>
      <c r="P67" s="89">
        <v>4.12</v>
      </c>
      <c r="Q67" s="89">
        <v>3.6779999999999999</v>
      </c>
      <c r="R67" s="89">
        <v>3.2869999999999999</v>
      </c>
      <c r="S67" s="89">
        <v>2.9420000000000002</v>
      </c>
      <c r="T67" s="89">
        <v>2.6360000000000001</v>
      </c>
      <c r="U67" s="89">
        <v>2.3639999999999999</v>
      </c>
      <c r="V67" s="89">
        <v>2.1230000000000002</v>
      </c>
      <c r="W67" s="89">
        <v>1.9079999999999999</v>
      </c>
      <c r="X67" s="89">
        <v>1.718</v>
      </c>
      <c r="Y67" s="89">
        <v>1.5489999999999999</v>
      </c>
      <c r="Z67" s="89">
        <v>1.399</v>
      </c>
      <c r="AA67" s="89">
        <v>1.264</v>
      </c>
      <c r="AB67" s="89">
        <v>1.1439999999999999</v>
      </c>
      <c r="AC67" s="89">
        <v>1.036</v>
      </c>
      <c r="AD67" s="89">
        <v>0.94</v>
      </c>
      <c r="AE67" s="89">
        <v>0.85499999999999998</v>
      </c>
    </row>
    <row r="68" spans="1:31" x14ac:dyDescent="0.25">
      <c r="A68" s="97">
        <v>61</v>
      </c>
      <c r="B68" s="89">
        <v>24.449000000000002</v>
      </c>
      <c r="C68" s="89">
        <v>21.664000000000001</v>
      </c>
      <c r="D68" s="89">
        <v>19.177</v>
      </c>
      <c r="E68" s="89">
        <v>16.963000000000001</v>
      </c>
      <c r="F68" s="89">
        <v>14.997</v>
      </c>
      <c r="G68" s="89">
        <v>13.255000000000001</v>
      </c>
      <c r="H68" s="89">
        <v>11.715</v>
      </c>
      <c r="I68" s="89">
        <v>10.355</v>
      </c>
      <c r="J68" s="89">
        <v>9.157</v>
      </c>
      <c r="K68" s="89">
        <v>8.1029999999999998</v>
      </c>
      <c r="L68" s="89">
        <v>7.1749999999999998</v>
      </c>
      <c r="M68" s="89">
        <v>6.36</v>
      </c>
      <c r="N68" s="89">
        <v>5.6429999999999998</v>
      </c>
      <c r="O68" s="89">
        <v>5.0129999999999999</v>
      </c>
      <c r="P68" s="89">
        <v>4.4589999999999996</v>
      </c>
      <c r="Q68" s="89">
        <v>3.9710000000000001</v>
      </c>
      <c r="R68" s="89">
        <v>3.5409999999999999</v>
      </c>
      <c r="S68" s="89">
        <v>3.161</v>
      </c>
      <c r="T68" s="89">
        <v>2.8250000000000002</v>
      </c>
      <c r="U68" s="89">
        <v>2.5289999999999999</v>
      </c>
      <c r="V68" s="89">
        <v>2.2650000000000001</v>
      </c>
      <c r="W68" s="89">
        <v>2.0310000000000001</v>
      </c>
      <c r="X68" s="89">
        <v>1.825</v>
      </c>
      <c r="Y68" s="89">
        <v>1.6419999999999999</v>
      </c>
      <c r="Z68" s="89">
        <v>1.4790000000000001</v>
      </c>
      <c r="AA68" s="89">
        <v>1.3340000000000001</v>
      </c>
      <c r="AB68" s="89">
        <v>1.2050000000000001</v>
      </c>
      <c r="AC68" s="89">
        <v>1.0900000000000001</v>
      </c>
      <c r="AD68" s="89">
        <v>0.98699999999999999</v>
      </c>
      <c r="AE68" s="89">
        <v>0.89600000000000002</v>
      </c>
    </row>
    <row r="69" spans="1:31" x14ac:dyDescent="0.25">
      <c r="A69" s="97">
        <v>62</v>
      </c>
      <c r="B69" s="89">
        <v>27.045999999999999</v>
      </c>
      <c r="C69" s="89">
        <v>23.96</v>
      </c>
      <c r="D69" s="89">
        <v>21.201000000000001</v>
      </c>
      <c r="E69" s="89">
        <v>18.744</v>
      </c>
      <c r="F69" s="89">
        <v>16.559000000000001</v>
      </c>
      <c r="G69" s="89">
        <v>14.622</v>
      </c>
      <c r="H69" s="89">
        <v>12.907999999999999</v>
      </c>
      <c r="I69" s="89">
        <v>11.395</v>
      </c>
      <c r="J69" s="89">
        <v>10.061999999999999</v>
      </c>
      <c r="K69" s="89">
        <v>8.8889999999999993</v>
      </c>
      <c r="L69" s="89">
        <v>7.8570000000000002</v>
      </c>
      <c r="M69" s="89">
        <v>6.9509999999999996</v>
      </c>
      <c r="N69" s="89">
        <v>6.1550000000000002</v>
      </c>
      <c r="O69" s="89">
        <v>5.4550000000000001</v>
      </c>
      <c r="P69" s="89">
        <v>4.8410000000000002</v>
      </c>
      <c r="Q69" s="89">
        <v>4.3010000000000002</v>
      </c>
      <c r="R69" s="89">
        <v>3.8260000000000001</v>
      </c>
      <c r="S69" s="89">
        <v>3.407</v>
      </c>
      <c r="T69" s="89">
        <v>3.0379999999999998</v>
      </c>
      <c r="U69" s="89">
        <v>2.7120000000000002</v>
      </c>
      <c r="V69" s="89">
        <v>2.4239999999999999</v>
      </c>
      <c r="W69" s="89">
        <v>2.1680000000000001</v>
      </c>
      <c r="X69" s="89">
        <v>1.944</v>
      </c>
      <c r="Y69" s="89">
        <v>1.7450000000000001</v>
      </c>
      <c r="Z69" s="89">
        <v>1.5680000000000001</v>
      </c>
      <c r="AA69" s="89">
        <v>1.4119999999999999</v>
      </c>
      <c r="AB69" s="89">
        <v>1.2729999999999999</v>
      </c>
      <c r="AC69" s="89">
        <v>1.149</v>
      </c>
      <c r="AD69" s="89">
        <v>1.0389999999999999</v>
      </c>
      <c r="AE69" s="89">
        <v>0.94099999999999995</v>
      </c>
    </row>
    <row r="70" spans="1:31" x14ac:dyDescent="0.25">
      <c r="A70" s="97">
        <v>63</v>
      </c>
      <c r="B70" s="89">
        <v>29.957999999999998</v>
      </c>
      <c r="C70" s="89">
        <v>26.539000000000001</v>
      </c>
      <c r="D70" s="89">
        <v>23.477</v>
      </c>
      <c r="E70" s="89">
        <v>20.748000000000001</v>
      </c>
      <c r="F70" s="89">
        <v>18.318000000000001</v>
      </c>
      <c r="G70" s="89">
        <v>16.163</v>
      </c>
      <c r="H70" s="89">
        <v>14.255000000000001</v>
      </c>
      <c r="I70" s="89">
        <v>12.569000000000001</v>
      </c>
      <c r="J70" s="89">
        <v>11.083</v>
      </c>
      <c r="K70" s="89">
        <v>9.7769999999999992</v>
      </c>
      <c r="L70" s="89">
        <v>8.6280000000000001</v>
      </c>
      <c r="M70" s="89">
        <v>7.6180000000000003</v>
      </c>
      <c r="N70" s="89">
        <v>6.7320000000000002</v>
      </c>
      <c r="O70" s="89">
        <v>5.9550000000000001</v>
      </c>
      <c r="P70" s="89">
        <v>5.2720000000000002</v>
      </c>
      <c r="Q70" s="89">
        <v>4.6740000000000004</v>
      </c>
      <c r="R70" s="89">
        <v>4.1479999999999997</v>
      </c>
      <c r="S70" s="89">
        <v>3.6850000000000001</v>
      </c>
      <c r="T70" s="89">
        <v>3.2770000000000001</v>
      </c>
      <c r="U70" s="89">
        <v>2.919</v>
      </c>
      <c r="V70" s="89">
        <v>2.6019999999999999</v>
      </c>
      <c r="W70" s="89">
        <v>2.3220000000000001</v>
      </c>
      <c r="X70" s="89">
        <v>2.0760000000000001</v>
      </c>
      <c r="Y70" s="89">
        <v>1.859</v>
      </c>
      <c r="Z70" s="89">
        <v>1.6679999999999999</v>
      </c>
      <c r="AA70" s="89">
        <v>1.498</v>
      </c>
      <c r="AB70" s="89">
        <v>1.347</v>
      </c>
      <c r="AC70" s="89">
        <v>1.214</v>
      </c>
      <c r="AD70" s="89">
        <v>1.0960000000000001</v>
      </c>
      <c r="AE70" s="89">
        <v>0.99099999999999999</v>
      </c>
    </row>
    <row r="71" spans="1:31" x14ac:dyDescent="0.25">
      <c r="A71" s="97">
        <v>64</v>
      </c>
      <c r="B71" s="89">
        <v>33.228000000000002</v>
      </c>
      <c r="C71" s="89">
        <v>29.437000000000001</v>
      </c>
      <c r="D71" s="89">
        <v>26.038</v>
      </c>
      <c r="E71" s="89">
        <v>23.004000000000001</v>
      </c>
      <c r="F71" s="89">
        <v>20.302</v>
      </c>
      <c r="G71" s="89">
        <v>17.901</v>
      </c>
      <c r="H71" s="89">
        <v>15.775</v>
      </c>
      <c r="I71" s="89">
        <v>13.896000000000001</v>
      </c>
      <c r="J71" s="89">
        <v>12.239000000000001</v>
      </c>
      <c r="K71" s="89">
        <v>10.781000000000001</v>
      </c>
      <c r="L71" s="89">
        <v>9.4990000000000006</v>
      </c>
      <c r="M71" s="89">
        <v>8.3740000000000006</v>
      </c>
      <c r="N71" s="89">
        <v>7.3860000000000001</v>
      </c>
      <c r="O71" s="89">
        <v>6.52</v>
      </c>
      <c r="P71" s="89">
        <v>5.76</v>
      </c>
      <c r="Q71" s="89">
        <v>5.0949999999999998</v>
      </c>
      <c r="R71" s="89">
        <v>4.5110000000000001</v>
      </c>
      <c r="S71" s="89">
        <v>3.9980000000000002</v>
      </c>
      <c r="T71" s="89">
        <v>3.5470000000000002</v>
      </c>
      <c r="U71" s="89">
        <v>3.1509999999999998</v>
      </c>
      <c r="V71" s="89">
        <v>2.802</v>
      </c>
      <c r="W71" s="89">
        <v>2.4940000000000002</v>
      </c>
      <c r="X71" s="89">
        <v>2.2250000000000001</v>
      </c>
      <c r="Y71" s="89">
        <v>1.988</v>
      </c>
      <c r="Z71" s="89">
        <v>1.778</v>
      </c>
      <c r="AA71" s="89">
        <v>1.5940000000000001</v>
      </c>
      <c r="AB71" s="89">
        <v>1.431</v>
      </c>
      <c r="AC71" s="89">
        <v>1.286</v>
      </c>
      <c r="AD71" s="89">
        <v>1.159</v>
      </c>
      <c r="AE71" s="89">
        <v>1.046</v>
      </c>
    </row>
    <row r="72" spans="1:31" x14ac:dyDescent="0.25">
      <c r="A72" s="97">
        <v>65</v>
      </c>
      <c r="B72" s="89">
        <v>36.904000000000003</v>
      </c>
      <c r="C72" s="89">
        <v>32.698</v>
      </c>
      <c r="D72" s="89">
        <v>28.922999999999998</v>
      </c>
      <c r="E72" s="89">
        <v>25.548999999999999</v>
      </c>
      <c r="F72" s="89">
        <v>22.54</v>
      </c>
      <c r="G72" s="89">
        <v>19.864999999999998</v>
      </c>
      <c r="H72" s="89">
        <v>17.494</v>
      </c>
      <c r="I72" s="89">
        <v>15.397</v>
      </c>
      <c r="J72" s="89">
        <v>13.545999999999999</v>
      </c>
      <c r="K72" s="89">
        <v>11.917999999999999</v>
      </c>
      <c r="L72" s="89">
        <v>10.487</v>
      </c>
      <c r="M72" s="89">
        <v>9.23</v>
      </c>
      <c r="N72" s="89">
        <v>8.1270000000000007</v>
      </c>
      <c r="O72" s="89">
        <v>7.16</v>
      </c>
      <c r="P72" s="89">
        <v>6.3129999999999997</v>
      </c>
      <c r="Q72" s="89">
        <v>5.5720000000000001</v>
      </c>
      <c r="R72" s="89">
        <v>4.9219999999999997</v>
      </c>
      <c r="S72" s="89">
        <v>4.3520000000000003</v>
      </c>
      <c r="T72" s="89">
        <v>3.851</v>
      </c>
      <c r="U72" s="89">
        <v>3.4129999999999998</v>
      </c>
      <c r="V72" s="89">
        <v>3.0270000000000001</v>
      </c>
      <c r="W72" s="89">
        <v>2.6869999999999998</v>
      </c>
      <c r="X72" s="89">
        <v>2.391</v>
      </c>
      <c r="Y72" s="89">
        <v>2.1309999999999998</v>
      </c>
      <c r="Z72" s="89">
        <v>1.9019999999999999</v>
      </c>
      <c r="AA72" s="89">
        <v>1.7010000000000001</v>
      </c>
      <c r="AB72" s="89">
        <v>1.5229999999999999</v>
      </c>
      <c r="AC72" s="89">
        <v>1.367</v>
      </c>
      <c r="AD72" s="89">
        <v>1.2290000000000001</v>
      </c>
      <c r="AE72" s="89">
        <v>1.107</v>
      </c>
    </row>
    <row r="73" spans="1:31" x14ac:dyDescent="0.25">
      <c r="A73" s="97">
        <v>66</v>
      </c>
      <c r="B73" s="89">
        <v>41.042999999999999</v>
      </c>
      <c r="C73" s="89">
        <v>36.372999999999998</v>
      </c>
      <c r="D73" s="89">
        <v>32.177</v>
      </c>
      <c r="E73" s="89">
        <v>28.422000000000001</v>
      </c>
      <c r="F73" s="89">
        <v>25.068999999999999</v>
      </c>
      <c r="G73" s="89">
        <v>22.087</v>
      </c>
      <c r="H73" s="89">
        <v>19.439</v>
      </c>
      <c r="I73" s="89">
        <v>17.097000000000001</v>
      </c>
      <c r="J73" s="89">
        <v>15.029</v>
      </c>
      <c r="K73" s="89">
        <v>13.209</v>
      </c>
      <c r="L73" s="89">
        <v>11.608000000000001</v>
      </c>
      <c r="M73" s="89">
        <v>10.202</v>
      </c>
      <c r="N73" s="89">
        <v>8.9689999999999994</v>
      </c>
      <c r="O73" s="89">
        <v>7.8879999999999999</v>
      </c>
      <c r="P73" s="89">
        <v>6.9409999999999998</v>
      </c>
      <c r="Q73" s="89">
        <v>6.1139999999999999</v>
      </c>
      <c r="R73" s="89">
        <v>5.3890000000000002</v>
      </c>
      <c r="S73" s="89">
        <v>4.7530000000000001</v>
      </c>
      <c r="T73" s="89">
        <v>4.1959999999999997</v>
      </c>
      <c r="U73" s="89">
        <v>3.7090000000000001</v>
      </c>
      <c r="V73" s="89">
        <v>3.282</v>
      </c>
      <c r="W73" s="89">
        <v>2.9060000000000001</v>
      </c>
      <c r="X73" s="89">
        <v>2.5790000000000002</v>
      </c>
      <c r="Y73" s="89">
        <v>2.2930000000000001</v>
      </c>
      <c r="Z73" s="89">
        <v>2.0409999999999999</v>
      </c>
      <c r="AA73" s="89">
        <v>1.821</v>
      </c>
      <c r="AB73" s="89">
        <v>1.627</v>
      </c>
      <c r="AC73" s="89">
        <v>1.456</v>
      </c>
      <c r="AD73" s="89">
        <v>1.306</v>
      </c>
      <c r="AE73" s="89">
        <v>1.175</v>
      </c>
    </row>
    <row r="74" spans="1:31" x14ac:dyDescent="0.25">
      <c r="A74" s="97">
        <v>67</v>
      </c>
      <c r="B74" s="89">
        <v>45.710999999999999</v>
      </c>
      <c r="C74" s="89">
        <v>40.521999999999998</v>
      </c>
      <c r="D74" s="89">
        <v>35.853000000000002</v>
      </c>
      <c r="E74" s="89">
        <v>31.67</v>
      </c>
      <c r="F74" s="89">
        <v>27.931999999999999</v>
      </c>
      <c r="G74" s="89">
        <v>24.603000000000002</v>
      </c>
      <c r="H74" s="89">
        <v>21.645</v>
      </c>
      <c r="I74" s="89">
        <v>19.026</v>
      </c>
      <c r="J74" s="89">
        <v>16.713000000000001</v>
      </c>
      <c r="K74" s="89">
        <v>14.675000000000001</v>
      </c>
      <c r="L74" s="89">
        <v>12.882</v>
      </c>
      <c r="M74" s="89">
        <v>11.307</v>
      </c>
      <c r="N74" s="89">
        <v>9.9260000000000002</v>
      </c>
      <c r="O74" s="89">
        <v>8.7159999999999993</v>
      </c>
      <c r="P74" s="89">
        <v>7.6559999999999997</v>
      </c>
      <c r="Q74" s="89">
        <v>6.73</v>
      </c>
      <c r="R74" s="89">
        <v>5.92</v>
      </c>
      <c r="S74" s="89">
        <v>5.2089999999999996</v>
      </c>
      <c r="T74" s="89">
        <v>4.5880000000000001</v>
      </c>
      <c r="U74" s="89">
        <v>4.0449999999999999</v>
      </c>
      <c r="V74" s="89">
        <v>3.57</v>
      </c>
      <c r="W74" s="89">
        <v>3.153</v>
      </c>
      <c r="X74" s="89">
        <v>2.7909999999999999</v>
      </c>
      <c r="Y74" s="89">
        <v>2.4750000000000001</v>
      </c>
      <c r="Z74" s="89">
        <v>2.198</v>
      </c>
      <c r="AA74" s="89">
        <v>1.9550000000000001</v>
      </c>
      <c r="AB74" s="89">
        <v>1.7430000000000001</v>
      </c>
      <c r="AC74" s="89">
        <v>1.5569999999999999</v>
      </c>
      <c r="AD74" s="89">
        <v>1.393</v>
      </c>
      <c r="AE74" s="89">
        <v>1.25</v>
      </c>
    </row>
    <row r="75" spans="1:31" x14ac:dyDescent="0.25">
      <c r="A75" s="97">
        <v>68</v>
      </c>
      <c r="B75" s="89">
        <v>50.984000000000002</v>
      </c>
      <c r="C75" s="89">
        <v>45.212000000000003</v>
      </c>
      <c r="D75" s="89">
        <v>40.012</v>
      </c>
      <c r="E75" s="89">
        <v>35.348999999999997</v>
      </c>
      <c r="F75" s="89">
        <v>31.177</v>
      </c>
      <c r="G75" s="89">
        <v>27.457000000000001</v>
      </c>
      <c r="H75" s="89">
        <v>24.15</v>
      </c>
      <c r="I75" s="89">
        <v>21.219000000000001</v>
      </c>
      <c r="J75" s="89">
        <v>18.626999999999999</v>
      </c>
      <c r="K75" s="89">
        <v>16.344000000000001</v>
      </c>
      <c r="L75" s="89">
        <v>14.334</v>
      </c>
      <c r="M75" s="89">
        <v>12.567</v>
      </c>
      <c r="N75" s="89">
        <v>11.016999999999999</v>
      </c>
      <c r="O75" s="89">
        <v>9.6590000000000007</v>
      </c>
      <c r="P75" s="89">
        <v>8.4710000000000001</v>
      </c>
      <c r="Q75" s="89">
        <v>7.4329999999999998</v>
      </c>
      <c r="R75" s="89">
        <v>6.5250000000000004</v>
      </c>
      <c r="S75" s="89">
        <v>5.7290000000000001</v>
      </c>
      <c r="T75" s="89">
        <v>5.0350000000000001</v>
      </c>
      <c r="U75" s="89">
        <v>4.4279999999999999</v>
      </c>
      <c r="V75" s="89">
        <v>3.8980000000000001</v>
      </c>
      <c r="W75" s="89">
        <v>3.4340000000000002</v>
      </c>
      <c r="X75" s="89">
        <v>3.032</v>
      </c>
      <c r="Y75" s="89">
        <v>2.681</v>
      </c>
      <c r="Z75" s="89">
        <v>2.375</v>
      </c>
      <c r="AA75" s="89">
        <v>2.1070000000000002</v>
      </c>
      <c r="AB75" s="89">
        <v>1.8740000000000001</v>
      </c>
      <c r="AC75" s="89">
        <v>1.669</v>
      </c>
      <c r="AD75" s="89">
        <v>1.4910000000000001</v>
      </c>
      <c r="AE75" s="89">
        <v>1.3340000000000001</v>
      </c>
    </row>
    <row r="76" spans="1:31" x14ac:dyDescent="0.25">
      <c r="A76" s="97">
        <v>69</v>
      </c>
      <c r="B76" s="89">
        <v>56.954999999999998</v>
      </c>
      <c r="C76" s="89">
        <v>50.527000000000001</v>
      </c>
      <c r="D76" s="89">
        <v>44.728999999999999</v>
      </c>
      <c r="E76" s="89">
        <v>39.524000000000001</v>
      </c>
      <c r="F76" s="89">
        <v>34.862000000000002</v>
      </c>
      <c r="G76" s="89">
        <v>30.702000000000002</v>
      </c>
      <c r="H76" s="89">
        <v>26.998999999999999</v>
      </c>
      <c r="I76" s="89">
        <v>23.715</v>
      </c>
      <c r="J76" s="89">
        <v>20.808</v>
      </c>
      <c r="K76" s="89">
        <v>18.245999999999999</v>
      </c>
      <c r="L76" s="89">
        <v>15.989000000000001</v>
      </c>
      <c r="M76" s="89">
        <v>14.005000000000001</v>
      </c>
      <c r="N76" s="89">
        <v>12.263999999999999</v>
      </c>
      <c r="O76" s="89">
        <v>10.738</v>
      </c>
      <c r="P76" s="89">
        <v>9.4030000000000005</v>
      </c>
      <c r="Q76" s="89">
        <v>8.2360000000000007</v>
      </c>
      <c r="R76" s="89">
        <v>7.2160000000000002</v>
      </c>
      <c r="S76" s="89">
        <v>6.3230000000000004</v>
      </c>
      <c r="T76" s="89">
        <v>5.5449999999999999</v>
      </c>
      <c r="U76" s="89">
        <v>4.8650000000000002</v>
      </c>
      <c r="V76" s="89">
        <v>4.2720000000000002</v>
      </c>
      <c r="W76" s="89">
        <v>3.7530000000000001</v>
      </c>
      <c r="X76" s="89">
        <v>3.3050000000000002</v>
      </c>
      <c r="Y76" s="89">
        <v>2.915</v>
      </c>
      <c r="Z76" s="89">
        <v>2.5760000000000001</v>
      </c>
      <c r="AA76" s="89">
        <v>2.2789999999999999</v>
      </c>
      <c r="AB76" s="89">
        <v>2.0219999999999998</v>
      </c>
      <c r="AC76" s="89">
        <v>1.7969999999999999</v>
      </c>
      <c r="AD76" s="89">
        <v>1.6</v>
      </c>
      <c r="AE76" s="89">
        <v>1.429</v>
      </c>
    </row>
    <row r="77" spans="1:31" x14ac:dyDescent="0.25">
      <c r="A77" s="97">
        <v>70</v>
      </c>
      <c r="B77" s="89">
        <v>63.73</v>
      </c>
      <c r="C77" s="89">
        <v>56.561</v>
      </c>
      <c r="D77" s="89">
        <v>50.088000000000001</v>
      </c>
      <c r="E77" s="89">
        <v>44.271000000000001</v>
      </c>
      <c r="F77" s="89">
        <v>39.055999999999997</v>
      </c>
      <c r="G77" s="89">
        <v>34.396000000000001</v>
      </c>
      <c r="H77" s="89">
        <v>30.245999999999999</v>
      </c>
      <c r="I77" s="89">
        <v>26.561</v>
      </c>
      <c r="J77" s="89">
        <v>23.297999999999998</v>
      </c>
      <c r="K77" s="89">
        <v>20.419</v>
      </c>
      <c r="L77" s="89">
        <v>17.882000000000001</v>
      </c>
      <c r="M77" s="89">
        <v>15.65</v>
      </c>
      <c r="N77" s="89">
        <v>13.691000000000001</v>
      </c>
      <c r="O77" s="89">
        <v>11.973000000000001</v>
      </c>
      <c r="P77" s="89">
        <v>10.47</v>
      </c>
      <c r="Q77" s="89">
        <v>9.157</v>
      </c>
      <c r="R77" s="89">
        <v>8.0090000000000003</v>
      </c>
      <c r="S77" s="89">
        <v>7.0039999999999996</v>
      </c>
      <c r="T77" s="89">
        <v>6.1280000000000001</v>
      </c>
      <c r="U77" s="89">
        <v>5.3650000000000002</v>
      </c>
      <c r="V77" s="89">
        <v>4.7</v>
      </c>
      <c r="W77" s="89">
        <v>4.1180000000000003</v>
      </c>
      <c r="X77" s="89">
        <v>3.617</v>
      </c>
      <c r="Y77" s="89">
        <v>3.1819999999999999</v>
      </c>
      <c r="Z77" s="89">
        <v>2.8039999999999998</v>
      </c>
      <c r="AA77" s="89">
        <v>2.4750000000000001</v>
      </c>
      <c r="AB77" s="89">
        <v>2.1890000000000001</v>
      </c>
      <c r="AC77" s="89">
        <v>1.9410000000000001</v>
      </c>
      <c r="AD77" s="89">
        <v>1.724</v>
      </c>
      <c r="AE77" s="89">
        <v>1.536</v>
      </c>
    </row>
    <row r="78" spans="1:31" x14ac:dyDescent="0.25">
      <c r="A78" s="97">
        <v>71</v>
      </c>
      <c r="B78" s="89">
        <v>71.421999999999997</v>
      </c>
      <c r="C78" s="89">
        <v>63.417000000000002</v>
      </c>
      <c r="D78" s="89">
        <v>56.18</v>
      </c>
      <c r="E78" s="89">
        <v>49.670999999999999</v>
      </c>
      <c r="F78" s="89">
        <v>43.828000000000003</v>
      </c>
      <c r="G78" s="89">
        <v>38.603999999999999</v>
      </c>
      <c r="H78" s="89">
        <v>33.945999999999998</v>
      </c>
      <c r="I78" s="89">
        <v>29.806999999999999</v>
      </c>
      <c r="J78" s="89">
        <v>26.138999999999999</v>
      </c>
      <c r="K78" s="89">
        <v>22.901</v>
      </c>
      <c r="L78" s="89">
        <v>20.045000000000002</v>
      </c>
      <c r="M78" s="89">
        <v>17.530999999999999</v>
      </c>
      <c r="N78" s="89">
        <v>15.324</v>
      </c>
      <c r="O78" s="89">
        <v>13.387</v>
      </c>
      <c r="P78" s="89">
        <v>11.692</v>
      </c>
      <c r="Q78" s="89">
        <v>10.212</v>
      </c>
      <c r="R78" s="89">
        <v>8.9169999999999998</v>
      </c>
      <c r="S78" s="89">
        <v>7.7839999999999998</v>
      </c>
      <c r="T78" s="89">
        <v>6.7969999999999997</v>
      </c>
      <c r="U78" s="89">
        <v>5.9379999999999997</v>
      </c>
      <c r="V78" s="89">
        <v>5.19</v>
      </c>
      <c r="W78" s="89">
        <v>4.5359999999999996</v>
      </c>
      <c r="X78" s="89">
        <v>3.9740000000000002</v>
      </c>
      <c r="Y78" s="89">
        <v>3.4860000000000002</v>
      </c>
      <c r="Z78" s="89">
        <v>3.0640000000000001</v>
      </c>
      <c r="AA78" s="89">
        <v>2.6970000000000001</v>
      </c>
      <c r="AB78" s="89">
        <v>2.379</v>
      </c>
      <c r="AC78" s="89">
        <v>2.1040000000000001</v>
      </c>
      <c r="AD78" s="89">
        <v>1.8640000000000001</v>
      </c>
      <c r="AE78" s="89">
        <v>1.657</v>
      </c>
    </row>
    <row r="79" spans="1:31" x14ac:dyDescent="0.25">
      <c r="A79" s="97">
        <v>72</v>
      </c>
      <c r="B79" s="89">
        <v>80.171000000000006</v>
      </c>
      <c r="C79" s="89">
        <v>71.218000000000004</v>
      </c>
      <c r="D79" s="89">
        <v>63.115000000000002</v>
      </c>
      <c r="E79" s="89">
        <v>55.820999999999998</v>
      </c>
      <c r="F79" s="89">
        <v>49.268000000000001</v>
      </c>
      <c r="G79" s="89">
        <v>43.402999999999999</v>
      </c>
      <c r="H79" s="89">
        <v>38.167999999999999</v>
      </c>
      <c r="I79" s="89">
        <v>33.514000000000003</v>
      </c>
      <c r="J79" s="89">
        <v>29.385999999999999</v>
      </c>
      <c r="K79" s="89">
        <v>25.74</v>
      </c>
      <c r="L79" s="89">
        <v>22.521000000000001</v>
      </c>
      <c r="M79" s="89">
        <v>19.686</v>
      </c>
      <c r="N79" s="89">
        <v>17.195</v>
      </c>
      <c r="O79" s="89">
        <v>15.009</v>
      </c>
      <c r="P79" s="89">
        <v>13.093999999999999</v>
      </c>
      <c r="Q79" s="89">
        <v>11.422000000000001</v>
      </c>
      <c r="R79" s="89">
        <v>9.9589999999999996</v>
      </c>
      <c r="S79" s="89">
        <v>8.68</v>
      </c>
      <c r="T79" s="89">
        <v>7.5650000000000004</v>
      </c>
      <c r="U79" s="89">
        <v>6.5949999999999998</v>
      </c>
      <c r="V79" s="89">
        <v>5.7510000000000003</v>
      </c>
      <c r="W79" s="89">
        <v>5.0140000000000002</v>
      </c>
      <c r="X79" s="89">
        <v>4.3819999999999997</v>
      </c>
      <c r="Y79" s="89">
        <v>3.8340000000000001</v>
      </c>
      <c r="Z79" s="89">
        <v>3.3610000000000002</v>
      </c>
      <c r="AA79" s="89">
        <v>2.95</v>
      </c>
      <c r="AB79" s="89">
        <v>2.5960000000000001</v>
      </c>
      <c r="AC79" s="89">
        <v>2.2890000000000001</v>
      </c>
      <c r="AD79" s="89">
        <v>2.0230000000000001</v>
      </c>
      <c r="AE79" s="89">
        <v>1.7929999999999999</v>
      </c>
    </row>
    <row r="80" spans="1:31" x14ac:dyDescent="0.25">
      <c r="A80" s="97">
        <v>73</v>
      </c>
      <c r="B80" s="89">
        <v>90.156000000000006</v>
      </c>
      <c r="C80" s="89">
        <v>80.126000000000005</v>
      </c>
      <c r="D80" s="89">
        <v>71.039000000000001</v>
      </c>
      <c r="E80" s="89">
        <v>62.850999999999999</v>
      </c>
      <c r="F80" s="89">
        <v>55.488</v>
      </c>
      <c r="G80" s="89">
        <v>48.893000000000001</v>
      </c>
      <c r="H80" s="89">
        <v>43.003</v>
      </c>
      <c r="I80" s="89">
        <v>37.761000000000003</v>
      </c>
      <c r="J80" s="89">
        <v>33.107999999999997</v>
      </c>
      <c r="K80" s="89">
        <v>28.995999999999999</v>
      </c>
      <c r="L80" s="89">
        <v>25.363</v>
      </c>
      <c r="M80" s="89">
        <v>22.161000000000001</v>
      </c>
      <c r="N80" s="89">
        <v>19.346</v>
      </c>
      <c r="O80" s="89">
        <v>16.873999999999999</v>
      </c>
      <c r="P80" s="89">
        <v>14.708</v>
      </c>
      <c r="Q80" s="89">
        <v>12.816000000000001</v>
      </c>
      <c r="R80" s="89">
        <v>11.16</v>
      </c>
      <c r="S80" s="89">
        <v>9.7110000000000003</v>
      </c>
      <c r="T80" s="89">
        <v>8.4489999999999998</v>
      </c>
      <c r="U80" s="89">
        <v>7.351</v>
      </c>
      <c r="V80" s="89">
        <v>6.3970000000000002</v>
      </c>
      <c r="W80" s="89">
        <v>5.5640000000000001</v>
      </c>
      <c r="X80" s="89">
        <v>4.8499999999999996</v>
      </c>
      <c r="Y80" s="89">
        <v>4.234</v>
      </c>
      <c r="Z80" s="89">
        <v>3.7010000000000001</v>
      </c>
      <c r="AA80" s="89">
        <v>3.24</v>
      </c>
      <c r="AB80" s="89">
        <v>2.843</v>
      </c>
      <c r="AC80" s="89">
        <v>2.5</v>
      </c>
      <c r="AD80" s="89">
        <v>2.2040000000000002</v>
      </c>
      <c r="AE80" s="89">
        <v>1.9490000000000001</v>
      </c>
    </row>
    <row r="81" spans="1:31" x14ac:dyDescent="0.25">
      <c r="A81" s="97">
        <v>74</v>
      </c>
      <c r="B81" s="89">
        <v>101.59399999999999</v>
      </c>
      <c r="C81" s="89">
        <v>90.334000000000003</v>
      </c>
      <c r="D81" s="89">
        <v>80.122</v>
      </c>
      <c r="E81" s="89">
        <v>70.914000000000001</v>
      </c>
      <c r="F81" s="89">
        <v>62.625</v>
      </c>
      <c r="G81" s="89">
        <v>55.195999999999998</v>
      </c>
      <c r="H81" s="89">
        <v>48.554000000000002</v>
      </c>
      <c r="I81" s="89">
        <v>42.64</v>
      </c>
      <c r="J81" s="89">
        <v>37.387</v>
      </c>
      <c r="K81" s="89">
        <v>32.741999999999997</v>
      </c>
      <c r="L81" s="89">
        <v>28.635000000000002</v>
      </c>
      <c r="M81" s="89">
        <v>25.013000000000002</v>
      </c>
      <c r="N81" s="89">
        <v>21.826000000000001</v>
      </c>
      <c r="O81" s="89">
        <v>19.026</v>
      </c>
      <c r="P81" s="89">
        <v>16.571000000000002</v>
      </c>
      <c r="Q81" s="89">
        <v>14.426</v>
      </c>
      <c r="R81" s="89">
        <v>12.547000000000001</v>
      </c>
      <c r="S81" s="89">
        <v>10.903</v>
      </c>
      <c r="T81" s="89">
        <v>9.4719999999999995</v>
      </c>
      <c r="U81" s="89">
        <v>8.2260000000000009</v>
      </c>
      <c r="V81" s="89">
        <v>7.1429999999999998</v>
      </c>
      <c r="W81" s="89">
        <v>6.1989999999999998</v>
      </c>
      <c r="X81" s="89">
        <v>5.391</v>
      </c>
      <c r="Y81" s="89">
        <v>4.694</v>
      </c>
      <c r="Z81" s="89">
        <v>4.0919999999999996</v>
      </c>
      <c r="AA81" s="89">
        <v>3.5739999999999998</v>
      </c>
      <c r="AB81" s="89">
        <v>3.1269999999999998</v>
      </c>
      <c r="AC81" s="89">
        <v>2.7429999999999999</v>
      </c>
      <c r="AD81" s="89">
        <v>2.411</v>
      </c>
      <c r="AE81" s="89">
        <v>2.1259999999999999</v>
      </c>
    </row>
    <row r="82" spans="1:31" x14ac:dyDescent="0.25">
      <c r="A82" s="97">
        <v>75</v>
      </c>
      <c r="B82" s="89">
        <v>114.729</v>
      </c>
      <c r="C82" s="89">
        <v>102.063</v>
      </c>
      <c r="D82" s="89">
        <v>90.561999999999998</v>
      </c>
      <c r="E82" s="89">
        <v>80.183999999999997</v>
      </c>
      <c r="F82" s="89">
        <v>70.834999999999994</v>
      </c>
      <c r="G82" s="89">
        <v>62.448</v>
      </c>
      <c r="H82" s="89">
        <v>54.945</v>
      </c>
      <c r="I82" s="89">
        <v>48.26</v>
      </c>
      <c r="J82" s="89">
        <v>42.317</v>
      </c>
      <c r="K82" s="89">
        <v>37.06</v>
      </c>
      <c r="L82" s="89">
        <v>32.409999999999997</v>
      </c>
      <c r="M82" s="89">
        <v>28.305</v>
      </c>
      <c r="N82" s="89">
        <v>24.690999999999999</v>
      </c>
      <c r="O82" s="89">
        <v>21.513000000000002</v>
      </c>
      <c r="P82" s="89">
        <v>18.725999999999999</v>
      </c>
      <c r="Q82" s="89">
        <v>16.289000000000001</v>
      </c>
      <c r="R82" s="89">
        <v>14.154</v>
      </c>
      <c r="S82" s="89">
        <v>12.285</v>
      </c>
      <c r="T82" s="89">
        <v>10.656000000000001</v>
      </c>
      <c r="U82" s="89">
        <v>9.2379999999999995</v>
      </c>
      <c r="V82" s="89">
        <v>8.0069999999999997</v>
      </c>
      <c r="W82" s="89">
        <v>6.9329999999999998</v>
      </c>
      <c r="X82" s="89">
        <v>6.016</v>
      </c>
      <c r="Y82" s="89">
        <v>5.2249999999999996</v>
      </c>
      <c r="Z82" s="89">
        <v>4.5449999999999999</v>
      </c>
      <c r="AA82" s="89">
        <v>3.9580000000000002</v>
      </c>
      <c r="AB82" s="89">
        <v>3.4540000000000002</v>
      </c>
      <c r="AC82" s="89">
        <v>3.0209999999999999</v>
      </c>
      <c r="AD82" s="89">
        <v>2.649</v>
      </c>
      <c r="AE82" s="89">
        <v>2.3290000000000002</v>
      </c>
    </row>
    <row r="83" spans="1:31" x14ac:dyDescent="0.25">
      <c r="A83" s="97">
        <v>76</v>
      </c>
      <c r="B83" s="89">
        <v>129.86199999999999</v>
      </c>
      <c r="C83" s="89">
        <v>115.581</v>
      </c>
      <c r="D83" s="89">
        <v>102.599</v>
      </c>
      <c r="E83" s="89">
        <v>90.875</v>
      </c>
      <c r="F83" s="89">
        <v>80.305000000000007</v>
      </c>
      <c r="G83" s="89">
        <v>70.816000000000003</v>
      </c>
      <c r="H83" s="89">
        <v>62.322000000000003</v>
      </c>
      <c r="I83" s="89">
        <v>54.749000000000002</v>
      </c>
      <c r="J83" s="89">
        <v>48.014000000000003</v>
      </c>
      <c r="K83" s="89">
        <v>42.052999999999997</v>
      </c>
      <c r="L83" s="89">
        <v>36.776000000000003</v>
      </c>
      <c r="M83" s="89">
        <v>32.115000000000002</v>
      </c>
      <c r="N83" s="89">
        <v>28.009</v>
      </c>
      <c r="O83" s="89">
        <v>24.396999999999998</v>
      </c>
      <c r="P83" s="89">
        <v>21.225999999999999</v>
      </c>
      <c r="Q83" s="89">
        <v>18.452000000000002</v>
      </c>
      <c r="R83" s="89">
        <v>16.02</v>
      </c>
      <c r="S83" s="89">
        <v>13.888999999999999</v>
      </c>
      <c r="T83" s="89">
        <v>12.032</v>
      </c>
      <c r="U83" s="89">
        <v>10.414999999999999</v>
      </c>
      <c r="V83" s="89">
        <v>9.0109999999999992</v>
      </c>
      <c r="W83" s="89">
        <v>7.7859999999999996</v>
      </c>
      <c r="X83" s="89">
        <v>6.742</v>
      </c>
      <c r="Y83" s="89">
        <v>5.8419999999999996</v>
      </c>
      <c r="Z83" s="89">
        <v>5.0679999999999996</v>
      </c>
      <c r="AA83" s="89">
        <v>4.4029999999999996</v>
      </c>
      <c r="AB83" s="89">
        <v>3.8319999999999999</v>
      </c>
      <c r="AC83" s="89">
        <v>3.343</v>
      </c>
      <c r="AD83" s="89">
        <v>2.923</v>
      </c>
      <c r="AE83" s="89">
        <v>2.5630000000000002</v>
      </c>
    </row>
    <row r="84" spans="1:31" x14ac:dyDescent="0.25">
      <c r="A84" s="97">
        <v>77</v>
      </c>
      <c r="B84" s="89">
        <v>147.35</v>
      </c>
      <c r="C84" s="89">
        <v>131.208</v>
      </c>
      <c r="D84" s="89">
        <v>116.51900000000001</v>
      </c>
      <c r="E84" s="89">
        <v>103.242</v>
      </c>
      <c r="F84" s="89">
        <v>91.263000000000005</v>
      </c>
      <c r="G84" s="89">
        <v>80.501000000000005</v>
      </c>
      <c r="H84" s="89">
        <v>70.861999999999995</v>
      </c>
      <c r="I84" s="89">
        <v>62.264000000000003</v>
      </c>
      <c r="J84" s="89">
        <v>54.613</v>
      </c>
      <c r="K84" s="89">
        <v>47.838999999999999</v>
      </c>
      <c r="L84" s="89">
        <v>41.838999999999999</v>
      </c>
      <c r="M84" s="89">
        <v>36.536000000000001</v>
      </c>
      <c r="N84" s="89">
        <v>31.861999999999998</v>
      </c>
      <c r="O84" s="89">
        <v>27.745999999999999</v>
      </c>
      <c r="P84" s="89">
        <v>24.132000000000001</v>
      </c>
      <c r="Q84" s="89">
        <v>20.968</v>
      </c>
      <c r="R84" s="89">
        <v>18.193000000000001</v>
      </c>
      <c r="S84" s="89">
        <v>15.757999999999999</v>
      </c>
      <c r="T84" s="89">
        <v>13.635</v>
      </c>
      <c r="U84" s="89">
        <v>11.786</v>
      </c>
      <c r="V84" s="89">
        <v>10.180999999999999</v>
      </c>
      <c r="W84" s="89">
        <v>8.7799999999999994</v>
      </c>
      <c r="X84" s="89">
        <v>7.5860000000000003</v>
      </c>
      <c r="Y84" s="89">
        <v>6.5590000000000002</v>
      </c>
      <c r="Z84" s="89">
        <v>5.6760000000000002</v>
      </c>
      <c r="AA84" s="89">
        <v>4.9189999999999996</v>
      </c>
      <c r="AB84" s="89">
        <v>4.2699999999999996</v>
      </c>
      <c r="AC84" s="89">
        <v>3.7149999999999999</v>
      </c>
      <c r="AD84" s="89">
        <v>3.24</v>
      </c>
      <c r="AE84" s="89">
        <v>2.8330000000000002</v>
      </c>
    </row>
    <row r="85" spans="1:31" x14ac:dyDescent="0.25">
      <c r="A85" s="97">
        <v>78</v>
      </c>
      <c r="B85" s="89">
        <v>167.59700000000001</v>
      </c>
      <c r="C85" s="89">
        <v>149.31</v>
      </c>
      <c r="D85" s="89">
        <v>132.649</v>
      </c>
      <c r="E85" s="89">
        <v>117.577</v>
      </c>
      <c r="F85" s="89">
        <v>103.967</v>
      </c>
      <c r="G85" s="89">
        <v>91.731999999999999</v>
      </c>
      <c r="H85" s="89">
        <v>80.766999999999996</v>
      </c>
      <c r="I85" s="89">
        <v>70.981999999999999</v>
      </c>
      <c r="J85" s="89">
        <v>62.27</v>
      </c>
      <c r="K85" s="89">
        <v>54.555</v>
      </c>
      <c r="L85" s="89">
        <v>47.719000000000001</v>
      </c>
      <c r="M85" s="89">
        <v>41.673999999999999</v>
      </c>
      <c r="N85" s="89">
        <v>36.341999999999999</v>
      </c>
      <c r="O85" s="89">
        <v>31.643999999999998</v>
      </c>
      <c r="P85" s="89">
        <v>27.515999999999998</v>
      </c>
      <c r="Q85" s="89">
        <v>23.9</v>
      </c>
      <c r="R85" s="89">
        <v>20.725000000000001</v>
      </c>
      <c r="S85" s="89">
        <v>17.937999999999999</v>
      </c>
      <c r="T85" s="89">
        <v>15.506</v>
      </c>
      <c r="U85" s="89">
        <v>13.385999999999999</v>
      </c>
      <c r="V85" s="89">
        <v>11.545999999999999</v>
      </c>
      <c r="W85" s="89">
        <v>9.9380000000000006</v>
      </c>
      <c r="X85" s="89">
        <v>8.57</v>
      </c>
      <c r="Y85" s="89">
        <v>7.3940000000000001</v>
      </c>
      <c r="Z85" s="89">
        <v>6.3840000000000003</v>
      </c>
      <c r="AA85" s="89">
        <v>5.5190000000000001</v>
      </c>
      <c r="AB85" s="89">
        <v>4.7789999999999999</v>
      </c>
      <c r="AC85" s="89">
        <v>4.1470000000000002</v>
      </c>
      <c r="AD85" s="89">
        <v>3.6070000000000002</v>
      </c>
      <c r="AE85" s="89">
        <v>3.1459999999999999</v>
      </c>
    </row>
    <row r="86" spans="1:31" x14ac:dyDescent="0.25">
      <c r="A86" s="97">
        <v>79</v>
      </c>
      <c r="B86" s="89">
        <v>191.07599999999999</v>
      </c>
      <c r="C86" s="89">
        <v>170.31100000000001</v>
      </c>
      <c r="D86" s="89">
        <v>151.369</v>
      </c>
      <c r="E86" s="89">
        <v>134.21899999999999</v>
      </c>
      <c r="F86" s="89">
        <v>118.71899999999999</v>
      </c>
      <c r="G86" s="89">
        <v>104.776</v>
      </c>
      <c r="H86" s="89">
        <v>92.272999999999996</v>
      </c>
      <c r="I86" s="89">
        <v>81.111000000000004</v>
      </c>
      <c r="J86" s="89">
        <v>71.168999999999997</v>
      </c>
      <c r="K86" s="89">
        <v>62.363</v>
      </c>
      <c r="L86" s="89">
        <v>54.557000000000002</v>
      </c>
      <c r="M86" s="89">
        <v>47.651000000000003</v>
      </c>
      <c r="N86" s="89">
        <v>41.557000000000002</v>
      </c>
      <c r="O86" s="89">
        <v>36.183999999999997</v>
      </c>
      <c r="P86" s="89">
        <v>31.46</v>
      </c>
      <c r="Q86" s="89">
        <v>27.32</v>
      </c>
      <c r="R86" s="89">
        <v>23.681999999999999</v>
      </c>
      <c r="S86" s="89">
        <v>20.484000000000002</v>
      </c>
      <c r="T86" s="89">
        <v>17.690999999999999</v>
      </c>
      <c r="U86" s="89">
        <v>15.256</v>
      </c>
      <c r="V86" s="89">
        <v>13.141</v>
      </c>
      <c r="W86" s="89">
        <v>11.291</v>
      </c>
      <c r="X86" s="89">
        <v>9.7189999999999994</v>
      </c>
      <c r="Y86" s="89">
        <v>8.3680000000000003</v>
      </c>
      <c r="Z86" s="89">
        <v>7.21</v>
      </c>
      <c r="AA86" s="89">
        <v>6.218</v>
      </c>
      <c r="AB86" s="89">
        <v>5.3710000000000004</v>
      </c>
      <c r="AC86" s="89">
        <v>4.649</v>
      </c>
      <c r="AD86" s="89">
        <v>4.0330000000000004</v>
      </c>
      <c r="AE86" s="89">
        <v>3.508</v>
      </c>
    </row>
    <row r="87" spans="1:31" x14ac:dyDescent="0.25">
      <c r="A87" s="97">
        <v>80</v>
      </c>
      <c r="B87" s="89">
        <v>218.32900000000001</v>
      </c>
      <c r="C87" s="89">
        <v>194.702</v>
      </c>
      <c r="D87" s="89">
        <v>173.119</v>
      </c>
      <c r="E87" s="89">
        <v>153.56100000000001</v>
      </c>
      <c r="F87" s="89">
        <v>135.86799999999999</v>
      </c>
      <c r="G87" s="89">
        <v>119.943</v>
      </c>
      <c r="H87" s="89">
        <v>105.652</v>
      </c>
      <c r="I87" s="89">
        <v>92.89</v>
      </c>
      <c r="J87" s="89">
        <v>81.519000000000005</v>
      </c>
      <c r="K87" s="89">
        <v>71.447999999999993</v>
      </c>
      <c r="L87" s="89">
        <v>62.515000000000001</v>
      </c>
      <c r="M87" s="89">
        <v>54.610999999999997</v>
      </c>
      <c r="N87" s="89">
        <v>47.633000000000003</v>
      </c>
      <c r="O87" s="89">
        <v>41.476999999999997</v>
      </c>
      <c r="P87" s="89">
        <v>36.061</v>
      </c>
      <c r="Q87" s="89">
        <v>31.312000000000001</v>
      </c>
      <c r="R87" s="89">
        <v>27.135000000000002</v>
      </c>
      <c r="S87" s="89">
        <v>23.459</v>
      </c>
      <c r="T87" s="89">
        <v>20.247</v>
      </c>
      <c r="U87" s="89">
        <v>17.443999999999999</v>
      </c>
      <c r="V87" s="89">
        <v>15.006</v>
      </c>
      <c r="W87" s="89">
        <v>12.872999999999999</v>
      </c>
      <c r="X87" s="89">
        <v>11.061999999999999</v>
      </c>
      <c r="Y87" s="89">
        <v>9.5060000000000002</v>
      </c>
      <c r="Z87" s="89">
        <v>8.173</v>
      </c>
      <c r="AA87" s="89">
        <v>7.0330000000000004</v>
      </c>
      <c r="AB87" s="89">
        <v>6.0609999999999999</v>
      </c>
      <c r="AC87" s="89">
        <v>5.234</v>
      </c>
      <c r="AD87" s="89">
        <v>4.5289999999999999</v>
      </c>
      <c r="AE87" s="89">
        <v>3.9289999999999998</v>
      </c>
    </row>
    <row r="88" spans="1:31" x14ac:dyDescent="0.25">
      <c r="A88" s="97">
        <v>81</v>
      </c>
      <c r="B88" s="89">
        <v>249.96899999999999</v>
      </c>
      <c r="C88" s="89">
        <v>223.035</v>
      </c>
      <c r="D88" s="89">
        <v>198.39599999999999</v>
      </c>
      <c r="E88" s="89">
        <v>176.048</v>
      </c>
      <c r="F88" s="89">
        <v>155.81100000000001</v>
      </c>
      <c r="G88" s="89">
        <v>137.583</v>
      </c>
      <c r="H88" s="89">
        <v>121.21599999999999</v>
      </c>
      <c r="I88" s="89">
        <v>106.59399999999999</v>
      </c>
      <c r="J88" s="89">
        <v>93.563000000000002</v>
      </c>
      <c r="K88" s="89">
        <v>82.019000000000005</v>
      </c>
      <c r="L88" s="89">
        <v>71.78</v>
      </c>
      <c r="M88" s="89">
        <v>62.715000000000003</v>
      </c>
      <c r="N88" s="89">
        <v>54.710999999999999</v>
      </c>
      <c r="O88" s="89">
        <v>47.646000000000001</v>
      </c>
      <c r="P88" s="89">
        <v>41.427</v>
      </c>
      <c r="Q88" s="89">
        <v>35.972000000000001</v>
      </c>
      <c r="R88" s="89">
        <v>31.17</v>
      </c>
      <c r="S88" s="89">
        <v>26.937000000000001</v>
      </c>
      <c r="T88" s="89">
        <v>23.234999999999999</v>
      </c>
      <c r="U88" s="89">
        <v>20.001999999999999</v>
      </c>
      <c r="V88" s="89">
        <v>17.187999999999999</v>
      </c>
      <c r="W88" s="89">
        <v>14.724</v>
      </c>
      <c r="X88" s="89">
        <v>12.632</v>
      </c>
      <c r="Y88" s="89">
        <v>10.836</v>
      </c>
      <c r="Z88" s="89">
        <v>9.2989999999999995</v>
      </c>
      <c r="AA88" s="89">
        <v>7.984</v>
      </c>
      <c r="AB88" s="89">
        <v>6.8659999999999997</v>
      </c>
      <c r="AC88" s="89">
        <v>5.9139999999999997</v>
      </c>
      <c r="AD88" s="89">
        <v>5.1050000000000004</v>
      </c>
      <c r="AE88" s="89">
        <v>4.4180000000000001</v>
      </c>
    </row>
    <row r="89" spans="1:31" x14ac:dyDescent="0.25">
      <c r="A89" s="97">
        <v>82</v>
      </c>
      <c r="B89" s="89">
        <v>286.73399999999998</v>
      </c>
      <c r="C89" s="89">
        <v>255.97800000000001</v>
      </c>
      <c r="D89" s="89">
        <v>227.80199999999999</v>
      </c>
      <c r="E89" s="89">
        <v>202.22</v>
      </c>
      <c r="F89" s="89">
        <v>179.03</v>
      </c>
      <c r="G89" s="89">
        <v>158.125</v>
      </c>
      <c r="H89" s="89">
        <v>139.34299999999999</v>
      </c>
      <c r="I89" s="89">
        <v>122.557</v>
      </c>
      <c r="J89" s="89">
        <v>107.592</v>
      </c>
      <c r="K89" s="89">
        <v>94.335999999999999</v>
      </c>
      <c r="L89" s="89">
        <v>82.575000000000003</v>
      </c>
      <c r="M89" s="89">
        <v>72.162000000000006</v>
      </c>
      <c r="N89" s="89">
        <v>62.963999999999999</v>
      </c>
      <c r="O89" s="89">
        <v>54.843000000000004</v>
      </c>
      <c r="P89" s="89">
        <v>47.691000000000003</v>
      </c>
      <c r="Q89" s="89">
        <v>41.415999999999997</v>
      </c>
      <c r="R89" s="89">
        <v>35.886000000000003</v>
      </c>
      <c r="S89" s="89">
        <v>31.006</v>
      </c>
      <c r="T89" s="89">
        <v>26.733000000000001</v>
      </c>
      <c r="U89" s="89">
        <v>22.998000000000001</v>
      </c>
      <c r="V89" s="89">
        <v>19.744</v>
      </c>
      <c r="W89" s="89">
        <v>16.89</v>
      </c>
      <c r="X89" s="89">
        <v>14.468999999999999</v>
      </c>
      <c r="Y89" s="89">
        <v>12.391999999999999</v>
      </c>
      <c r="Z89" s="89">
        <v>10.614000000000001</v>
      </c>
      <c r="AA89" s="89">
        <v>9.0950000000000006</v>
      </c>
      <c r="AB89" s="89">
        <v>7.8040000000000003</v>
      </c>
      <c r="AC89" s="89">
        <v>6.7080000000000002</v>
      </c>
      <c r="AD89" s="89">
        <v>5.7770000000000001</v>
      </c>
      <c r="AE89" s="89">
        <v>4.9870000000000001</v>
      </c>
    </row>
    <row r="90" spans="1:31" x14ac:dyDescent="0.25">
      <c r="A90" s="97">
        <v>83</v>
      </c>
      <c r="B90" s="89">
        <v>329.529</v>
      </c>
      <c r="C90" s="89">
        <v>294.35199999999998</v>
      </c>
      <c r="D90" s="89">
        <v>262.07400000000001</v>
      </c>
      <c r="E90" s="89">
        <v>232.738</v>
      </c>
      <c r="F90" s="89">
        <v>206.114</v>
      </c>
      <c r="G90" s="89">
        <v>182.09399999999999</v>
      </c>
      <c r="H90" s="89">
        <v>160.49600000000001</v>
      </c>
      <c r="I90" s="89">
        <v>141.18600000000001</v>
      </c>
      <c r="J90" s="89">
        <v>123.965</v>
      </c>
      <c r="K90" s="89">
        <v>108.71299999999999</v>
      </c>
      <c r="L90" s="89">
        <v>95.177999999999997</v>
      </c>
      <c r="M90" s="89">
        <v>83.191999999999993</v>
      </c>
      <c r="N90" s="89">
        <v>72.603999999999999</v>
      </c>
      <c r="O90" s="89">
        <v>63.252000000000002</v>
      </c>
      <c r="P90" s="89">
        <v>55.015000000000001</v>
      </c>
      <c r="Q90" s="89">
        <v>47.784999999999997</v>
      </c>
      <c r="R90" s="89">
        <v>41.408000000000001</v>
      </c>
      <c r="S90" s="89">
        <v>35.773000000000003</v>
      </c>
      <c r="T90" s="89">
        <v>30.834</v>
      </c>
      <c r="U90" s="89">
        <v>26.510999999999999</v>
      </c>
      <c r="V90" s="89">
        <v>22.742000000000001</v>
      </c>
      <c r="W90" s="89">
        <v>19.43</v>
      </c>
      <c r="X90" s="89">
        <v>16.623000000000001</v>
      </c>
      <c r="Y90" s="89">
        <v>14.215</v>
      </c>
      <c r="Z90" s="89">
        <v>12.154999999999999</v>
      </c>
      <c r="AA90" s="89">
        <v>10.396000000000001</v>
      </c>
      <c r="AB90" s="89">
        <v>8.9030000000000005</v>
      </c>
      <c r="AC90" s="89">
        <v>7.6360000000000001</v>
      </c>
      <c r="AD90" s="89">
        <v>6.5609999999999999</v>
      </c>
      <c r="AE90" s="89">
        <v>5.6509999999999998</v>
      </c>
    </row>
    <row r="91" spans="1:31" x14ac:dyDescent="0.25">
      <c r="A91" s="97">
        <v>84</v>
      </c>
      <c r="B91" s="89">
        <v>379.45499999999998</v>
      </c>
      <c r="C91" s="89">
        <v>339.15</v>
      </c>
      <c r="D91" s="89">
        <v>302.108</v>
      </c>
      <c r="E91" s="89">
        <v>268.40499999999997</v>
      </c>
      <c r="F91" s="89">
        <v>237.78200000000001</v>
      </c>
      <c r="G91" s="89">
        <v>210.12700000000001</v>
      </c>
      <c r="H91" s="89">
        <v>185.24199999999999</v>
      </c>
      <c r="I91" s="89">
        <v>162.982</v>
      </c>
      <c r="J91" s="89">
        <v>143.12200000000001</v>
      </c>
      <c r="K91" s="89">
        <v>125.535</v>
      </c>
      <c r="L91" s="89">
        <v>109.926</v>
      </c>
      <c r="M91" s="89">
        <v>96.102000000000004</v>
      </c>
      <c r="N91" s="89">
        <v>83.89</v>
      </c>
      <c r="O91" s="89">
        <v>73.100999999999999</v>
      </c>
      <c r="P91" s="89">
        <v>63.595999999999997</v>
      </c>
      <c r="Q91" s="89">
        <v>55.253</v>
      </c>
      <c r="R91" s="89">
        <v>47.887999999999998</v>
      </c>
      <c r="S91" s="89">
        <v>41.371000000000002</v>
      </c>
      <c r="T91" s="89">
        <v>35.652999999999999</v>
      </c>
      <c r="U91" s="89">
        <v>30.640999999999998</v>
      </c>
      <c r="V91" s="89">
        <v>26.268000000000001</v>
      </c>
      <c r="W91" s="89">
        <v>22.417000000000002</v>
      </c>
      <c r="X91" s="89">
        <v>19.155000000000001</v>
      </c>
      <c r="Y91" s="89">
        <v>16.356999999999999</v>
      </c>
      <c r="Z91" s="89">
        <v>13.964</v>
      </c>
      <c r="AA91" s="89">
        <v>11.922000000000001</v>
      </c>
      <c r="AB91" s="89">
        <v>10.19</v>
      </c>
      <c r="AC91" s="89">
        <v>8.7219999999999995</v>
      </c>
      <c r="AD91" s="89">
        <v>7.4790000000000001</v>
      </c>
      <c r="AE91" s="89">
        <v>6.4269999999999996</v>
      </c>
    </row>
    <row r="92" spans="1:31" x14ac:dyDescent="0.25">
      <c r="A92" s="97">
        <v>85</v>
      </c>
      <c r="B92" s="89">
        <v>437.75299999999999</v>
      </c>
      <c r="C92" s="89">
        <v>391.49799999999999</v>
      </c>
      <c r="D92" s="89">
        <v>348.91899999999998</v>
      </c>
      <c r="E92" s="89">
        <v>310.13400000000001</v>
      </c>
      <c r="F92" s="89">
        <v>274.84800000000001</v>
      </c>
      <c r="G92" s="89">
        <v>242.95099999999999</v>
      </c>
      <c r="H92" s="89">
        <v>214.22300000000001</v>
      </c>
      <c r="I92" s="89">
        <v>188.511</v>
      </c>
      <c r="J92" s="89">
        <v>165.56200000000001</v>
      </c>
      <c r="K92" s="89">
        <v>145.24199999999999</v>
      </c>
      <c r="L92" s="89">
        <v>127.20399999999999</v>
      </c>
      <c r="M92" s="89">
        <v>111.22799999999999</v>
      </c>
      <c r="N92" s="89">
        <v>97.114999999999995</v>
      </c>
      <c r="O92" s="89">
        <v>84.644999999999996</v>
      </c>
      <c r="P92" s="89">
        <v>73.659000000000006</v>
      </c>
      <c r="Q92" s="89">
        <v>64.016000000000005</v>
      </c>
      <c r="R92" s="89">
        <v>55.497</v>
      </c>
      <c r="S92" s="89">
        <v>47.948999999999998</v>
      </c>
      <c r="T92" s="89">
        <v>41.319000000000003</v>
      </c>
      <c r="U92" s="89">
        <v>35.5</v>
      </c>
      <c r="V92" s="89">
        <v>30.417000000000002</v>
      </c>
      <c r="W92" s="89">
        <v>25.93</v>
      </c>
      <c r="X92" s="89">
        <v>22.134</v>
      </c>
      <c r="Y92" s="89">
        <v>18.876000000000001</v>
      </c>
      <c r="Z92" s="89">
        <v>16.09</v>
      </c>
      <c r="AA92" s="89">
        <v>13.714</v>
      </c>
      <c r="AB92" s="89">
        <v>11.702</v>
      </c>
      <c r="AC92" s="89">
        <v>9.9969999999999999</v>
      </c>
      <c r="AD92" s="89">
        <v>8.5549999999999997</v>
      </c>
      <c r="AE92" s="89">
        <v>7.335</v>
      </c>
    </row>
  </sheetData>
  <sheetProtection algorithmName="SHA-512" hashValue="BmgUke3faQ08Cr3oEZehpo18SJYu+ERAptxCOjJ/rw81AAmsyqi0MWJy1r0QCONP7v56Rqq0TG6iuj/HW0bFgg==" saltValue="Nr4ajPlvuHk0JsDrPF030Q==" spinCount="100000" sheet="1" objects="1" scenarios="1"/>
  <conditionalFormatting sqref="A6:A21">
    <cfRule type="expression" dxfId="161" priority="5" stopIfTrue="1">
      <formula>MOD(ROW(),2)=0</formula>
    </cfRule>
    <cfRule type="expression" dxfId="160" priority="6" stopIfTrue="1">
      <formula>MOD(ROW(),2)&lt;&gt;0</formula>
    </cfRule>
  </conditionalFormatting>
  <conditionalFormatting sqref="A27:A92">
    <cfRule type="expression" dxfId="159" priority="21" stopIfTrue="1">
      <formula>MOD(ROW(),2)=0</formula>
    </cfRule>
    <cfRule type="expression" dxfId="158" priority="22" stopIfTrue="1">
      <formula>MOD(ROW(),2)&lt;&gt;0</formula>
    </cfRule>
  </conditionalFormatting>
  <conditionalFormatting sqref="B17:B21">
    <cfRule type="expression" dxfId="157" priority="1" stopIfTrue="1">
      <formula>MOD(ROW(),2)=0</formula>
    </cfRule>
    <cfRule type="expression" dxfId="156" priority="2" stopIfTrue="1">
      <formula>MOD(ROW(),2)&lt;&gt;0</formula>
    </cfRule>
  </conditionalFormatting>
  <conditionalFormatting sqref="B6:AE21">
    <cfRule type="expression" dxfId="155" priority="35" stopIfTrue="1">
      <formula>MOD(ROW(),2)=0</formula>
    </cfRule>
    <cfRule type="expression" dxfId="154" priority="36" stopIfTrue="1">
      <formula>MOD(ROW(),2)&lt;&gt;0</formula>
    </cfRule>
  </conditionalFormatting>
  <conditionalFormatting sqref="B26:AE92">
    <cfRule type="expression" dxfId="153" priority="27" stopIfTrue="1">
      <formula>MOD(ROW(),2)=0</formula>
    </cfRule>
    <cfRule type="expression" dxfId="152" priority="28" stopIfTrue="1">
      <formula>MOD(ROW(),2)&lt;&gt;0</formula>
    </cfRule>
  </conditionalFormatting>
  <conditionalFormatting sqref="C6:AE21">
    <cfRule type="expression" dxfId="151" priority="3" stopIfTrue="1">
      <formula>MOD(ROW(),2)=0</formula>
    </cfRule>
    <cfRule type="expression" dxfId="150" priority="4" stopIfTrue="1">
      <formula>MOD(ROW(),2)&lt;&gt;0</formula>
    </cfRule>
  </conditionalFormatting>
  <hyperlinks>
    <hyperlink ref="B24" location="Sheet1!A1" display="Assumptions" xr:uid="{1F5AD4C1-6E77-4742-BCF3-7B8091870B0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28"/>
  <dimension ref="A1:AE92"/>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31" ht="21" x14ac:dyDescent="0.4">
      <c r="A1" s="39" t="s">
        <v>0</v>
      </c>
      <c r="B1" s="40"/>
      <c r="C1" s="40"/>
      <c r="D1" s="40"/>
      <c r="E1" s="40"/>
      <c r="F1" s="40"/>
      <c r="G1" s="40"/>
      <c r="H1" s="40"/>
      <c r="I1" s="40"/>
    </row>
    <row r="2" spans="1:31"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31" ht="15.6" x14ac:dyDescent="0.3">
      <c r="A3" s="43" t="str">
        <f>TABLE_FACTOR_TYPE_1&amp;" - x-"&amp;TABLE_SERIES_NUMBER_1</f>
        <v>Allocation - x-805</v>
      </c>
      <c r="B3" s="42"/>
      <c r="C3" s="42"/>
      <c r="D3" s="42"/>
      <c r="E3" s="42"/>
      <c r="F3" s="42"/>
      <c r="G3" s="42"/>
      <c r="H3" s="42"/>
      <c r="I3" s="42"/>
    </row>
    <row r="4" spans="1:31" x14ac:dyDescent="0.25">
      <c r="A4" s="44"/>
    </row>
    <row r="6" spans="1:31" x14ac:dyDescent="0.25">
      <c r="A6" s="87" t="s">
        <v>290</v>
      </c>
      <c r="B6" s="185" t="s">
        <v>291</v>
      </c>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row>
    <row r="7" spans="1:31" x14ac:dyDescent="0.25">
      <c r="A7" s="81" t="s">
        <v>804</v>
      </c>
      <c r="B7" s="185" t="s">
        <v>345</v>
      </c>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row>
    <row r="8" spans="1:31" x14ac:dyDescent="0.25">
      <c r="A8" s="81" t="s">
        <v>805</v>
      </c>
      <c r="B8" s="185" t="s">
        <v>643</v>
      </c>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row>
    <row r="9" spans="1:31" x14ac:dyDescent="0.25">
      <c r="A9" s="81" t="s">
        <v>296</v>
      </c>
      <c r="B9" s="185" t="s">
        <v>688</v>
      </c>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row>
    <row r="10" spans="1:31" x14ac:dyDescent="0.25">
      <c r="A10" s="81" t="s">
        <v>6</v>
      </c>
      <c r="B10" s="185" t="s">
        <v>702</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row>
    <row r="11" spans="1:31" x14ac:dyDescent="0.25">
      <c r="A11" s="81" t="s">
        <v>299</v>
      </c>
      <c r="B11" s="185" t="s">
        <v>404</v>
      </c>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row>
    <row r="12" spans="1:31" x14ac:dyDescent="0.25">
      <c r="A12" s="81" t="s">
        <v>301</v>
      </c>
      <c r="B12" s="185" t="s">
        <v>690</v>
      </c>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row>
    <row r="13" spans="1:31" x14ac:dyDescent="0.25">
      <c r="A13" s="81" t="s">
        <v>303</v>
      </c>
      <c r="B13" s="185">
        <v>1</v>
      </c>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row>
    <row r="14" spans="1:31" x14ac:dyDescent="0.25">
      <c r="A14" s="81" t="s">
        <v>305</v>
      </c>
      <c r="B14" s="185">
        <v>805</v>
      </c>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row>
    <row r="15" spans="1:31" x14ac:dyDescent="0.25">
      <c r="A15" s="81" t="s">
        <v>307</v>
      </c>
      <c r="B15" s="185" t="s">
        <v>703</v>
      </c>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row>
    <row r="16" spans="1:31" x14ac:dyDescent="0.25">
      <c r="A16" s="81" t="s">
        <v>309</v>
      </c>
      <c r="B16" s="185" t="s">
        <v>704</v>
      </c>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row>
    <row r="17" spans="1:31" x14ac:dyDescent="0.25">
      <c r="A17" s="81" t="s">
        <v>803</v>
      </c>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row>
    <row r="18" spans="1:31" x14ac:dyDescent="0.25">
      <c r="A18" s="81" t="s">
        <v>313</v>
      </c>
      <c r="B18" s="188">
        <v>45184</v>
      </c>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row>
    <row r="19" spans="1:31" x14ac:dyDescent="0.25">
      <c r="A19" s="81" t="s">
        <v>315</v>
      </c>
      <c r="B19" s="188"/>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row>
    <row r="20" spans="1:31" x14ac:dyDescent="0.25">
      <c r="A20" s="81" t="s">
        <v>317</v>
      </c>
      <c r="B20" s="185" t="s">
        <v>331</v>
      </c>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row>
    <row r="21" spans="1:31" x14ac:dyDescent="0.25">
      <c r="A21" s="77" t="s">
        <v>323</v>
      </c>
      <c r="B21" s="185" t="s">
        <v>332</v>
      </c>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row>
    <row r="23" spans="1:31" x14ac:dyDescent="0.25">
      <c r="B23" s="102" t="str">
        <f>HYPERLINK("#'Factor List'!A1","Back to Factor List")</f>
        <v>Back to Factor List</v>
      </c>
    </row>
    <row r="24" spans="1:31" x14ac:dyDescent="0.25">
      <c r="B24" s="102" t="s">
        <v>13</v>
      </c>
    </row>
    <row r="25" spans="1:31" x14ac:dyDescent="0.25">
      <c r="B25" s="102"/>
    </row>
    <row r="26" spans="1:31" x14ac:dyDescent="0.25">
      <c r="A26" s="178" t="s">
        <v>972</v>
      </c>
      <c r="B26" s="83">
        <v>50</v>
      </c>
      <c r="C26" s="83">
        <v>51</v>
      </c>
      <c r="D26" s="83">
        <v>52</v>
      </c>
      <c r="E26" s="83">
        <v>53</v>
      </c>
      <c r="F26" s="83">
        <v>54</v>
      </c>
      <c r="G26" s="83">
        <v>55</v>
      </c>
      <c r="H26" s="83">
        <v>56</v>
      </c>
      <c r="I26" s="83">
        <v>57</v>
      </c>
      <c r="J26" s="83">
        <v>58</v>
      </c>
      <c r="K26" s="83">
        <v>59</v>
      </c>
      <c r="L26" s="83">
        <v>60</v>
      </c>
      <c r="M26" s="83">
        <v>61</v>
      </c>
      <c r="N26" s="83">
        <v>62</v>
      </c>
      <c r="O26" s="83">
        <v>63</v>
      </c>
      <c r="P26" s="83">
        <v>64</v>
      </c>
      <c r="Q26" s="83">
        <v>65</v>
      </c>
      <c r="R26" s="83">
        <v>66</v>
      </c>
      <c r="S26" s="83">
        <v>67</v>
      </c>
      <c r="T26" s="83">
        <v>68</v>
      </c>
      <c r="U26" s="83">
        <v>69</v>
      </c>
      <c r="V26" s="83">
        <v>70</v>
      </c>
      <c r="W26" s="83">
        <v>71</v>
      </c>
      <c r="X26" s="83">
        <v>72</v>
      </c>
      <c r="Y26" s="83">
        <v>73</v>
      </c>
      <c r="Z26" s="83">
        <v>74</v>
      </c>
      <c r="AA26" s="83">
        <v>75</v>
      </c>
      <c r="AB26" s="83">
        <v>76</v>
      </c>
      <c r="AC26" s="83">
        <v>77</v>
      </c>
      <c r="AD26" s="83">
        <v>78</v>
      </c>
      <c r="AE26" s="83">
        <v>79</v>
      </c>
    </row>
    <row r="27" spans="1:31" x14ac:dyDescent="0.25">
      <c r="A27" s="97">
        <v>20</v>
      </c>
      <c r="B27" s="96">
        <v>1.9119999999999999</v>
      </c>
      <c r="C27" s="96">
        <v>1.8049999999999999</v>
      </c>
      <c r="D27" s="96">
        <v>1.7050000000000001</v>
      </c>
      <c r="E27" s="96">
        <v>1.61</v>
      </c>
      <c r="F27" s="96">
        <v>1.52</v>
      </c>
      <c r="G27" s="96">
        <v>1.4350000000000001</v>
      </c>
      <c r="H27" s="96">
        <v>1.3540000000000001</v>
      </c>
      <c r="I27" s="96">
        <v>1.278</v>
      </c>
      <c r="J27" s="96">
        <v>1.206</v>
      </c>
      <c r="K27" s="96">
        <v>1.137</v>
      </c>
      <c r="L27" s="96">
        <v>1.0720000000000001</v>
      </c>
      <c r="M27" s="96">
        <v>1.01</v>
      </c>
      <c r="N27" s="96">
        <v>0.95099999999999996</v>
      </c>
      <c r="O27" s="96">
        <v>0.89500000000000002</v>
      </c>
      <c r="P27" s="96">
        <v>0.84199999999999997</v>
      </c>
      <c r="Q27" s="96">
        <v>0.79200000000000004</v>
      </c>
      <c r="R27" s="96">
        <v>0.74399999999999999</v>
      </c>
      <c r="S27" s="96">
        <v>0.69899999999999995</v>
      </c>
      <c r="T27" s="96">
        <v>0.65600000000000003</v>
      </c>
      <c r="U27" s="96">
        <v>0.61499999999999999</v>
      </c>
      <c r="V27" s="96">
        <v>0.57599999999999996</v>
      </c>
      <c r="W27" s="96">
        <v>0.53900000000000003</v>
      </c>
      <c r="X27" s="96">
        <v>0.504</v>
      </c>
      <c r="Y27" s="96">
        <v>0.47099999999999997</v>
      </c>
      <c r="Z27" s="96">
        <v>0.44</v>
      </c>
      <c r="AA27" s="96">
        <v>0.41099999999999998</v>
      </c>
      <c r="AB27" s="96">
        <v>0.38300000000000001</v>
      </c>
      <c r="AC27" s="96">
        <v>0.35699999999999998</v>
      </c>
      <c r="AD27" s="96">
        <v>0.33300000000000002</v>
      </c>
      <c r="AE27" s="96">
        <v>0.31</v>
      </c>
    </row>
    <row r="28" spans="1:31" x14ac:dyDescent="0.25">
      <c r="A28" s="97">
        <v>21</v>
      </c>
      <c r="B28" s="89">
        <v>1.9570000000000001</v>
      </c>
      <c r="C28" s="89">
        <v>1.8460000000000001</v>
      </c>
      <c r="D28" s="89">
        <v>1.742</v>
      </c>
      <c r="E28" s="89">
        <v>1.6439999999999999</v>
      </c>
      <c r="F28" s="89">
        <v>1.552</v>
      </c>
      <c r="G28" s="89">
        <v>1.464</v>
      </c>
      <c r="H28" s="89">
        <v>1.381</v>
      </c>
      <c r="I28" s="89">
        <v>1.302</v>
      </c>
      <c r="J28" s="89">
        <v>1.228</v>
      </c>
      <c r="K28" s="89">
        <v>1.157</v>
      </c>
      <c r="L28" s="89">
        <v>1.0900000000000001</v>
      </c>
      <c r="M28" s="89">
        <v>1.0269999999999999</v>
      </c>
      <c r="N28" s="89">
        <v>0.96599999999999997</v>
      </c>
      <c r="O28" s="89">
        <v>0.90900000000000003</v>
      </c>
      <c r="P28" s="89">
        <v>0.85499999999999998</v>
      </c>
      <c r="Q28" s="89">
        <v>0.80400000000000005</v>
      </c>
      <c r="R28" s="89">
        <v>0.755</v>
      </c>
      <c r="S28" s="89">
        <v>0.70899999999999996</v>
      </c>
      <c r="T28" s="89">
        <v>0.66500000000000004</v>
      </c>
      <c r="U28" s="89">
        <v>0.623</v>
      </c>
      <c r="V28" s="89">
        <v>0.58399999999999996</v>
      </c>
      <c r="W28" s="89">
        <v>0.54600000000000004</v>
      </c>
      <c r="X28" s="89">
        <v>0.51100000000000001</v>
      </c>
      <c r="Y28" s="89">
        <v>0.47699999999999998</v>
      </c>
      <c r="Z28" s="89">
        <v>0.44600000000000001</v>
      </c>
      <c r="AA28" s="89">
        <v>0.41599999999999998</v>
      </c>
      <c r="AB28" s="89">
        <v>0.38800000000000001</v>
      </c>
      <c r="AC28" s="89">
        <v>0.36099999999999999</v>
      </c>
      <c r="AD28" s="89">
        <v>0.33700000000000002</v>
      </c>
      <c r="AE28" s="89">
        <v>0.314</v>
      </c>
    </row>
    <row r="29" spans="1:31" x14ac:dyDescent="0.25">
      <c r="A29" s="97">
        <v>22</v>
      </c>
      <c r="B29" s="89">
        <v>2.0049999999999999</v>
      </c>
      <c r="C29" s="89">
        <v>1.89</v>
      </c>
      <c r="D29" s="89">
        <v>1.782</v>
      </c>
      <c r="E29" s="89">
        <v>1.681</v>
      </c>
      <c r="F29" s="89">
        <v>1.585</v>
      </c>
      <c r="G29" s="89">
        <v>1.494</v>
      </c>
      <c r="H29" s="89">
        <v>1.409</v>
      </c>
      <c r="I29" s="89">
        <v>1.3280000000000001</v>
      </c>
      <c r="J29" s="89">
        <v>1.2509999999999999</v>
      </c>
      <c r="K29" s="89">
        <v>1.179</v>
      </c>
      <c r="L29" s="89">
        <v>1.1100000000000001</v>
      </c>
      <c r="M29" s="89">
        <v>1.0449999999999999</v>
      </c>
      <c r="N29" s="89">
        <v>0.98299999999999998</v>
      </c>
      <c r="O29" s="89">
        <v>0.92400000000000004</v>
      </c>
      <c r="P29" s="89">
        <v>0.86899999999999999</v>
      </c>
      <c r="Q29" s="89">
        <v>0.81599999999999995</v>
      </c>
      <c r="R29" s="89">
        <v>0.76700000000000002</v>
      </c>
      <c r="S29" s="89">
        <v>0.71899999999999997</v>
      </c>
      <c r="T29" s="89">
        <v>0.67500000000000004</v>
      </c>
      <c r="U29" s="89">
        <v>0.63200000000000001</v>
      </c>
      <c r="V29" s="89">
        <v>0.59199999999999997</v>
      </c>
      <c r="W29" s="89">
        <v>0.55400000000000005</v>
      </c>
      <c r="X29" s="89">
        <v>0.51800000000000002</v>
      </c>
      <c r="Y29" s="89">
        <v>0.48299999999999998</v>
      </c>
      <c r="Z29" s="89">
        <v>0.45100000000000001</v>
      </c>
      <c r="AA29" s="89">
        <v>0.42099999999999999</v>
      </c>
      <c r="AB29" s="89">
        <v>0.39300000000000002</v>
      </c>
      <c r="AC29" s="89">
        <v>0.36599999999999999</v>
      </c>
      <c r="AD29" s="89">
        <v>0.34100000000000003</v>
      </c>
      <c r="AE29" s="89">
        <v>0.317</v>
      </c>
    </row>
    <row r="30" spans="1:31" x14ac:dyDescent="0.25">
      <c r="A30" s="97">
        <v>23</v>
      </c>
      <c r="B30" s="89">
        <v>2.056</v>
      </c>
      <c r="C30" s="89">
        <v>1.9370000000000001</v>
      </c>
      <c r="D30" s="89">
        <v>1.825</v>
      </c>
      <c r="E30" s="89">
        <v>1.72</v>
      </c>
      <c r="F30" s="89">
        <v>1.62</v>
      </c>
      <c r="G30" s="89">
        <v>1.5269999999999999</v>
      </c>
      <c r="H30" s="89">
        <v>1.4379999999999999</v>
      </c>
      <c r="I30" s="89">
        <v>1.355</v>
      </c>
      <c r="J30" s="89">
        <v>1.276</v>
      </c>
      <c r="K30" s="89">
        <v>1.2010000000000001</v>
      </c>
      <c r="L30" s="89">
        <v>1.131</v>
      </c>
      <c r="M30" s="89">
        <v>1.0640000000000001</v>
      </c>
      <c r="N30" s="89">
        <v>1</v>
      </c>
      <c r="O30" s="89">
        <v>0.94</v>
      </c>
      <c r="P30" s="89">
        <v>0.88300000000000001</v>
      </c>
      <c r="Q30" s="89">
        <v>0.83</v>
      </c>
      <c r="R30" s="89">
        <v>0.77900000000000003</v>
      </c>
      <c r="S30" s="89">
        <v>0.73</v>
      </c>
      <c r="T30" s="89">
        <v>0.68500000000000005</v>
      </c>
      <c r="U30" s="89">
        <v>0.64100000000000001</v>
      </c>
      <c r="V30" s="89">
        <v>0.6</v>
      </c>
      <c r="W30" s="89">
        <v>0.56100000000000005</v>
      </c>
      <c r="X30" s="89">
        <v>0.52500000000000002</v>
      </c>
      <c r="Y30" s="89">
        <v>0.49</v>
      </c>
      <c r="Z30" s="89">
        <v>0.45700000000000002</v>
      </c>
      <c r="AA30" s="89">
        <v>0.42599999999999999</v>
      </c>
      <c r="AB30" s="89">
        <v>0.39700000000000002</v>
      </c>
      <c r="AC30" s="89">
        <v>0.37</v>
      </c>
      <c r="AD30" s="89">
        <v>0.34499999999999997</v>
      </c>
      <c r="AE30" s="89">
        <v>0.32100000000000001</v>
      </c>
    </row>
    <row r="31" spans="1:31" x14ac:dyDescent="0.25">
      <c r="A31" s="97">
        <v>24</v>
      </c>
      <c r="B31" s="89">
        <v>2.11</v>
      </c>
      <c r="C31" s="89">
        <v>1.986</v>
      </c>
      <c r="D31" s="89">
        <v>1.87</v>
      </c>
      <c r="E31" s="89">
        <v>1.7609999999999999</v>
      </c>
      <c r="F31" s="89">
        <v>1.6579999999999999</v>
      </c>
      <c r="G31" s="89">
        <v>1.5609999999999999</v>
      </c>
      <c r="H31" s="89">
        <v>1.47</v>
      </c>
      <c r="I31" s="89">
        <v>1.383</v>
      </c>
      <c r="J31" s="89">
        <v>1.302</v>
      </c>
      <c r="K31" s="89">
        <v>1.2250000000000001</v>
      </c>
      <c r="L31" s="89">
        <v>1.1519999999999999</v>
      </c>
      <c r="M31" s="89">
        <v>1.083</v>
      </c>
      <c r="N31" s="89">
        <v>1.018</v>
      </c>
      <c r="O31" s="89">
        <v>0.95699999999999996</v>
      </c>
      <c r="P31" s="89">
        <v>0.89900000000000002</v>
      </c>
      <c r="Q31" s="89">
        <v>0.84299999999999997</v>
      </c>
      <c r="R31" s="89">
        <v>0.79100000000000004</v>
      </c>
      <c r="S31" s="89">
        <v>0.74199999999999999</v>
      </c>
      <c r="T31" s="89">
        <v>0.69499999999999995</v>
      </c>
      <c r="U31" s="89">
        <v>0.65100000000000002</v>
      </c>
      <c r="V31" s="89">
        <v>0.60899999999999999</v>
      </c>
      <c r="W31" s="89">
        <v>0.56899999999999995</v>
      </c>
      <c r="X31" s="89">
        <v>0.53200000000000003</v>
      </c>
      <c r="Y31" s="89">
        <v>0.497</v>
      </c>
      <c r="Z31" s="89">
        <v>0.46300000000000002</v>
      </c>
      <c r="AA31" s="89">
        <v>0.432</v>
      </c>
      <c r="AB31" s="89">
        <v>0.40300000000000002</v>
      </c>
      <c r="AC31" s="89">
        <v>0.375</v>
      </c>
      <c r="AD31" s="89">
        <v>0.34899999999999998</v>
      </c>
      <c r="AE31" s="89">
        <v>0.32500000000000001</v>
      </c>
    </row>
    <row r="32" spans="1:31" x14ac:dyDescent="0.25">
      <c r="A32" s="97">
        <v>25</v>
      </c>
      <c r="B32" s="89">
        <v>2.1680000000000001</v>
      </c>
      <c r="C32" s="89">
        <v>2.0390000000000001</v>
      </c>
      <c r="D32" s="89">
        <v>1.9179999999999999</v>
      </c>
      <c r="E32" s="89">
        <v>1.804</v>
      </c>
      <c r="F32" s="89">
        <v>1.698</v>
      </c>
      <c r="G32" s="89">
        <v>1.597</v>
      </c>
      <c r="H32" s="89">
        <v>1.5029999999999999</v>
      </c>
      <c r="I32" s="89">
        <v>1.4139999999999999</v>
      </c>
      <c r="J32" s="89">
        <v>1.33</v>
      </c>
      <c r="K32" s="89">
        <v>1.25</v>
      </c>
      <c r="L32" s="89">
        <v>1.175</v>
      </c>
      <c r="M32" s="89">
        <v>1.1040000000000001</v>
      </c>
      <c r="N32" s="89">
        <v>1.038</v>
      </c>
      <c r="O32" s="89">
        <v>0.97399999999999998</v>
      </c>
      <c r="P32" s="89">
        <v>0.91500000000000004</v>
      </c>
      <c r="Q32" s="89">
        <v>0.85799999999999998</v>
      </c>
      <c r="R32" s="89">
        <v>0.80500000000000005</v>
      </c>
      <c r="S32" s="89">
        <v>0.754</v>
      </c>
      <c r="T32" s="89">
        <v>0.70599999999999996</v>
      </c>
      <c r="U32" s="89">
        <v>0.66100000000000003</v>
      </c>
      <c r="V32" s="89">
        <v>0.61799999999999999</v>
      </c>
      <c r="W32" s="89">
        <v>0.57799999999999996</v>
      </c>
      <c r="X32" s="89">
        <v>0.54</v>
      </c>
      <c r="Y32" s="89">
        <v>0.504</v>
      </c>
      <c r="Z32" s="89">
        <v>0.47</v>
      </c>
      <c r="AA32" s="89">
        <v>0.438</v>
      </c>
      <c r="AB32" s="89">
        <v>0.40799999999999997</v>
      </c>
      <c r="AC32" s="89">
        <v>0.38</v>
      </c>
      <c r="AD32" s="89">
        <v>0.35399999999999998</v>
      </c>
      <c r="AE32" s="89">
        <v>0.32900000000000001</v>
      </c>
    </row>
    <row r="33" spans="1:31" x14ac:dyDescent="0.25">
      <c r="A33" s="97">
        <v>26</v>
      </c>
      <c r="B33" s="89">
        <v>2.23</v>
      </c>
      <c r="C33" s="89">
        <v>2.0950000000000002</v>
      </c>
      <c r="D33" s="89">
        <v>1.9690000000000001</v>
      </c>
      <c r="E33" s="89">
        <v>1.851</v>
      </c>
      <c r="F33" s="89">
        <v>1.74</v>
      </c>
      <c r="G33" s="89">
        <v>1.6359999999999999</v>
      </c>
      <c r="H33" s="89">
        <v>1.538</v>
      </c>
      <c r="I33" s="89">
        <v>1.446</v>
      </c>
      <c r="J33" s="89">
        <v>1.359</v>
      </c>
      <c r="K33" s="89">
        <v>1.2769999999999999</v>
      </c>
      <c r="L33" s="89">
        <v>1.1990000000000001</v>
      </c>
      <c r="M33" s="89">
        <v>1.127</v>
      </c>
      <c r="N33" s="89">
        <v>1.0580000000000001</v>
      </c>
      <c r="O33" s="89">
        <v>0.99299999999999999</v>
      </c>
      <c r="P33" s="89">
        <v>0.93100000000000005</v>
      </c>
      <c r="Q33" s="89">
        <v>0.873</v>
      </c>
      <c r="R33" s="89">
        <v>0.81899999999999995</v>
      </c>
      <c r="S33" s="89">
        <v>0.76700000000000002</v>
      </c>
      <c r="T33" s="89">
        <v>0.71799999999999997</v>
      </c>
      <c r="U33" s="89">
        <v>0.67200000000000004</v>
      </c>
      <c r="V33" s="89">
        <v>0.628</v>
      </c>
      <c r="W33" s="89">
        <v>0.58699999999999997</v>
      </c>
      <c r="X33" s="89">
        <v>0.54800000000000004</v>
      </c>
      <c r="Y33" s="89">
        <v>0.51100000000000001</v>
      </c>
      <c r="Z33" s="89">
        <v>0.47699999999999998</v>
      </c>
      <c r="AA33" s="89">
        <v>0.44400000000000001</v>
      </c>
      <c r="AB33" s="89">
        <v>0.41399999999999998</v>
      </c>
      <c r="AC33" s="89">
        <v>0.38500000000000001</v>
      </c>
      <c r="AD33" s="89">
        <v>0.35799999999999998</v>
      </c>
      <c r="AE33" s="89">
        <v>0.33300000000000002</v>
      </c>
    </row>
    <row r="34" spans="1:31" x14ac:dyDescent="0.25">
      <c r="A34" s="97">
        <v>27</v>
      </c>
      <c r="B34" s="89">
        <v>2.2959999999999998</v>
      </c>
      <c r="C34" s="89">
        <v>2.1549999999999998</v>
      </c>
      <c r="D34" s="89">
        <v>2.024</v>
      </c>
      <c r="E34" s="89">
        <v>1.9</v>
      </c>
      <c r="F34" s="89">
        <v>1.7849999999999999</v>
      </c>
      <c r="G34" s="89">
        <v>1.677</v>
      </c>
      <c r="H34" s="89">
        <v>1.575</v>
      </c>
      <c r="I34" s="89">
        <v>1.4790000000000001</v>
      </c>
      <c r="J34" s="89">
        <v>1.39</v>
      </c>
      <c r="K34" s="89">
        <v>1.3049999999999999</v>
      </c>
      <c r="L34" s="89">
        <v>1.2250000000000001</v>
      </c>
      <c r="M34" s="89">
        <v>1.1499999999999999</v>
      </c>
      <c r="N34" s="89">
        <v>1.079</v>
      </c>
      <c r="O34" s="89">
        <v>1.012</v>
      </c>
      <c r="P34" s="89">
        <v>0.94899999999999995</v>
      </c>
      <c r="Q34" s="89">
        <v>0.89</v>
      </c>
      <c r="R34" s="89">
        <v>0.83299999999999996</v>
      </c>
      <c r="S34" s="89">
        <v>0.78</v>
      </c>
      <c r="T34" s="89">
        <v>0.73</v>
      </c>
      <c r="U34" s="89">
        <v>0.68300000000000005</v>
      </c>
      <c r="V34" s="89">
        <v>0.63800000000000001</v>
      </c>
      <c r="W34" s="89">
        <v>0.59599999999999997</v>
      </c>
      <c r="X34" s="89">
        <v>0.55600000000000005</v>
      </c>
      <c r="Y34" s="89">
        <v>0.51900000000000002</v>
      </c>
      <c r="Z34" s="89">
        <v>0.48399999999999999</v>
      </c>
      <c r="AA34" s="89">
        <v>0.45</v>
      </c>
      <c r="AB34" s="89">
        <v>0.41899999999999998</v>
      </c>
      <c r="AC34" s="89">
        <v>0.39</v>
      </c>
      <c r="AD34" s="89">
        <v>0.36299999999999999</v>
      </c>
      <c r="AE34" s="89">
        <v>0.33800000000000002</v>
      </c>
    </row>
    <row r="35" spans="1:31" x14ac:dyDescent="0.25">
      <c r="A35" s="97">
        <v>28</v>
      </c>
      <c r="B35" s="89">
        <v>2.367</v>
      </c>
      <c r="C35" s="89">
        <v>2.2200000000000002</v>
      </c>
      <c r="D35" s="89">
        <v>2.0819999999999999</v>
      </c>
      <c r="E35" s="89">
        <v>1.9530000000000001</v>
      </c>
      <c r="F35" s="89">
        <v>1.833</v>
      </c>
      <c r="G35" s="89">
        <v>1.72</v>
      </c>
      <c r="H35" s="89">
        <v>1.615</v>
      </c>
      <c r="I35" s="89">
        <v>1.5149999999999999</v>
      </c>
      <c r="J35" s="89">
        <v>1.4219999999999999</v>
      </c>
      <c r="K35" s="89">
        <v>1.335</v>
      </c>
      <c r="L35" s="89">
        <v>1.252</v>
      </c>
      <c r="M35" s="89">
        <v>1.175</v>
      </c>
      <c r="N35" s="89">
        <v>1.101</v>
      </c>
      <c r="O35" s="89">
        <v>1.0329999999999999</v>
      </c>
      <c r="P35" s="89">
        <v>0.96799999999999997</v>
      </c>
      <c r="Q35" s="89">
        <v>0.90600000000000003</v>
      </c>
      <c r="R35" s="89">
        <v>0.84899999999999998</v>
      </c>
      <c r="S35" s="89">
        <v>0.79400000000000004</v>
      </c>
      <c r="T35" s="89">
        <v>0.74299999999999999</v>
      </c>
      <c r="U35" s="89">
        <v>0.69499999999999995</v>
      </c>
      <c r="V35" s="89">
        <v>0.64900000000000002</v>
      </c>
      <c r="W35" s="89">
        <v>0.60599999999999998</v>
      </c>
      <c r="X35" s="89">
        <v>0.56499999999999995</v>
      </c>
      <c r="Y35" s="89">
        <v>0.52700000000000002</v>
      </c>
      <c r="Z35" s="89">
        <v>0.49099999999999999</v>
      </c>
      <c r="AA35" s="89">
        <v>0.45700000000000002</v>
      </c>
      <c r="AB35" s="89">
        <v>0.42599999999999999</v>
      </c>
      <c r="AC35" s="89">
        <v>0.39600000000000002</v>
      </c>
      <c r="AD35" s="89">
        <v>0.36799999999999999</v>
      </c>
      <c r="AE35" s="89">
        <v>0.34200000000000003</v>
      </c>
    </row>
    <row r="36" spans="1:31" x14ac:dyDescent="0.25">
      <c r="A36" s="97">
        <v>29</v>
      </c>
      <c r="B36" s="89">
        <v>2.4430000000000001</v>
      </c>
      <c r="C36" s="89">
        <v>2.2879999999999998</v>
      </c>
      <c r="D36" s="89">
        <v>2.1440000000000001</v>
      </c>
      <c r="E36" s="89">
        <v>2.0099999999999998</v>
      </c>
      <c r="F36" s="89">
        <v>1.8839999999999999</v>
      </c>
      <c r="G36" s="89">
        <v>1.7669999999999999</v>
      </c>
      <c r="H36" s="89">
        <v>1.657</v>
      </c>
      <c r="I36" s="89">
        <v>1.554</v>
      </c>
      <c r="J36" s="89">
        <v>1.4570000000000001</v>
      </c>
      <c r="K36" s="89">
        <v>1.3660000000000001</v>
      </c>
      <c r="L36" s="89">
        <v>1.2809999999999999</v>
      </c>
      <c r="M36" s="89">
        <v>1.2010000000000001</v>
      </c>
      <c r="N36" s="89">
        <v>1.125</v>
      </c>
      <c r="O36" s="89">
        <v>1.054</v>
      </c>
      <c r="P36" s="89">
        <v>0.98699999999999999</v>
      </c>
      <c r="Q36" s="89">
        <v>0.92400000000000004</v>
      </c>
      <c r="R36" s="89">
        <v>0.86499999999999999</v>
      </c>
      <c r="S36" s="89">
        <v>0.80900000000000005</v>
      </c>
      <c r="T36" s="89">
        <v>0.75700000000000001</v>
      </c>
      <c r="U36" s="89">
        <v>0.70699999999999996</v>
      </c>
      <c r="V36" s="89">
        <v>0.66</v>
      </c>
      <c r="W36" s="89">
        <v>0.61599999999999999</v>
      </c>
      <c r="X36" s="89">
        <v>0.57399999999999995</v>
      </c>
      <c r="Y36" s="89">
        <v>0.53500000000000003</v>
      </c>
      <c r="Z36" s="89">
        <v>0.499</v>
      </c>
      <c r="AA36" s="89">
        <v>0.46400000000000002</v>
      </c>
      <c r="AB36" s="89">
        <v>0.432</v>
      </c>
      <c r="AC36" s="89">
        <v>0.40200000000000002</v>
      </c>
      <c r="AD36" s="89">
        <v>0.373</v>
      </c>
      <c r="AE36" s="89">
        <v>0.34699999999999998</v>
      </c>
    </row>
    <row r="37" spans="1:31" x14ac:dyDescent="0.25">
      <c r="A37" s="97">
        <v>30</v>
      </c>
      <c r="B37" s="89">
        <v>2.5249999999999999</v>
      </c>
      <c r="C37" s="89">
        <v>2.3620000000000001</v>
      </c>
      <c r="D37" s="89">
        <v>2.2109999999999999</v>
      </c>
      <c r="E37" s="89">
        <v>2.0699999999999998</v>
      </c>
      <c r="F37" s="89">
        <v>1.9390000000000001</v>
      </c>
      <c r="G37" s="89">
        <v>1.8160000000000001</v>
      </c>
      <c r="H37" s="89">
        <v>1.702</v>
      </c>
      <c r="I37" s="89">
        <v>1.5940000000000001</v>
      </c>
      <c r="J37" s="89">
        <v>1.494</v>
      </c>
      <c r="K37" s="89">
        <v>1.4</v>
      </c>
      <c r="L37" s="89">
        <v>1.3109999999999999</v>
      </c>
      <c r="M37" s="89">
        <v>1.228</v>
      </c>
      <c r="N37" s="89">
        <v>1.1499999999999999</v>
      </c>
      <c r="O37" s="89">
        <v>1.077</v>
      </c>
      <c r="P37" s="89">
        <v>1.008</v>
      </c>
      <c r="Q37" s="89">
        <v>0.94299999999999995</v>
      </c>
      <c r="R37" s="89">
        <v>0.88200000000000001</v>
      </c>
      <c r="S37" s="89">
        <v>0.82499999999999996</v>
      </c>
      <c r="T37" s="89">
        <v>0.77100000000000002</v>
      </c>
      <c r="U37" s="89">
        <v>0.72</v>
      </c>
      <c r="V37" s="89">
        <v>0.67200000000000004</v>
      </c>
      <c r="W37" s="89">
        <v>0.627</v>
      </c>
      <c r="X37" s="89">
        <v>0.58399999999999996</v>
      </c>
      <c r="Y37" s="89">
        <v>0.54400000000000004</v>
      </c>
      <c r="Z37" s="89">
        <v>0.50700000000000001</v>
      </c>
      <c r="AA37" s="89">
        <v>0.47199999999999998</v>
      </c>
      <c r="AB37" s="89">
        <v>0.439</v>
      </c>
      <c r="AC37" s="89">
        <v>0.40799999999999997</v>
      </c>
      <c r="AD37" s="89">
        <v>0.379</v>
      </c>
      <c r="AE37" s="89">
        <v>0.35199999999999998</v>
      </c>
    </row>
    <row r="38" spans="1:31" x14ac:dyDescent="0.25">
      <c r="A38" s="97">
        <v>31</v>
      </c>
      <c r="B38" s="89">
        <v>2.6139999999999999</v>
      </c>
      <c r="C38" s="89">
        <v>2.4420000000000002</v>
      </c>
      <c r="D38" s="89">
        <v>2.2829999999999999</v>
      </c>
      <c r="E38" s="89">
        <v>2.1349999999999998</v>
      </c>
      <c r="F38" s="89">
        <v>1.9970000000000001</v>
      </c>
      <c r="G38" s="89">
        <v>1.869</v>
      </c>
      <c r="H38" s="89">
        <v>1.7490000000000001</v>
      </c>
      <c r="I38" s="89">
        <v>1.6379999999999999</v>
      </c>
      <c r="J38" s="89">
        <v>1.5329999999999999</v>
      </c>
      <c r="K38" s="89">
        <v>1.4350000000000001</v>
      </c>
      <c r="L38" s="89">
        <v>1.3440000000000001</v>
      </c>
      <c r="M38" s="89">
        <v>1.258</v>
      </c>
      <c r="N38" s="89">
        <v>1.177</v>
      </c>
      <c r="O38" s="89">
        <v>1.101</v>
      </c>
      <c r="P38" s="89">
        <v>1.03</v>
      </c>
      <c r="Q38" s="89">
        <v>0.96299999999999997</v>
      </c>
      <c r="R38" s="89">
        <v>0.9</v>
      </c>
      <c r="S38" s="89">
        <v>0.84099999999999997</v>
      </c>
      <c r="T38" s="89">
        <v>0.78600000000000003</v>
      </c>
      <c r="U38" s="89">
        <v>0.73299999999999998</v>
      </c>
      <c r="V38" s="89">
        <v>0.68400000000000005</v>
      </c>
      <c r="W38" s="89">
        <v>0.63800000000000001</v>
      </c>
      <c r="X38" s="89">
        <v>0.59399999999999997</v>
      </c>
      <c r="Y38" s="89">
        <v>0.55300000000000005</v>
      </c>
      <c r="Z38" s="89">
        <v>0.51500000000000001</v>
      </c>
      <c r="AA38" s="89">
        <v>0.47899999999999998</v>
      </c>
      <c r="AB38" s="89">
        <v>0.44600000000000001</v>
      </c>
      <c r="AC38" s="89">
        <v>0.41399999999999998</v>
      </c>
      <c r="AD38" s="89">
        <v>0.38500000000000001</v>
      </c>
      <c r="AE38" s="89">
        <v>0.35799999999999998</v>
      </c>
    </row>
    <row r="39" spans="1:31" x14ac:dyDescent="0.25">
      <c r="A39" s="97">
        <v>32</v>
      </c>
      <c r="B39" s="89">
        <v>2.7090000000000001</v>
      </c>
      <c r="C39" s="89">
        <v>2.528</v>
      </c>
      <c r="D39" s="89">
        <v>2.36</v>
      </c>
      <c r="E39" s="89">
        <v>2.2050000000000001</v>
      </c>
      <c r="F39" s="89">
        <v>2.06</v>
      </c>
      <c r="G39" s="89">
        <v>1.9259999999999999</v>
      </c>
      <c r="H39" s="89">
        <v>1.8009999999999999</v>
      </c>
      <c r="I39" s="89">
        <v>1.6839999999999999</v>
      </c>
      <c r="J39" s="89">
        <v>1.575</v>
      </c>
      <c r="K39" s="89">
        <v>1.4730000000000001</v>
      </c>
      <c r="L39" s="89">
        <v>1.3779999999999999</v>
      </c>
      <c r="M39" s="89">
        <v>1.2889999999999999</v>
      </c>
      <c r="N39" s="89">
        <v>1.2050000000000001</v>
      </c>
      <c r="O39" s="89">
        <v>1.127</v>
      </c>
      <c r="P39" s="89">
        <v>1.0529999999999999</v>
      </c>
      <c r="Q39" s="89">
        <v>0.98399999999999999</v>
      </c>
      <c r="R39" s="89">
        <v>0.92</v>
      </c>
      <c r="S39" s="89">
        <v>0.85899999999999999</v>
      </c>
      <c r="T39" s="89">
        <v>0.80200000000000005</v>
      </c>
      <c r="U39" s="89">
        <v>0.748</v>
      </c>
      <c r="V39" s="89">
        <v>0.69699999999999995</v>
      </c>
      <c r="W39" s="89">
        <v>0.65</v>
      </c>
      <c r="X39" s="89">
        <v>0.60499999999999998</v>
      </c>
      <c r="Y39" s="89">
        <v>0.56299999999999994</v>
      </c>
      <c r="Z39" s="89">
        <v>0.52400000000000002</v>
      </c>
      <c r="AA39" s="89">
        <v>0.48699999999999999</v>
      </c>
      <c r="AB39" s="89">
        <v>0.45300000000000001</v>
      </c>
      <c r="AC39" s="89">
        <v>0.42099999999999999</v>
      </c>
      <c r="AD39" s="89">
        <v>0.39100000000000001</v>
      </c>
      <c r="AE39" s="89">
        <v>0.36299999999999999</v>
      </c>
    </row>
    <row r="40" spans="1:31" x14ac:dyDescent="0.25">
      <c r="A40" s="97">
        <v>33</v>
      </c>
      <c r="B40" s="89">
        <v>2.8119999999999998</v>
      </c>
      <c r="C40" s="89">
        <v>2.62</v>
      </c>
      <c r="D40" s="89">
        <v>2.4430000000000001</v>
      </c>
      <c r="E40" s="89">
        <v>2.2789999999999999</v>
      </c>
      <c r="F40" s="89">
        <v>2.1280000000000001</v>
      </c>
      <c r="G40" s="89">
        <v>1.9870000000000001</v>
      </c>
      <c r="H40" s="89">
        <v>1.8560000000000001</v>
      </c>
      <c r="I40" s="89">
        <v>1.7330000000000001</v>
      </c>
      <c r="J40" s="89">
        <v>1.62</v>
      </c>
      <c r="K40" s="89">
        <v>1.514</v>
      </c>
      <c r="L40" s="89">
        <v>1.4139999999999999</v>
      </c>
      <c r="M40" s="89">
        <v>1.3220000000000001</v>
      </c>
      <c r="N40" s="89">
        <v>1.2350000000000001</v>
      </c>
      <c r="O40" s="89">
        <v>1.1539999999999999</v>
      </c>
      <c r="P40" s="89">
        <v>1.0780000000000001</v>
      </c>
      <c r="Q40" s="89">
        <v>1.0069999999999999</v>
      </c>
      <c r="R40" s="89">
        <v>0.94</v>
      </c>
      <c r="S40" s="89">
        <v>0.877</v>
      </c>
      <c r="T40" s="89">
        <v>0.81799999999999995</v>
      </c>
      <c r="U40" s="89">
        <v>0.76300000000000001</v>
      </c>
      <c r="V40" s="89">
        <v>0.71099999999999997</v>
      </c>
      <c r="W40" s="89">
        <v>0.66200000000000003</v>
      </c>
      <c r="X40" s="89">
        <v>0.61599999999999999</v>
      </c>
      <c r="Y40" s="89">
        <v>0.57399999999999995</v>
      </c>
      <c r="Z40" s="89">
        <v>0.53300000000000003</v>
      </c>
      <c r="AA40" s="89">
        <v>0.496</v>
      </c>
      <c r="AB40" s="89">
        <v>0.46100000000000002</v>
      </c>
      <c r="AC40" s="89">
        <v>0.42799999999999999</v>
      </c>
      <c r="AD40" s="89">
        <v>0.39700000000000002</v>
      </c>
      <c r="AE40" s="89">
        <v>0.36899999999999999</v>
      </c>
    </row>
    <row r="41" spans="1:31" x14ac:dyDescent="0.25">
      <c r="A41" s="97">
        <v>34</v>
      </c>
      <c r="B41" s="89">
        <v>2.9239999999999999</v>
      </c>
      <c r="C41" s="89">
        <v>2.72</v>
      </c>
      <c r="D41" s="89">
        <v>2.5329999999999999</v>
      </c>
      <c r="E41" s="89">
        <v>2.36</v>
      </c>
      <c r="F41" s="89">
        <v>2.2000000000000002</v>
      </c>
      <c r="G41" s="89">
        <v>2.052</v>
      </c>
      <c r="H41" s="89">
        <v>1.9139999999999999</v>
      </c>
      <c r="I41" s="89">
        <v>1.7869999999999999</v>
      </c>
      <c r="J41" s="89">
        <v>1.6679999999999999</v>
      </c>
      <c r="K41" s="89">
        <v>1.5569999999999999</v>
      </c>
      <c r="L41" s="89">
        <v>1.4530000000000001</v>
      </c>
      <c r="M41" s="89">
        <v>1.357</v>
      </c>
      <c r="N41" s="89">
        <v>1.2669999999999999</v>
      </c>
      <c r="O41" s="89">
        <v>1.1830000000000001</v>
      </c>
      <c r="P41" s="89">
        <v>1.1040000000000001</v>
      </c>
      <c r="Q41" s="89">
        <v>1.03</v>
      </c>
      <c r="R41" s="89">
        <v>0.96099999999999997</v>
      </c>
      <c r="S41" s="89">
        <v>0.89700000000000002</v>
      </c>
      <c r="T41" s="89">
        <v>0.83599999999999997</v>
      </c>
      <c r="U41" s="89">
        <v>0.77900000000000003</v>
      </c>
      <c r="V41" s="89">
        <v>0.72499999999999998</v>
      </c>
      <c r="W41" s="89">
        <v>0.67500000000000004</v>
      </c>
      <c r="X41" s="89">
        <v>0.628</v>
      </c>
      <c r="Y41" s="89">
        <v>0.58399999999999996</v>
      </c>
      <c r="Z41" s="89">
        <v>0.54300000000000004</v>
      </c>
      <c r="AA41" s="89">
        <v>0.505</v>
      </c>
      <c r="AB41" s="89">
        <v>0.46899999999999997</v>
      </c>
      <c r="AC41" s="89">
        <v>0.435</v>
      </c>
      <c r="AD41" s="89">
        <v>0.40400000000000003</v>
      </c>
      <c r="AE41" s="89">
        <v>0.375</v>
      </c>
    </row>
    <row r="42" spans="1:31" x14ac:dyDescent="0.25">
      <c r="A42" s="97">
        <v>35</v>
      </c>
      <c r="B42" s="89">
        <v>3.0449999999999999</v>
      </c>
      <c r="C42" s="89">
        <v>2.8290000000000002</v>
      </c>
      <c r="D42" s="89">
        <v>2.63</v>
      </c>
      <c r="E42" s="89">
        <v>2.4470000000000001</v>
      </c>
      <c r="F42" s="89">
        <v>2.278</v>
      </c>
      <c r="G42" s="89">
        <v>2.1219999999999999</v>
      </c>
      <c r="H42" s="89">
        <v>1.978</v>
      </c>
      <c r="I42" s="89">
        <v>1.843</v>
      </c>
      <c r="J42" s="89">
        <v>1.7190000000000001</v>
      </c>
      <c r="K42" s="89">
        <v>1.603</v>
      </c>
      <c r="L42" s="89">
        <v>1.4950000000000001</v>
      </c>
      <c r="M42" s="89">
        <v>1.395</v>
      </c>
      <c r="N42" s="89">
        <v>1.3009999999999999</v>
      </c>
      <c r="O42" s="89">
        <v>1.2130000000000001</v>
      </c>
      <c r="P42" s="89">
        <v>1.1319999999999999</v>
      </c>
      <c r="Q42" s="89">
        <v>1.0549999999999999</v>
      </c>
      <c r="R42" s="89">
        <v>0.98399999999999999</v>
      </c>
      <c r="S42" s="89">
        <v>0.91700000000000004</v>
      </c>
      <c r="T42" s="89">
        <v>0.85399999999999998</v>
      </c>
      <c r="U42" s="89">
        <v>0.79600000000000004</v>
      </c>
      <c r="V42" s="89">
        <v>0.74099999999999999</v>
      </c>
      <c r="W42" s="89">
        <v>0.68899999999999995</v>
      </c>
      <c r="X42" s="89">
        <v>0.64100000000000001</v>
      </c>
      <c r="Y42" s="89">
        <v>0.59599999999999997</v>
      </c>
      <c r="Z42" s="89">
        <v>0.55300000000000005</v>
      </c>
      <c r="AA42" s="89">
        <v>0.51400000000000001</v>
      </c>
      <c r="AB42" s="89">
        <v>0.47699999999999998</v>
      </c>
      <c r="AC42" s="89">
        <v>0.443</v>
      </c>
      <c r="AD42" s="89">
        <v>0.41099999999999998</v>
      </c>
      <c r="AE42" s="89">
        <v>0.38100000000000001</v>
      </c>
    </row>
    <row r="43" spans="1:31" x14ac:dyDescent="0.25">
      <c r="A43" s="97">
        <v>36</v>
      </c>
      <c r="B43" s="89">
        <v>3.1760000000000002</v>
      </c>
      <c r="C43" s="89">
        <v>2.9460000000000002</v>
      </c>
      <c r="D43" s="89">
        <v>2.7360000000000002</v>
      </c>
      <c r="E43" s="89">
        <v>2.5419999999999998</v>
      </c>
      <c r="F43" s="89">
        <v>2.363</v>
      </c>
      <c r="G43" s="89">
        <v>2.198</v>
      </c>
      <c r="H43" s="89">
        <v>2.0459999999999998</v>
      </c>
      <c r="I43" s="89">
        <v>1.905</v>
      </c>
      <c r="J43" s="89">
        <v>1.774</v>
      </c>
      <c r="K43" s="89">
        <v>1.6519999999999999</v>
      </c>
      <c r="L43" s="89">
        <v>1.54</v>
      </c>
      <c r="M43" s="89">
        <v>1.4350000000000001</v>
      </c>
      <c r="N43" s="89">
        <v>1.337</v>
      </c>
      <c r="O43" s="89">
        <v>1.246</v>
      </c>
      <c r="P43" s="89">
        <v>1.161</v>
      </c>
      <c r="Q43" s="89">
        <v>1.0820000000000001</v>
      </c>
      <c r="R43" s="89">
        <v>1.008</v>
      </c>
      <c r="S43" s="89">
        <v>0.93899999999999995</v>
      </c>
      <c r="T43" s="89">
        <v>0.874</v>
      </c>
      <c r="U43" s="89">
        <v>0.81399999999999995</v>
      </c>
      <c r="V43" s="89">
        <v>0.75700000000000001</v>
      </c>
      <c r="W43" s="89">
        <v>0.70399999999999996</v>
      </c>
      <c r="X43" s="89">
        <v>0.65400000000000003</v>
      </c>
      <c r="Y43" s="89">
        <v>0.60799999999999998</v>
      </c>
      <c r="Z43" s="89">
        <v>0.56399999999999995</v>
      </c>
      <c r="AA43" s="89">
        <v>0.52400000000000002</v>
      </c>
      <c r="AB43" s="89">
        <v>0.48599999999999999</v>
      </c>
      <c r="AC43" s="89">
        <v>0.45100000000000001</v>
      </c>
      <c r="AD43" s="89">
        <v>0.41799999999999998</v>
      </c>
      <c r="AE43" s="89">
        <v>0.38800000000000001</v>
      </c>
    </row>
    <row r="44" spans="1:31" x14ac:dyDescent="0.25">
      <c r="A44" s="97">
        <v>37</v>
      </c>
      <c r="B44" s="89">
        <v>3.32</v>
      </c>
      <c r="C44" s="89">
        <v>3.0739999999999998</v>
      </c>
      <c r="D44" s="89">
        <v>2.85</v>
      </c>
      <c r="E44" s="89">
        <v>2.6440000000000001</v>
      </c>
      <c r="F44" s="89">
        <v>2.4540000000000002</v>
      </c>
      <c r="G44" s="89">
        <v>2.2799999999999998</v>
      </c>
      <c r="H44" s="89">
        <v>2.1190000000000002</v>
      </c>
      <c r="I44" s="89">
        <v>1.97</v>
      </c>
      <c r="J44" s="89">
        <v>1.833</v>
      </c>
      <c r="K44" s="89">
        <v>1.706</v>
      </c>
      <c r="L44" s="89">
        <v>1.587</v>
      </c>
      <c r="M44" s="89">
        <v>1.478</v>
      </c>
      <c r="N44" s="89">
        <v>1.3759999999999999</v>
      </c>
      <c r="O44" s="89">
        <v>1.2809999999999999</v>
      </c>
      <c r="P44" s="89">
        <v>1.1930000000000001</v>
      </c>
      <c r="Q44" s="89">
        <v>1.1100000000000001</v>
      </c>
      <c r="R44" s="89">
        <v>1.034</v>
      </c>
      <c r="S44" s="89">
        <v>0.96199999999999997</v>
      </c>
      <c r="T44" s="89">
        <v>0.89500000000000002</v>
      </c>
      <c r="U44" s="89">
        <v>0.83199999999999996</v>
      </c>
      <c r="V44" s="89">
        <v>0.77400000000000002</v>
      </c>
      <c r="W44" s="89">
        <v>0.71899999999999997</v>
      </c>
      <c r="X44" s="89">
        <v>0.66800000000000004</v>
      </c>
      <c r="Y44" s="89">
        <v>0.62</v>
      </c>
      <c r="Z44" s="89">
        <v>0.57599999999999996</v>
      </c>
      <c r="AA44" s="89">
        <v>0.53400000000000003</v>
      </c>
      <c r="AB44" s="89">
        <v>0.495</v>
      </c>
      <c r="AC44" s="89">
        <v>0.45900000000000002</v>
      </c>
      <c r="AD44" s="89">
        <v>0.42599999999999999</v>
      </c>
      <c r="AE44" s="89">
        <v>0.39500000000000002</v>
      </c>
    </row>
    <row r="45" spans="1:31" x14ac:dyDescent="0.25">
      <c r="A45" s="97">
        <v>38</v>
      </c>
      <c r="B45" s="89">
        <v>3.476</v>
      </c>
      <c r="C45" s="89">
        <v>3.214</v>
      </c>
      <c r="D45" s="89">
        <v>2.9740000000000002</v>
      </c>
      <c r="E45" s="89">
        <v>2.7549999999999999</v>
      </c>
      <c r="F45" s="89">
        <v>2.5529999999999999</v>
      </c>
      <c r="G45" s="89">
        <v>2.3690000000000002</v>
      </c>
      <c r="H45" s="89">
        <v>2.198</v>
      </c>
      <c r="I45" s="89">
        <v>2.0409999999999999</v>
      </c>
      <c r="J45" s="89">
        <v>1.8959999999999999</v>
      </c>
      <c r="K45" s="89">
        <v>1.7629999999999999</v>
      </c>
      <c r="L45" s="89">
        <v>1.639</v>
      </c>
      <c r="M45" s="89">
        <v>1.524</v>
      </c>
      <c r="N45" s="89">
        <v>1.417</v>
      </c>
      <c r="O45" s="89">
        <v>1.3180000000000001</v>
      </c>
      <c r="P45" s="89">
        <v>1.226</v>
      </c>
      <c r="Q45" s="89">
        <v>1.1399999999999999</v>
      </c>
      <c r="R45" s="89">
        <v>1.0609999999999999</v>
      </c>
      <c r="S45" s="89">
        <v>0.98699999999999999</v>
      </c>
      <c r="T45" s="89">
        <v>0.91700000000000004</v>
      </c>
      <c r="U45" s="89">
        <v>0.85199999999999998</v>
      </c>
      <c r="V45" s="89">
        <v>0.79200000000000004</v>
      </c>
      <c r="W45" s="89">
        <v>0.73499999999999999</v>
      </c>
      <c r="X45" s="89">
        <v>0.68300000000000005</v>
      </c>
      <c r="Y45" s="89">
        <v>0.63400000000000001</v>
      </c>
      <c r="Z45" s="89">
        <v>0.58799999999999997</v>
      </c>
      <c r="AA45" s="89">
        <v>0.54500000000000004</v>
      </c>
      <c r="AB45" s="89">
        <v>0.505</v>
      </c>
      <c r="AC45" s="89">
        <v>0.46800000000000003</v>
      </c>
      <c r="AD45" s="89">
        <v>0.434</v>
      </c>
      <c r="AE45" s="89">
        <v>0.40200000000000002</v>
      </c>
    </row>
    <row r="46" spans="1:31" x14ac:dyDescent="0.25">
      <c r="A46" s="97">
        <v>39</v>
      </c>
      <c r="B46" s="89">
        <v>3.6480000000000001</v>
      </c>
      <c r="C46" s="89">
        <v>3.3660000000000001</v>
      </c>
      <c r="D46" s="89">
        <v>3.11</v>
      </c>
      <c r="E46" s="89">
        <v>2.8759999999999999</v>
      </c>
      <c r="F46" s="89">
        <v>2.661</v>
      </c>
      <c r="G46" s="89">
        <v>2.4649999999999999</v>
      </c>
      <c r="H46" s="89">
        <v>2.2839999999999998</v>
      </c>
      <c r="I46" s="89">
        <v>2.1179999999999999</v>
      </c>
      <c r="J46" s="89">
        <v>1.9650000000000001</v>
      </c>
      <c r="K46" s="89">
        <v>1.8240000000000001</v>
      </c>
      <c r="L46" s="89">
        <v>1.694</v>
      </c>
      <c r="M46" s="89">
        <v>1.573</v>
      </c>
      <c r="N46" s="89">
        <v>1.4610000000000001</v>
      </c>
      <c r="O46" s="89">
        <v>1.3580000000000001</v>
      </c>
      <c r="P46" s="89">
        <v>1.262</v>
      </c>
      <c r="Q46" s="89">
        <v>1.173</v>
      </c>
      <c r="R46" s="89">
        <v>1.0900000000000001</v>
      </c>
      <c r="S46" s="89">
        <v>1.0129999999999999</v>
      </c>
      <c r="T46" s="89">
        <v>0.94099999999999995</v>
      </c>
      <c r="U46" s="89">
        <v>0.874</v>
      </c>
      <c r="V46" s="89">
        <v>0.81100000000000005</v>
      </c>
      <c r="W46" s="89">
        <v>0.753</v>
      </c>
      <c r="X46" s="89">
        <v>0.69799999999999995</v>
      </c>
      <c r="Y46" s="89">
        <v>0.64800000000000002</v>
      </c>
      <c r="Z46" s="89">
        <v>0.60099999999999998</v>
      </c>
      <c r="AA46" s="89">
        <v>0.55700000000000005</v>
      </c>
      <c r="AB46" s="89">
        <v>0.51600000000000001</v>
      </c>
      <c r="AC46" s="89">
        <v>0.47799999999999998</v>
      </c>
      <c r="AD46" s="89">
        <v>0.443</v>
      </c>
      <c r="AE46" s="89">
        <v>0.41</v>
      </c>
    </row>
    <row r="47" spans="1:31" x14ac:dyDescent="0.25">
      <c r="A47" s="97">
        <v>40</v>
      </c>
      <c r="B47" s="89">
        <v>3.835</v>
      </c>
      <c r="C47" s="89">
        <v>3.5329999999999999</v>
      </c>
      <c r="D47" s="89">
        <v>3.258</v>
      </c>
      <c r="E47" s="89">
        <v>3.0070000000000001</v>
      </c>
      <c r="F47" s="89">
        <v>2.778</v>
      </c>
      <c r="G47" s="89">
        <v>2.569</v>
      </c>
      <c r="H47" s="89">
        <v>2.3769999999999998</v>
      </c>
      <c r="I47" s="89">
        <v>2.2010000000000001</v>
      </c>
      <c r="J47" s="89">
        <v>2.0390000000000001</v>
      </c>
      <c r="K47" s="89">
        <v>1.89</v>
      </c>
      <c r="L47" s="89">
        <v>1.7529999999999999</v>
      </c>
      <c r="M47" s="89">
        <v>1.6259999999999999</v>
      </c>
      <c r="N47" s="89">
        <v>1.5089999999999999</v>
      </c>
      <c r="O47" s="89">
        <v>1.401</v>
      </c>
      <c r="P47" s="89">
        <v>1.3</v>
      </c>
      <c r="Q47" s="89">
        <v>1.2070000000000001</v>
      </c>
      <c r="R47" s="89">
        <v>1.121</v>
      </c>
      <c r="S47" s="89">
        <v>1.04</v>
      </c>
      <c r="T47" s="89">
        <v>0.96599999999999997</v>
      </c>
      <c r="U47" s="89">
        <v>0.89600000000000002</v>
      </c>
      <c r="V47" s="89">
        <v>0.83099999999999996</v>
      </c>
      <c r="W47" s="89">
        <v>0.77100000000000002</v>
      </c>
      <c r="X47" s="89">
        <v>0.71499999999999997</v>
      </c>
      <c r="Y47" s="89">
        <v>0.66300000000000003</v>
      </c>
      <c r="Z47" s="89">
        <v>0.61399999999999999</v>
      </c>
      <c r="AA47" s="89">
        <v>0.56899999999999995</v>
      </c>
      <c r="AB47" s="89">
        <v>0.52700000000000002</v>
      </c>
      <c r="AC47" s="89">
        <v>0.48799999999999999</v>
      </c>
      <c r="AD47" s="89">
        <v>0.45200000000000001</v>
      </c>
      <c r="AE47" s="89">
        <v>0.41799999999999998</v>
      </c>
    </row>
    <row r="48" spans="1:31" x14ac:dyDescent="0.25">
      <c r="A48" s="97">
        <v>41</v>
      </c>
      <c r="B48" s="89">
        <v>4.0410000000000004</v>
      </c>
      <c r="C48" s="89">
        <v>3.7160000000000002</v>
      </c>
      <c r="D48" s="89">
        <v>3.42</v>
      </c>
      <c r="E48" s="89">
        <v>3.1509999999999998</v>
      </c>
      <c r="F48" s="89">
        <v>2.9060000000000001</v>
      </c>
      <c r="G48" s="89">
        <v>2.6829999999999998</v>
      </c>
      <c r="H48" s="89">
        <v>2.4780000000000002</v>
      </c>
      <c r="I48" s="89">
        <v>2.2909999999999999</v>
      </c>
      <c r="J48" s="89">
        <v>2.12</v>
      </c>
      <c r="K48" s="89">
        <v>1.962</v>
      </c>
      <c r="L48" s="89">
        <v>1.8169999999999999</v>
      </c>
      <c r="M48" s="89">
        <v>1.6830000000000001</v>
      </c>
      <c r="N48" s="89">
        <v>1.56</v>
      </c>
      <c r="O48" s="89">
        <v>1.446</v>
      </c>
      <c r="P48" s="89">
        <v>1.341</v>
      </c>
      <c r="Q48" s="89">
        <v>1.244</v>
      </c>
      <c r="R48" s="89">
        <v>1.1539999999999999</v>
      </c>
      <c r="S48" s="89">
        <v>1.07</v>
      </c>
      <c r="T48" s="89">
        <v>0.99299999999999999</v>
      </c>
      <c r="U48" s="89">
        <v>0.92</v>
      </c>
      <c r="V48" s="89">
        <v>0.85299999999999998</v>
      </c>
      <c r="W48" s="89">
        <v>0.79100000000000004</v>
      </c>
      <c r="X48" s="89">
        <v>0.73199999999999998</v>
      </c>
      <c r="Y48" s="89">
        <v>0.67800000000000005</v>
      </c>
      <c r="Z48" s="89">
        <v>0.628</v>
      </c>
      <c r="AA48" s="89">
        <v>0.58199999999999996</v>
      </c>
      <c r="AB48" s="89">
        <v>0.53800000000000003</v>
      </c>
      <c r="AC48" s="89">
        <v>0.498</v>
      </c>
      <c r="AD48" s="89">
        <v>0.46100000000000002</v>
      </c>
      <c r="AE48" s="89">
        <v>0.42699999999999999</v>
      </c>
    </row>
    <row r="49" spans="1:31" x14ac:dyDescent="0.25">
      <c r="A49" s="97">
        <v>42</v>
      </c>
      <c r="B49" s="89">
        <v>4.2670000000000003</v>
      </c>
      <c r="C49" s="89">
        <v>3.9159999999999999</v>
      </c>
      <c r="D49" s="89">
        <v>3.5979999999999999</v>
      </c>
      <c r="E49" s="89">
        <v>3.3090000000000002</v>
      </c>
      <c r="F49" s="89">
        <v>3.0459999999999998</v>
      </c>
      <c r="G49" s="89">
        <v>2.8069999999999999</v>
      </c>
      <c r="H49" s="89">
        <v>2.589</v>
      </c>
      <c r="I49" s="89">
        <v>2.3889999999999998</v>
      </c>
      <c r="J49" s="89">
        <v>2.2069999999999999</v>
      </c>
      <c r="K49" s="89">
        <v>2.04</v>
      </c>
      <c r="L49" s="89">
        <v>1.8859999999999999</v>
      </c>
      <c r="M49" s="89">
        <v>1.7450000000000001</v>
      </c>
      <c r="N49" s="89">
        <v>1.615</v>
      </c>
      <c r="O49" s="89">
        <v>1.496</v>
      </c>
      <c r="P49" s="89">
        <v>1.385</v>
      </c>
      <c r="Q49" s="89">
        <v>1.2829999999999999</v>
      </c>
      <c r="R49" s="89">
        <v>1.1890000000000001</v>
      </c>
      <c r="S49" s="89">
        <v>1.1020000000000001</v>
      </c>
      <c r="T49" s="89">
        <v>1.0209999999999999</v>
      </c>
      <c r="U49" s="89">
        <v>0.94599999999999995</v>
      </c>
      <c r="V49" s="89">
        <v>0.876</v>
      </c>
      <c r="W49" s="89">
        <v>0.81100000000000005</v>
      </c>
      <c r="X49" s="89">
        <v>0.751</v>
      </c>
      <c r="Y49" s="89">
        <v>0.69499999999999995</v>
      </c>
      <c r="Z49" s="89">
        <v>0.64300000000000002</v>
      </c>
      <c r="AA49" s="89">
        <v>0.59499999999999997</v>
      </c>
      <c r="AB49" s="89">
        <v>0.55100000000000005</v>
      </c>
      <c r="AC49" s="89">
        <v>0.50900000000000001</v>
      </c>
      <c r="AD49" s="89">
        <v>0.47099999999999997</v>
      </c>
      <c r="AE49" s="89">
        <v>0.436</v>
      </c>
    </row>
    <row r="50" spans="1:31" x14ac:dyDescent="0.25">
      <c r="A50" s="97">
        <v>43</v>
      </c>
      <c r="B50" s="89">
        <v>4.516</v>
      </c>
      <c r="C50" s="89">
        <v>4.1369999999999996</v>
      </c>
      <c r="D50" s="89">
        <v>3.7930000000000001</v>
      </c>
      <c r="E50" s="89">
        <v>3.4820000000000002</v>
      </c>
      <c r="F50" s="89">
        <v>3.1989999999999998</v>
      </c>
      <c r="G50" s="89">
        <v>2.9430000000000001</v>
      </c>
      <c r="H50" s="89">
        <v>2.7090000000000001</v>
      </c>
      <c r="I50" s="89">
        <v>2.496</v>
      </c>
      <c r="J50" s="89">
        <v>2.302</v>
      </c>
      <c r="K50" s="89">
        <v>2.1240000000000001</v>
      </c>
      <c r="L50" s="89">
        <v>1.9610000000000001</v>
      </c>
      <c r="M50" s="89">
        <v>1.8120000000000001</v>
      </c>
      <c r="N50" s="89">
        <v>1.675</v>
      </c>
      <c r="O50" s="89">
        <v>1.5489999999999999</v>
      </c>
      <c r="P50" s="89">
        <v>1.4330000000000001</v>
      </c>
      <c r="Q50" s="89">
        <v>1.3260000000000001</v>
      </c>
      <c r="R50" s="89">
        <v>1.2270000000000001</v>
      </c>
      <c r="S50" s="89">
        <v>1.1359999999999999</v>
      </c>
      <c r="T50" s="89">
        <v>1.052</v>
      </c>
      <c r="U50" s="89">
        <v>0.97299999999999998</v>
      </c>
      <c r="V50" s="89">
        <v>0.90100000000000002</v>
      </c>
      <c r="W50" s="89">
        <v>0.83299999999999996</v>
      </c>
      <c r="X50" s="89">
        <v>0.77100000000000002</v>
      </c>
      <c r="Y50" s="89">
        <v>0.71299999999999997</v>
      </c>
      <c r="Z50" s="89">
        <v>0.65900000000000003</v>
      </c>
      <c r="AA50" s="89">
        <v>0.61</v>
      </c>
      <c r="AB50" s="89">
        <v>0.56399999999999995</v>
      </c>
      <c r="AC50" s="89">
        <v>0.52100000000000002</v>
      </c>
      <c r="AD50" s="89">
        <v>0.48199999999999998</v>
      </c>
      <c r="AE50" s="89">
        <v>0.44500000000000001</v>
      </c>
    </row>
    <row r="51" spans="1:31" x14ac:dyDescent="0.25">
      <c r="A51" s="97">
        <v>44</v>
      </c>
      <c r="B51" s="89">
        <v>4.7910000000000004</v>
      </c>
      <c r="C51" s="89">
        <v>4.3789999999999996</v>
      </c>
      <c r="D51" s="89">
        <v>4.008</v>
      </c>
      <c r="E51" s="89">
        <v>3.6720000000000002</v>
      </c>
      <c r="F51" s="89">
        <v>3.367</v>
      </c>
      <c r="G51" s="89">
        <v>3.0910000000000002</v>
      </c>
      <c r="H51" s="89">
        <v>2.8410000000000002</v>
      </c>
      <c r="I51" s="89">
        <v>2.613</v>
      </c>
      <c r="J51" s="89">
        <v>2.4049999999999998</v>
      </c>
      <c r="K51" s="89">
        <v>2.2160000000000002</v>
      </c>
      <c r="L51" s="89">
        <v>2.0430000000000001</v>
      </c>
      <c r="M51" s="89">
        <v>1.885</v>
      </c>
      <c r="N51" s="89">
        <v>1.7390000000000001</v>
      </c>
      <c r="O51" s="89">
        <v>1.6060000000000001</v>
      </c>
      <c r="P51" s="89">
        <v>1.484</v>
      </c>
      <c r="Q51" s="89">
        <v>1.3720000000000001</v>
      </c>
      <c r="R51" s="89">
        <v>1.268</v>
      </c>
      <c r="S51" s="89">
        <v>1.173</v>
      </c>
      <c r="T51" s="89">
        <v>1.0840000000000001</v>
      </c>
      <c r="U51" s="89">
        <v>1.0029999999999999</v>
      </c>
      <c r="V51" s="89">
        <v>0.92700000000000005</v>
      </c>
      <c r="W51" s="89">
        <v>0.85699999999999998</v>
      </c>
      <c r="X51" s="89">
        <v>0.79200000000000004</v>
      </c>
      <c r="Y51" s="89">
        <v>0.73199999999999998</v>
      </c>
      <c r="Z51" s="89">
        <v>0.67600000000000005</v>
      </c>
      <c r="AA51" s="89">
        <v>0.625</v>
      </c>
      <c r="AB51" s="89">
        <v>0.57699999999999996</v>
      </c>
      <c r="AC51" s="89">
        <v>0.53300000000000003</v>
      </c>
      <c r="AD51" s="89">
        <v>0.49299999999999999</v>
      </c>
      <c r="AE51" s="89">
        <v>0.45600000000000002</v>
      </c>
    </row>
    <row r="52" spans="1:31" x14ac:dyDescent="0.25">
      <c r="A52" s="97">
        <v>45</v>
      </c>
      <c r="B52" s="89">
        <v>5.093</v>
      </c>
      <c r="C52" s="89">
        <v>4.6470000000000002</v>
      </c>
      <c r="D52" s="89">
        <v>4.2439999999999998</v>
      </c>
      <c r="E52" s="89">
        <v>3.8809999999999998</v>
      </c>
      <c r="F52" s="89">
        <v>3.552</v>
      </c>
      <c r="G52" s="89">
        <v>3.254</v>
      </c>
      <c r="H52" s="89">
        <v>2.9849999999999999</v>
      </c>
      <c r="I52" s="89">
        <v>2.74</v>
      </c>
      <c r="J52" s="89">
        <v>2.5179999999999998</v>
      </c>
      <c r="K52" s="89">
        <v>2.3159999999999998</v>
      </c>
      <c r="L52" s="89">
        <v>2.1309999999999998</v>
      </c>
      <c r="M52" s="89">
        <v>1.9630000000000001</v>
      </c>
      <c r="N52" s="89">
        <v>1.8089999999999999</v>
      </c>
      <c r="O52" s="89">
        <v>1.6679999999999999</v>
      </c>
      <c r="P52" s="89">
        <v>1.5389999999999999</v>
      </c>
      <c r="Q52" s="89">
        <v>1.421</v>
      </c>
      <c r="R52" s="89">
        <v>1.3120000000000001</v>
      </c>
      <c r="S52" s="89">
        <v>1.212</v>
      </c>
      <c r="T52" s="89">
        <v>1.119</v>
      </c>
      <c r="U52" s="89">
        <v>1.034</v>
      </c>
      <c r="V52" s="89">
        <v>0.95499999999999996</v>
      </c>
      <c r="W52" s="89">
        <v>0.88200000000000001</v>
      </c>
      <c r="X52" s="89">
        <v>0.81399999999999995</v>
      </c>
      <c r="Y52" s="89">
        <v>0.752</v>
      </c>
      <c r="Z52" s="89">
        <v>0.69399999999999995</v>
      </c>
      <c r="AA52" s="89">
        <v>0.64100000000000001</v>
      </c>
      <c r="AB52" s="89">
        <v>0.59199999999999997</v>
      </c>
      <c r="AC52" s="89">
        <v>0.54600000000000004</v>
      </c>
      <c r="AD52" s="89">
        <v>0.505</v>
      </c>
      <c r="AE52" s="89">
        <v>0.46600000000000003</v>
      </c>
    </row>
    <row r="53" spans="1:31" x14ac:dyDescent="0.25">
      <c r="A53" s="97">
        <v>46</v>
      </c>
      <c r="B53" s="89">
        <v>5.4269999999999996</v>
      </c>
      <c r="C53" s="89">
        <v>4.9420000000000002</v>
      </c>
      <c r="D53" s="89">
        <v>4.5049999999999999</v>
      </c>
      <c r="E53" s="89">
        <v>4.1109999999999998</v>
      </c>
      <c r="F53" s="89">
        <v>3.7549999999999999</v>
      </c>
      <c r="G53" s="89">
        <v>3.4340000000000002</v>
      </c>
      <c r="H53" s="89">
        <v>3.1429999999999998</v>
      </c>
      <c r="I53" s="89">
        <v>2.88</v>
      </c>
      <c r="J53" s="89">
        <v>2.6419999999999999</v>
      </c>
      <c r="K53" s="89">
        <v>2.4249999999999998</v>
      </c>
      <c r="L53" s="89">
        <v>2.2280000000000002</v>
      </c>
      <c r="M53" s="89">
        <v>2.0489999999999999</v>
      </c>
      <c r="N53" s="89">
        <v>1.885</v>
      </c>
      <c r="O53" s="89">
        <v>1.736</v>
      </c>
      <c r="P53" s="89">
        <v>1.599</v>
      </c>
      <c r="Q53" s="89">
        <v>1.474</v>
      </c>
      <c r="R53" s="89">
        <v>1.359</v>
      </c>
      <c r="S53" s="89">
        <v>1.254</v>
      </c>
      <c r="T53" s="89">
        <v>1.157</v>
      </c>
      <c r="U53" s="89">
        <v>1.0669999999999999</v>
      </c>
      <c r="V53" s="89">
        <v>0.98499999999999999</v>
      </c>
      <c r="W53" s="89">
        <v>0.90900000000000003</v>
      </c>
      <c r="X53" s="89">
        <v>0.83799999999999997</v>
      </c>
      <c r="Y53" s="89">
        <v>0.77300000000000002</v>
      </c>
      <c r="Z53" s="89">
        <v>0.71399999999999997</v>
      </c>
      <c r="AA53" s="89">
        <v>0.65800000000000003</v>
      </c>
      <c r="AB53" s="89">
        <v>0.60699999999999998</v>
      </c>
      <c r="AC53" s="89">
        <v>0.56000000000000005</v>
      </c>
      <c r="AD53" s="89">
        <v>0.51700000000000002</v>
      </c>
      <c r="AE53" s="89">
        <v>0.47699999999999998</v>
      </c>
    </row>
    <row r="54" spans="1:31" x14ac:dyDescent="0.25">
      <c r="A54" s="97">
        <v>47</v>
      </c>
      <c r="B54" s="89">
        <v>5.7960000000000003</v>
      </c>
      <c r="C54" s="89">
        <v>5.2679999999999998</v>
      </c>
      <c r="D54" s="89">
        <v>4.7930000000000001</v>
      </c>
      <c r="E54" s="89">
        <v>4.3650000000000002</v>
      </c>
      <c r="F54" s="89">
        <v>3.9790000000000001</v>
      </c>
      <c r="G54" s="89">
        <v>3.6309999999999998</v>
      </c>
      <c r="H54" s="89">
        <v>3.3170000000000002</v>
      </c>
      <c r="I54" s="89">
        <v>3.0329999999999999</v>
      </c>
      <c r="J54" s="89">
        <v>2.7770000000000001</v>
      </c>
      <c r="K54" s="89">
        <v>2.544</v>
      </c>
      <c r="L54" s="89">
        <v>2.3330000000000002</v>
      </c>
      <c r="M54" s="89">
        <v>2.1419999999999999</v>
      </c>
      <c r="N54" s="89">
        <v>1.9670000000000001</v>
      </c>
      <c r="O54" s="89">
        <v>1.8089999999999999</v>
      </c>
      <c r="P54" s="89">
        <v>1.6639999999999999</v>
      </c>
      <c r="Q54" s="89">
        <v>1.5309999999999999</v>
      </c>
      <c r="R54" s="89">
        <v>1.41</v>
      </c>
      <c r="S54" s="89">
        <v>1.2989999999999999</v>
      </c>
      <c r="T54" s="89">
        <v>1.1970000000000001</v>
      </c>
      <c r="U54" s="89">
        <v>1.103</v>
      </c>
      <c r="V54" s="89">
        <v>1.0169999999999999</v>
      </c>
      <c r="W54" s="89">
        <v>0.93700000000000006</v>
      </c>
      <c r="X54" s="89">
        <v>0.86399999999999999</v>
      </c>
      <c r="Y54" s="89">
        <v>0.79600000000000004</v>
      </c>
      <c r="Z54" s="89">
        <v>0.73399999999999999</v>
      </c>
      <c r="AA54" s="89">
        <v>0.67700000000000005</v>
      </c>
      <c r="AB54" s="89">
        <v>0.624</v>
      </c>
      <c r="AC54" s="89">
        <v>0.57499999999999996</v>
      </c>
      <c r="AD54" s="89">
        <v>0.53</v>
      </c>
      <c r="AE54" s="89">
        <v>0.48899999999999999</v>
      </c>
    </row>
    <row r="55" spans="1:31" x14ac:dyDescent="0.25">
      <c r="A55" s="97">
        <v>48</v>
      </c>
      <c r="B55" s="89">
        <v>6.2050000000000001</v>
      </c>
      <c r="C55" s="89">
        <v>5.6289999999999996</v>
      </c>
      <c r="D55" s="89">
        <v>5.1109999999999998</v>
      </c>
      <c r="E55" s="89">
        <v>4.6459999999999999</v>
      </c>
      <c r="F55" s="89">
        <v>4.226</v>
      </c>
      <c r="G55" s="89">
        <v>3.8490000000000002</v>
      </c>
      <c r="H55" s="89">
        <v>3.5089999999999999</v>
      </c>
      <c r="I55" s="89">
        <v>3.202</v>
      </c>
      <c r="J55" s="89">
        <v>2.9260000000000002</v>
      </c>
      <c r="K55" s="89">
        <v>2.6749999999999998</v>
      </c>
      <c r="L55" s="89">
        <v>2.4489999999999998</v>
      </c>
      <c r="M55" s="89">
        <v>2.2440000000000002</v>
      </c>
      <c r="N55" s="89">
        <v>2.0569999999999999</v>
      </c>
      <c r="O55" s="89">
        <v>1.8879999999999999</v>
      </c>
      <c r="P55" s="89">
        <v>1.734</v>
      </c>
      <c r="Q55" s="89">
        <v>1.5940000000000001</v>
      </c>
      <c r="R55" s="89">
        <v>1.466</v>
      </c>
      <c r="S55" s="89">
        <v>1.3480000000000001</v>
      </c>
      <c r="T55" s="89">
        <v>1.2410000000000001</v>
      </c>
      <c r="U55" s="89">
        <v>1.1419999999999999</v>
      </c>
      <c r="V55" s="89">
        <v>1.0509999999999999</v>
      </c>
      <c r="W55" s="89">
        <v>0.96799999999999997</v>
      </c>
      <c r="X55" s="89">
        <v>0.89100000000000001</v>
      </c>
      <c r="Y55" s="89">
        <v>0.82099999999999995</v>
      </c>
      <c r="Z55" s="89">
        <v>0.75600000000000001</v>
      </c>
      <c r="AA55" s="89">
        <v>0.69599999999999995</v>
      </c>
      <c r="AB55" s="89">
        <v>0.64100000000000001</v>
      </c>
      <c r="AC55" s="89">
        <v>0.59099999999999997</v>
      </c>
      <c r="AD55" s="89">
        <v>0.54400000000000004</v>
      </c>
      <c r="AE55" s="89">
        <v>0.502</v>
      </c>
    </row>
    <row r="56" spans="1:31" x14ac:dyDescent="0.25">
      <c r="A56" s="97">
        <v>49</v>
      </c>
      <c r="B56" s="89">
        <v>6.657</v>
      </c>
      <c r="C56" s="89">
        <v>6.0289999999999999</v>
      </c>
      <c r="D56" s="89">
        <v>5.4640000000000004</v>
      </c>
      <c r="E56" s="89">
        <v>4.9569999999999999</v>
      </c>
      <c r="F56" s="89">
        <v>4.5</v>
      </c>
      <c r="G56" s="89">
        <v>4.09</v>
      </c>
      <c r="H56" s="89">
        <v>3.7210000000000001</v>
      </c>
      <c r="I56" s="89">
        <v>3.3889999999999998</v>
      </c>
      <c r="J56" s="89">
        <v>3.089</v>
      </c>
      <c r="K56" s="89">
        <v>2.82</v>
      </c>
      <c r="L56" s="89">
        <v>2.5760000000000001</v>
      </c>
      <c r="M56" s="89">
        <v>2.355</v>
      </c>
      <c r="N56" s="89">
        <v>2.1560000000000001</v>
      </c>
      <c r="O56" s="89">
        <v>1.9750000000000001</v>
      </c>
      <c r="P56" s="89">
        <v>1.8109999999999999</v>
      </c>
      <c r="Q56" s="89">
        <v>1.6619999999999999</v>
      </c>
      <c r="R56" s="89">
        <v>1.526</v>
      </c>
      <c r="S56" s="89">
        <v>1.401</v>
      </c>
      <c r="T56" s="89">
        <v>1.288</v>
      </c>
      <c r="U56" s="89">
        <v>1.1839999999999999</v>
      </c>
      <c r="V56" s="89">
        <v>1.089</v>
      </c>
      <c r="W56" s="89">
        <v>1.0009999999999999</v>
      </c>
      <c r="X56" s="89">
        <v>0.92100000000000004</v>
      </c>
      <c r="Y56" s="89">
        <v>0.84699999999999998</v>
      </c>
      <c r="Z56" s="89">
        <v>0.77900000000000003</v>
      </c>
      <c r="AA56" s="89">
        <v>0.71699999999999997</v>
      </c>
      <c r="AB56" s="89">
        <v>0.66</v>
      </c>
      <c r="AC56" s="89">
        <v>0.60799999999999998</v>
      </c>
      <c r="AD56" s="89">
        <v>0.55900000000000005</v>
      </c>
      <c r="AE56" s="89">
        <v>0.51600000000000001</v>
      </c>
    </row>
    <row r="57" spans="1:31" x14ac:dyDescent="0.25">
      <c r="A57" s="97">
        <v>50</v>
      </c>
      <c r="B57" s="89">
        <v>7.1580000000000004</v>
      </c>
      <c r="C57" s="89">
        <v>6.4720000000000004</v>
      </c>
      <c r="D57" s="89">
        <v>5.8559999999999999</v>
      </c>
      <c r="E57" s="89">
        <v>5.3010000000000002</v>
      </c>
      <c r="F57" s="89">
        <v>4.8040000000000003</v>
      </c>
      <c r="G57" s="89">
        <v>4.3570000000000002</v>
      </c>
      <c r="H57" s="89">
        <v>3.9550000000000001</v>
      </c>
      <c r="I57" s="89">
        <v>3.5950000000000002</v>
      </c>
      <c r="J57" s="89">
        <v>3.27</v>
      </c>
      <c r="K57" s="89">
        <v>2.9780000000000002</v>
      </c>
      <c r="L57" s="89">
        <v>2.7160000000000002</v>
      </c>
      <c r="M57" s="89">
        <v>2.4780000000000002</v>
      </c>
      <c r="N57" s="89">
        <v>2.2639999999999998</v>
      </c>
      <c r="O57" s="89">
        <v>2.0699999999999998</v>
      </c>
      <c r="P57" s="89">
        <v>1.895</v>
      </c>
      <c r="Q57" s="89">
        <v>1.736</v>
      </c>
      <c r="R57" s="89">
        <v>1.591</v>
      </c>
      <c r="S57" s="89">
        <v>1.4590000000000001</v>
      </c>
      <c r="T57" s="89">
        <v>1.339</v>
      </c>
      <c r="U57" s="89">
        <v>1.2290000000000001</v>
      </c>
      <c r="V57" s="89">
        <v>1.129</v>
      </c>
      <c r="W57" s="89">
        <v>1.0369999999999999</v>
      </c>
      <c r="X57" s="89">
        <v>0.95299999999999996</v>
      </c>
      <c r="Y57" s="89">
        <v>0.875</v>
      </c>
      <c r="Z57" s="89">
        <v>0.80500000000000005</v>
      </c>
      <c r="AA57" s="89">
        <v>0.74</v>
      </c>
      <c r="AB57" s="89">
        <v>0.68</v>
      </c>
      <c r="AC57" s="89">
        <v>0.625</v>
      </c>
      <c r="AD57" s="89">
        <v>0.57599999999999996</v>
      </c>
      <c r="AE57" s="89">
        <v>0.53</v>
      </c>
    </row>
    <row r="58" spans="1:31" x14ac:dyDescent="0.25">
      <c r="A58" s="97">
        <v>51</v>
      </c>
      <c r="B58" s="89">
        <v>7.7140000000000004</v>
      </c>
      <c r="C58" s="89">
        <v>6.9640000000000004</v>
      </c>
      <c r="D58" s="89">
        <v>6.29</v>
      </c>
      <c r="E58" s="89">
        <v>5.6840000000000002</v>
      </c>
      <c r="F58" s="89">
        <v>5.141</v>
      </c>
      <c r="G58" s="89">
        <v>4.6529999999999996</v>
      </c>
      <c r="H58" s="89">
        <v>4.2149999999999999</v>
      </c>
      <c r="I58" s="89">
        <v>3.823</v>
      </c>
      <c r="J58" s="89">
        <v>3.4710000000000001</v>
      </c>
      <c r="K58" s="89">
        <v>3.1539999999999999</v>
      </c>
      <c r="L58" s="89">
        <v>2.87</v>
      </c>
      <c r="M58" s="89">
        <v>2.6139999999999999</v>
      </c>
      <c r="N58" s="89">
        <v>2.383</v>
      </c>
      <c r="O58" s="89">
        <v>2.1749999999999998</v>
      </c>
      <c r="P58" s="89">
        <v>1.9870000000000001</v>
      </c>
      <c r="Q58" s="89">
        <v>1.8169999999999999</v>
      </c>
      <c r="R58" s="89">
        <v>1.6619999999999999</v>
      </c>
      <c r="S58" s="89">
        <v>1.522</v>
      </c>
      <c r="T58" s="89">
        <v>1.395</v>
      </c>
      <c r="U58" s="89">
        <v>1.2789999999999999</v>
      </c>
      <c r="V58" s="89">
        <v>1.1719999999999999</v>
      </c>
      <c r="W58" s="89">
        <v>1.075</v>
      </c>
      <c r="X58" s="89">
        <v>0.98699999999999999</v>
      </c>
      <c r="Y58" s="89">
        <v>0.90600000000000003</v>
      </c>
      <c r="Z58" s="89">
        <v>0.83199999999999996</v>
      </c>
      <c r="AA58" s="89">
        <v>0.76400000000000001</v>
      </c>
      <c r="AB58" s="89">
        <v>0.70199999999999996</v>
      </c>
      <c r="AC58" s="89">
        <v>0.64500000000000002</v>
      </c>
      <c r="AD58" s="89">
        <v>0.59299999999999997</v>
      </c>
      <c r="AE58" s="89">
        <v>0.54500000000000004</v>
      </c>
    </row>
    <row r="59" spans="1:31" x14ac:dyDescent="0.25">
      <c r="A59" s="97">
        <v>52</v>
      </c>
      <c r="B59" s="89">
        <v>8.33</v>
      </c>
      <c r="C59" s="89">
        <v>7.51</v>
      </c>
      <c r="D59" s="89">
        <v>6.7720000000000002</v>
      </c>
      <c r="E59" s="89">
        <v>6.11</v>
      </c>
      <c r="F59" s="89">
        <v>5.5149999999999997</v>
      </c>
      <c r="G59" s="89">
        <v>4.9820000000000002</v>
      </c>
      <c r="H59" s="89">
        <v>4.5039999999999996</v>
      </c>
      <c r="I59" s="89">
        <v>4.0759999999999996</v>
      </c>
      <c r="J59" s="89">
        <v>3.6930000000000001</v>
      </c>
      <c r="K59" s="89">
        <v>3.3490000000000002</v>
      </c>
      <c r="L59" s="89">
        <v>3.04</v>
      </c>
      <c r="M59" s="89">
        <v>2.7629999999999999</v>
      </c>
      <c r="N59" s="89">
        <v>2.5139999999999998</v>
      </c>
      <c r="O59" s="89">
        <v>2.29</v>
      </c>
      <c r="P59" s="89">
        <v>2.0880000000000001</v>
      </c>
      <c r="Q59" s="89">
        <v>1.905</v>
      </c>
      <c r="R59" s="89">
        <v>1.7410000000000001</v>
      </c>
      <c r="S59" s="89">
        <v>1.591</v>
      </c>
      <c r="T59" s="89">
        <v>1.456</v>
      </c>
      <c r="U59" s="89">
        <v>1.3320000000000001</v>
      </c>
      <c r="V59" s="89">
        <v>1.22</v>
      </c>
      <c r="W59" s="89">
        <v>1.117</v>
      </c>
      <c r="X59" s="89">
        <v>1.024</v>
      </c>
      <c r="Y59" s="89">
        <v>0.93899999999999995</v>
      </c>
      <c r="Z59" s="89">
        <v>0.86099999999999999</v>
      </c>
      <c r="AA59" s="89">
        <v>0.79</v>
      </c>
      <c r="AB59" s="89">
        <v>0.72499999999999998</v>
      </c>
      <c r="AC59" s="89">
        <v>0.66500000000000004</v>
      </c>
      <c r="AD59" s="89">
        <v>0.61099999999999999</v>
      </c>
      <c r="AE59" s="89">
        <v>0.56200000000000006</v>
      </c>
    </row>
    <row r="60" spans="1:31" x14ac:dyDescent="0.25">
      <c r="A60" s="97">
        <v>53</v>
      </c>
      <c r="B60" s="89">
        <v>9.0129999999999999</v>
      </c>
      <c r="C60" s="89">
        <v>8.1159999999999997</v>
      </c>
      <c r="D60" s="89">
        <v>7.3090000000000002</v>
      </c>
      <c r="E60" s="89">
        <v>6.5830000000000002</v>
      </c>
      <c r="F60" s="89">
        <v>5.9320000000000004</v>
      </c>
      <c r="G60" s="89">
        <v>5.3479999999999999</v>
      </c>
      <c r="H60" s="89">
        <v>4.8259999999999996</v>
      </c>
      <c r="I60" s="89">
        <v>4.3579999999999997</v>
      </c>
      <c r="J60" s="89">
        <v>3.9390000000000001</v>
      </c>
      <c r="K60" s="89">
        <v>3.5649999999999999</v>
      </c>
      <c r="L60" s="89">
        <v>3.2290000000000001</v>
      </c>
      <c r="M60" s="89">
        <v>2.9279999999999999</v>
      </c>
      <c r="N60" s="89">
        <v>2.6589999999999998</v>
      </c>
      <c r="O60" s="89">
        <v>2.4159999999999999</v>
      </c>
      <c r="P60" s="89">
        <v>2.1989999999999998</v>
      </c>
      <c r="Q60" s="89">
        <v>2.0030000000000001</v>
      </c>
      <c r="R60" s="89">
        <v>1.8260000000000001</v>
      </c>
      <c r="S60" s="89">
        <v>1.667</v>
      </c>
      <c r="T60" s="89">
        <v>1.522</v>
      </c>
      <c r="U60" s="89">
        <v>1.391</v>
      </c>
      <c r="V60" s="89">
        <v>1.2709999999999999</v>
      </c>
      <c r="W60" s="89">
        <v>1.163</v>
      </c>
      <c r="X60" s="89">
        <v>1.0640000000000001</v>
      </c>
      <c r="Y60" s="89">
        <v>0.97399999999999998</v>
      </c>
      <c r="Z60" s="89">
        <v>0.89200000000000002</v>
      </c>
      <c r="AA60" s="89">
        <v>0.81799999999999995</v>
      </c>
      <c r="AB60" s="89">
        <v>0.75</v>
      </c>
      <c r="AC60" s="89">
        <v>0.68700000000000006</v>
      </c>
      <c r="AD60" s="89">
        <v>0.63100000000000001</v>
      </c>
      <c r="AE60" s="89">
        <v>0.57899999999999996</v>
      </c>
    </row>
    <row r="61" spans="1:31" x14ac:dyDescent="0.25">
      <c r="A61" s="97">
        <v>54</v>
      </c>
      <c r="B61" s="89">
        <v>9.7720000000000002</v>
      </c>
      <c r="C61" s="89">
        <v>8.7899999999999991</v>
      </c>
      <c r="D61" s="89">
        <v>7.9050000000000002</v>
      </c>
      <c r="E61" s="89">
        <v>7.11</v>
      </c>
      <c r="F61" s="89">
        <v>6.3959999999999999</v>
      </c>
      <c r="G61" s="89">
        <v>5.7560000000000002</v>
      </c>
      <c r="H61" s="89">
        <v>5.1840000000000002</v>
      </c>
      <c r="I61" s="89">
        <v>4.6719999999999997</v>
      </c>
      <c r="J61" s="89">
        <v>4.2140000000000004</v>
      </c>
      <c r="K61" s="89">
        <v>3.8050000000000002</v>
      </c>
      <c r="L61" s="89">
        <v>3.4390000000000001</v>
      </c>
      <c r="M61" s="89">
        <v>3.1120000000000001</v>
      </c>
      <c r="N61" s="89">
        <v>2.819</v>
      </c>
      <c r="O61" s="89">
        <v>2.5569999999999999</v>
      </c>
      <c r="P61" s="89">
        <v>2.3220000000000001</v>
      </c>
      <c r="Q61" s="89">
        <v>2.11</v>
      </c>
      <c r="R61" s="89">
        <v>1.921</v>
      </c>
      <c r="S61" s="89">
        <v>1.7490000000000001</v>
      </c>
      <c r="T61" s="89">
        <v>1.595</v>
      </c>
      <c r="U61" s="89">
        <v>1.4550000000000001</v>
      </c>
      <c r="V61" s="89">
        <v>1.3280000000000001</v>
      </c>
      <c r="W61" s="89">
        <v>1.212</v>
      </c>
      <c r="X61" s="89">
        <v>1.1080000000000001</v>
      </c>
      <c r="Y61" s="89">
        <v>1.0129999999999999</v>
      </c>
      <c r="Z61" s="89">
        <v>0.92700000000000005</v>
      </c>
      <c r="AA61" s="89">
        <v>0.84799999999999998</v>
      </c>
      <c r="AB61" s="89">
        <v>0.77600000000000002</v>
      </c>
      <c r="AC61" s="89">
        <v>0.71099999999999997</v>
      </c>
      <c r="AD61" s="89">
        <v>0.65200000000000002</v>
      </c>
      <c r="AE61" s="89">
        <v>0.59799999999999998</v>
      </c>
    </row>
    <row r="62" spans="1:31" x14ac:dyDescent="0.25">
      <c r="A62" s="97">
        <v>55</v>
      </c>
      <c r="B62" s="89">
        <v>10.614000000000001</v>
      </c>
      <c r="C62" s="89">
        <v>9.5389999999999997</v>
      </c>
      <c r="D62" s="89">
        <v>8.5690000000000008</v>
      </c>
      <c r="E62" s="89">
        <v>7.6970000000000001</v>
      </c>
      <c r="F62" s="89">
        <v>6.9139999999999997</v>
      </c>
      <c r="G62" s="89">
        <v>6.2119999999999997</v>
      </c>
      <c r="H62" s="89">
        <v>5.5830000000000002</v>
      </c>
      <c r="I62" s="89">
        <v>5.0220000000000002</v>
      </c>
      <c r="J62" s="89">
        <v>4.5199999999999996</v>
      </c>
      <c r="K62" s="89">
        <v>4.0730000000000004</v>
      </c>
      <c r="L62" s="89">
        <v>3.673</v>
      </c>
      <c r="M62" s="89">
        <v>3.3159999999999998</v>
      </c>
      <c r="N62" s="89">
        <v>2.9969999999999999</v>
      </c>
      <c r="O62" s="89">
        <v>2.7120000000000002</v>
      </c>
      <c r="P62" s="89">
        <v>2.4580000000000002</v>
      </c>
      <c r="Q62" s="89">
        <v>2.2290000000000001</v>
      </c>
      <c r="R62" s="89">
        <v>2.0249999999999999</v>
      </c>
      <c r="S62" s="89">
        <v>1.841</v>
      </c>
      <c r="T62" s="89">
        <v>1.675</v>
      </c>
      <c r="U62" s="89">
        <v>1.5249999999999999</v>
      </c>
      <c r="V62" s="89">
        <v>1.389</v>
      </c>
      <c r="W62" s="89">
        <v>1.2669999999999999</v>
      </c>
      <c r="X62" s="89">
        <v>1.1559999999999999</v>
      </c>
      <c r="Y62" s="89">
        <v>1.0549999999999999</v>
      </c>
      <c r="Z62" s="89">
        <v>0.96399999999999997</v>
      </c>
      <c r="AA62" s="89">
        <v>0.88100000000000001</v>
      </c>
      <c r="AB62" s="89">
        <v>0.80600000000000005</v>
      </c>
      <c r="AC62" s="89">
        <v>0.73699999999999999</v>
      </c>
      <c r="AD62" s="89">
        <v>0.67500000000000004</v>
      </c>
      <c r="AE62" s="89">
        <v>0.61899999999999999</v>
      </c>
    </row>
    <row r="63" spans="1:31" x14ac:dyDescent="0.25">
      <c r="A63" s="97">
        <v>56</v>
      </c>
      <c r="B63" s="89">
        <v>11.548</v>
      </c>
      <c r="C63" s="89">
        <v>10.371</v>
      </c>
      <c r="D63" s="89">
        <v>9.3089999999999993</v>
      </c>
      <c r="E63" s="89">
        <v>8.3510000000000009</v>
      </c>
      <c r="F63" s="89">
        <v>7.4909999999999997</v>
      </c>
      <c r="G63" s="89">
        <v>6.72</v>
      </c>
      <c r="H63" s="89">
        <v>6.0289999999999999</v>
      </c>
      <c r="I63" s="89">
        <v>5.4130000000000003</v>
      </c>
      <c r="J63" s="89">
        <v>4.8620000000000001</v>
      </c>
      <c r="K63" s="89">
        <v>4.3710000000000004</v>
      </c>
      <c r="L63" s="89">
        <v>3.9340000000000002</v>
      </c>
      <c r="M63" s="89">
        <v>3.544</v>
      </c>
      <c r="N63" s="89">
        <v>3.1960000000000002</v>
      </c>
      <c r="O63" s="89">
        <v>2.8849999999999998</v>
      </c>
      <c r="P63" s="89">
        <v>2.609</v>
      </c>
      <c r="Q63" s="89">
        <v>2.3610000000000002</v>
      </c>
      <c r="R63" s="89">
        <v>2.14</v>
      </c>
      <c r="S63" s="89">
        <v>1.9410000000000001</v>
      </c>
      <c r="T63" s="89">
        <v>1.7629999999999999</v>
      </c>
      <c r="U63" s="89">
        <v>1.6020000000000001</v>
      </c>
      <c r="V63" s="89">
        <v>1.4570000000000001</v>
      </c>
      <c r="W63" s="89">
        <v>1.3260000000000001</v>
      </c>
      <c r="X63" s="89">
        <v>1.208</v>
      </c>
      <c r="Y63" s="89">
        <v>1.101</v>
      </c>
      <c r="Z63" s="89">
        <v>1.004</v>
      </c>
      <c r="AA63" s="89">
        <v>0.91700000000000004</v>
      </c>
      <c r="AB63" s="89">
        <v>0.83699999999999997</v>
      </c>
      <c r="AC63" s="89">
        <v>0.76500000000000001</v>
      </c>
      <c r="AD63" s="89">
        <v>0.7</v>
      </c>
      <c r="AE63" s="89">
        <v>0.64100000000000001</v>
      </c>
    </row>
    <row r="64" spans="1:31" x14ac:dyDescent="0.25">
      <c r="A64" s="97">
        <v>57</v>
      </c>
      <c r="B64" s="89">
        <v>12.586</v>
      </c>
      <c r="C64" s="89">
        <v>11.298</v>
      </c>
      <c r="D64" s="89">
        <v>10.132</v>
      </c>
      <c r="E64" s="89">
        <v>9.0809999999999995</v>
      </c>
      <c r="F64" s="89">
        <v>8.1359999999999992</v>
      </c>
      <c r="G64" s="89">
        <v>7.2880000000000003</v>
      </c>
      <c r="H64" s="89">
        <v>6.5279999999999996</v>
      </c>
      <c r="I64" s="89">
        <v>5.85</v>
      </c>
      <c r="J64" s="89">
        <v>5.2450000000000001</v>
      </c>
      <c r="K64" s="89">
        <v>4.7050000000000001</v>
      </c>
      <c r="L64" s="89">
        <v>4.2249999999999996</v>
      </c>
      <c r="M64" s="89">
        <v>3.798</v>
      </c>
      <c r="N64" s="89">
        <v>3.4169999999999998</v>
      </c>
      <c r="O64" s="89">
        <v>3.0779999999999998</v>
      </c>
      <c r="P64" s="89">
        <v>2.7770000000000001</v>
      </c>
      <c r="Q64" s="89">
        <v>2.508</v>
      </c>
      <c r="R64" s="89">
        <v>2.2679999999999998</v>
      </c>
      <c r="S64" s="89">
        <v>2.0529999999999999</v>
      </c>
      <c r="T64" s="89">
        <v>1.86</v>
      </c>
      <c r="U64" s="89">
        <v>1.6870000000000001</v>
      </c>
      <c r="V64" s="89">
        <v>1.5309999999999999</v>
      </c>
      <c r="W64" s="89">
        <v>1.391</v>
      </c>
      <c r="X64" s="89">
        <v>1.2649999999999999</v>
      </c>
      <c r="Y64" s="89">
        <v>1.151</v>
      </c>
      <c r="Z64" s="89">
        <v>1.0489999999999999</v>
      </c>
      <c r="AA64" s="89">
        <v>0.95599999999999996</v>
      </c>
      <c r="AB64" s="89">
        <v>0.872</v>
      </c>
      <c r="AC64" s="89">
        <v>0.79500000000000004</v>
      </c>
      <c r="AD64" s="89">
        <v>0.72699999999999998</v>
      </c>
      <c r="AE64" s="89">
        <v>0.66500000000000004</v>
      </c>
    </row>
    <row r="65" spans="1:31" x14ac:dyDescent="0.25">
      <c r="A65" s="97">
        <v>58</v>
      </c>
      <c r="B65" s="89">
        <v>13.738</v>
      </c>
      <c r="C65" s="89">
        <v>12.327999999999999</v>
      </c>
      <c r="D65" s="89">
        <v>11.05</v>
      </c>
      <c r="E65" s="89">
        <v>9.8960000000000008</v>
      </c>
      <c r="F65" s="89">
        <v>8.8559999999999999</v>
      </c>
      <c r="G65" s="89">
        <v>7.923</v>
      </c>
      <c r="H65" s="89">
        <v>7.0869999999999997</v>
      </c>
      <c r="I65" s="89">
        <v>6.3390000000000004</v>
      </c>
      <c r="J65" s="89">
        <v>5.673</v>
      </c>
      <c r="K65" s="89">
        <v>5.08</v>
      </c>
      <c r="L65" s="89">
        <v>4.5519999999999996</v>
      </c>
      <c r="M65" s="89">
        <v>4.0819999999999999</v>
      </c>
      <c r="N65" s="89">
        <v>3.6640000000000001</v>
      </c>
      <c r="O65" s="89">
        <v>3.294</v>
      </c>
      <c r="P65" s="89">
        <v>2.964</v>
      </c>
      <c r="Q65" s="89">
        <v>2.6709999999999998</v>
      </c>
      <c r="R65" s="89">
        <v>2.41</v>
      </c>
      <c r="S65" s="89">
        <v>2.177</v>
      </c>
      <c r="T65" s="89">
        <v>1.968</v>
      </c>
      <c r="U65" s="89">
        <v>1.7809999999999999</v>
      </c>
      <c r="V65" s="89">
        <v>1.6140000000000001</v>
      </c>
      <c r="W65" s="89">
        <v>1.4630000000000001</v>
      </c>
      <c r="X65" s="89">
        <v>1.3280000000000001</v>
      </c>
      <c r="Y65" s="89">
        <v>1.206</v>
      </c>
      <c r="Z65" s="89">
        <v>1.097</v>
      </c>
      <c r="AA65" s="89">
        <v>0.998</v>
      </c>
      <c r="AB65" s="89">
        <v>0.90900000000000003</v>
      </c>
      <c r="AC65" s="89">
        <v>0.82899999999999996</v>
      </c>
      <c r="AD65" s="89">
        <v>0.75600000000000001</v>
      </c>
      <c r="AE65" s="89">
        <v>0.69099999999999995</v>
      </c>
    </row>
    <row r="66" spans="1:31" x14ac:dyDescent="0.25">
      <c r="A66" s="97">
        <v>59</v>
      </c>
      <c r="B66" s="89">
        <v>15.018000000000001</v>
      </c>
      <c r="C66" s="89">
        <v>13.475</v>
      </c>
      <c r="D66" s="89">
        <v>12.073</v>
      </c>
      <c r="E66" s="89">
        <v>10.805</v>
      </c>
      <c r="F66" s="89">
        <v>9.6609999999999996</v>
      </c>
      <c r="G66" s="89">
        <v>8.6329999999999991</v>
      </c>
      <c r="H66" s="89">
        <v>7.7119999999999997</v>
      </c>
      <c r="I66" s="89">
        <v>6.8879999999999999</v>
      </c>
      <c r="J66" s="89">
        <v>6.1539999999999999</v>
      </c>
      <c r="K66" s="89">
        <v>5.4989999999999997</v>
      </c>
      <c r="L66" s="89">
        <v>4.9180000000000001</v>
      </c>
      <c r="M66" s="89">
        <v>4.4009999999999998</v>
      </c>
      <c r="N66" s="89">
        <v>3.9420000000000002</v>
      </c>
      <c r="O66" s="89">
        <v>3.5350000000000001</v>
      </c>
      <c r="P66" s="89">
        <v>3.1739999999999999</v>
      </c>
      <c r="Q66" s="89">
        <v>2.8530000000000002</v>
      </c>
      <c r="R66" s="89">
        <v>2.5680000000000001</v>
      </c>
      <c r="S66" s="89">
        <v>2.3140000000000001</v>
      </c>
      <c r="T66" s="89">
        <v>2.0880000000000001</v>
      </c>
      <c r="U66" s="89">
        <v>1.8859999999999999</v>
      </c>
      <c r="V66" s="89">
        <v>1.7050000000000001</v>
      </c>
      <c r="W66" s="89">
        <v>1.5429999999999999</v>
      </c>
      <c r="X66" s="89">
        <v>1.397</v>
      </c>
      <c r="Y66" s="89">
        <v>1.2669999999999999</v>
      </c>
      <c r="Z66" s="89">
        <v>1.1499999999999999</v>
      </c>
      <c r="AA66" s="89">
        <v>1.0449999999999999</v>
      </c>
      <c r="AB66" s="89">
        <v>0.95</v>
      </c>
      <c r="AC66" s="89">
        <v>0.86499999999999999</v>
      </c>
      <c r="AD66" s="89">
        <v>0.78800000000000003</v>
      </c>
      <c r="AE66" s="89">
        <v>0.71899999999999997</v>
      </c>
    </row>
    <row r="67" spans="1:31" x14ac:dyDescent="0.25">
      <c r="A67" s="97">
        <v>60</v>
      </c>
      <c r="B67" s="89">
        <v>16.442</v>
      </c>
      <c r="C67" s="89">
        <v>14.752000000000001</v>
      </c>
      <c r="D67" s="89">
        <v>13.215</v>
      </c>
      <c r="E67" s="89">
        <v>11.821</v>
      </c>
      <c r="F67" s="89">
        <v>10.563000000000001</v>
      </c>
      <c r="G67" s="89">
        <v>9.43</v>
      </c>
      <c r="H67" s="89">
        <v>8.4139999999999997</v>
      </c>
      <c r="I67" s="89">
        <v>7.5039999999999996</v>
      </c>
      <c r="J67" s="89">
        <v>6.6929999999999996</v>
      </c>
      <c r="K67" s="89">
        <v>5.9710000000000001</v>
      </c>
      <c r="L67" s="89">
        <v>5.3289999999999997</v>
      </c>
      <c r="M67" s="89">
        <v>4.7590000000000003</v>
      </c>
      <c r="N67" s="89">
        <v>4.2530000000000001</v>
      </c>
      <c r="O67" s="89">
        <v>3.8050000000000002</v>
      </c>
      <c r="P67" s="89">
        <v>3.4079999999999999</v>
      </c>
      <c r="Q67" s="89">
        <v>3.0569999999999999</v>
      </c>
      <c r="R67" s="89">
        <v>2.7450000000000001</v>
      </c>
      <c r="S67" s="89">
        <v>2.468</v>
      </c>
      <c r="T67" s="89">
        <v>2.222</v>
      </c>
      <c r="U67" s="89">
        <v>2.0019999999999998</v>
      </c>
      <c r="V67" s="89">
        <v>1.806</v>
      </c>
      <c r="W67" s="89">
        <v>1.631</v>
      </c>
      <c r="X67" s="89">
        <v>1.474</v>
      </c>
      <c r="Y67" s="89">
        <v>1.3340000000000001</v>
      </c>
      <c r="Z67" s="89">
        <v>1.2090000000000001</v>
      </c>
      <c r="AA67" s="89">
        <v>1.0960000000000001</v>
      </c>
      <c r="AB67" s="89">
        <v>0.995</v>
      </c>
      <c r="AC67" s="89">
        <v>0.90400000000000003</v>
      </c>
      <c r="AD67" s="89">
        <v>0.82299999999999995</v>
      </c>
      <c r="AE67" s="89">
        <v>0.749</v>
      </c>
    </row>
    <row r="68" spans="1:31" x14ac:dyDescent="0.25">
      <c r="A68" s="97">
        <v>61</v>
      </c>
      <c r="B68" s="89">
        <v>18.026</v>
      </c>
      <c r="C68" s="89">
        <v>16.175999999999998</v>
      </c>
      <c r="D68" s="89">
        <v>14.49</v>
      </c>
      <c r="E68" s="89">
        <v>12.958</v>
      </c>
      <c r="F68" s="89">
        <v>11.571999999999999</v>
      </c>
      <c r="G68" s="89">
        <v>10.323</v>
      </c>
      <c r="H68" s="89">
        <v>9.2010000000000005</v>
      </c>
      <c r="I68" s="89">
        <v>8.1969999999999992</v>
      </c>
      <c r="J68" s="89">
        <v>7.3</v>
      </c>
      <c r="K68" s="89">
        <v>6.5010000000000003</v>
      </c>
      <c r="L68" s="89">
        <v>5.7910000000000004</v>
      </c>
      <c r="M68" s="89">
        <v>5.1609999999999996</v>
      </c>
      <c r="N68" s="89">
        <v>4.6029999999999998</v>
      </c>
      <c r="O68" s="89">
        <v>4.109</v>
      </c>
      <c r="P68" s="89">
        <v>3.6720000000000002</v>
      </c>
      <c r="Q68" s="89">
        <v>3.286</v>
      </c>
      <c r="R68" s="89">
        <v>2.944</v>
      </c>
      <c r="S68" s="89">
        <v>2.641</v>
      </c>
      <c r="T68" s="89">
        <v>2.371</v>
      </c>
      <c r="U68" s="89">
        <v>2.1320000000000001</v>
      </c>
      <c r="V68" s="89">
        <v>1.919</v>
      </c>
      <c r="W68" s="89">
        <v>1.7290000000000001</v>
      </c>
      <c r="X68" s="89">
        <v>1.5589999999999999</v>
      </c>
      <c r="Y68" s="89">
        <v>1.409</v>
      </c>
      <c r="Z68" s="89">
        <v>1.274</v>
      </c>
      <c r="AA68" s="89">
        <v>1.153</v>
      </c>
      <c r="AB68" s="89">
        <v>1.0449999999999999</v>
      </c>
      <c r="AC68" s="89">
        <v>0.94799999999999995</v>
      </c>
      <c r="AD68" s="89">
        <v>0.86099999999999999</v>
      </c>
      <c r="AE68" s="89">
        <v>0.78300000000000003</v>
      </c>
    </row>
    <row r="69" spans="1:31" x14ac:dyDescent="0.25">
      <c r="A69" s="97">
        <v>62</v>
      </c>
      <c r="B69" s="89">
        <v>19.79</v>
      </c>
      <c r="C69" s="89">
        <v>17.763999999999999</v>
      </c>
      <c r="D69" s="89">
        <v>15.914</v>
      </c>
      <c r="E69" s="89">
        <v>14.23</v>
      </c>
      <c r="F69" s="89">
        <v>12.704000000000001</v>
      </c>
      <c r="G69" s="89">
        <v>11.326000000000001</v>
      </c>
      <c r="H69" s="89">
        <v>10.086</v>
      </c>
      <c r="I69" s="89">
        <v>8.9749999999999996</v>
      </c>
      <c r="J69" s="89">
        <v>7.9829999999999997</v>
      </c>
      <c r="K69" s="89">
        <v>7.0990000000000002</v>
      </c>
      <c r="L69" s="89">
        <v>6.3129999999999997</v>
      </c>
      <c r="M69" s="89">
        <v>5.6150000000000002</v>
      </c>
      <c r="N69" s="89">
        <v>4.9980000000000002</v>
      </c>
      <c r="O69" s="89">
        <v>4.452</v>
      </c>
      <c r="P69" s="89">
        <v>3.97</v>
      </c>
      <c r="Q69" s="89">
        <v>3.544</v>
      </c>
      <c r="R69" s="89">
        <v>3.1669999999999998</v>
      </c>
      <c r="S69" s="89">
        <v>2.8340000000000001</v>
      </c>
      <c r="T69" s="89">
        <v>2.5390000000000001</v>
      </c>
      <c r="U69" s="89">
        <v>2.2770000000000001</v>
      </c>
      <c r="V69" s="89">
        <v>2.0449999999999999</v>
      </c>
      <c r="W69" s="89">
        <v>1.8380000000000001</v>
      </c>
      <c r="X69" s="89">
        <v>1.6539999999999999</v>
      </c>
      <c r="Y69" s="89">
        <v>1.4910000000000001</v>
      </c>
      <c r="Z69" s="89">
        <v>1.345</v>
      </c>
      <c r="AA69" s="89">
        <v>1.2150000000000001</v>
      </c>
      <c r="AB69" s="89">
        <v>1.099</v>
      </c>
      <c r="AC69" s="89">
        <v>0.995</v>
      </c>
      <c r="AD69" s="89">
        <v>0.90300000000000002</v>
      </c>
      <c r="AE69" s="89">
        <v>0.82</v>
      </c>
    </row>
    <row r="70" spans="1:31" x14ac:dyDescent="0.25">
      <c r="A70" s="97">
        <v>63</v>
      </c>
      <c r="B70" s="89">
        <v>21.754999999999999</v>
      </c>
      <c r="C70" s="89">
        <v>19.536999999999999</v>
      </c>
      <c r="D70" s="89">
        <v>17.507000000000001</v>
      </c>
      <c r="E70" s="89">
        <v>15.654999999999999</v>
      </c>
      <c r="F70" s="89">
        <v>13.973000000000001</v>
      </c>
      <c r="G70" s="89">
        <v>12.452999999999999</v>
      </c>
      <c r="H70" s="89">
        <v>11.082000000000001</v>
      </c>
      <c r="I70" s="89">
        <v>9.8529999999999998</v>
      </c>
      <c r="J70" s="89">
        <v>8.7530000000000001</v>
      </c>
      <c r="K70" s="89">
        <v>7.7729999999999997</v>
      </c>
      <c r="L70" s="89">
        <v>6.9009999999999998</v>
      </c>
      <c r="M70" s="89">
        <v>6.1280000000000001</v>
      </c>
      <c r="N70" s="89">
        <v>5.4429999999999996</v>
      </c>
      <c r="O70" s="89">
        <v>4.8390000000000004</v>
      </c>
      <c r="P70" s="89">
        <v>4.3049999999999997</v>
      </c>
      <c r="Q70" s="89">
        <v>3.8340000000000001</v>
      </c>
      <c r="R70" s="89">
        <v>3.419</v>
      </c>
      <c r="S70" s="89">
        <v>3.052</v>
      </c>
      <c r="T70" s="89">
        <v>2.7280000000000002</v>
      </c>
      <c r="U70" s="89">
        <v>2.44</v>
      </c>
      <c r="V70" s="89">
        <v>2.1859999999999999</v>
      </c>
      <c r="W70" s="89">
        <v>1.96</v>
      </c>
      <c r="X70" s="89">
        <v>1.76</v>
      </c>
      <c r="Y70" s="89">
        <v>1.583</v>
      </c>
      <c r="Z70" s="89">
        <v>1.425</v>
      </c>
      <c r="AA70" s="89">
        <v>1.2849999999999999</v>
      </c>
      <c r="AB70" s="89">
        <v>1.1599999999999999</v>
      </c>
      <c r="AC70" s="89">
        <v>1.048</v>
      </c>
      <c r="AD70" s="89">
        <v>0.94899999999999995</v>
      </c>
      <c r="AE70" s="89">
        <v>0.86099999999999999</v>
      </c>
    </row>
    <row r="71" spans="1:31" x14ac:dyDescent="0.25">
      <c r="A71" s="97">
        <v>64</v>
      </c>
      <c r="B71" s="89">
        <v>23.948</v>
      </c>
      <c r="C71" s="89">
        <v>21.518999999999998</v>
      </c>
      <c r="D71" s="89">
        <v>19.29</v>
      </c>
      <c r="E71" s="89">
        <v>17.253</v>
      </c>
      <c r="F71" s="89">
        <v>15.398999999999999</v>
      </c>
      <c r="G71" s="89">
        <v>13.72</v>
      </c>
      <c r="H71" s="89">
        <v>12.204000000000001</v>
      </c>
      <c r="I71" s="89">
        <v>10.842000000000001</v>
      </c>
      <c r="J71" s="89">
        <v>9.6219999999999999</v>
      </c>
      <c r="K71" s="89">
        <v>8.5340000000000007</v>
      </c>
      <c r="L71" s="89">
        <v>7.5670000000000002</v>
      </c>
      <c r="M71" s="89">
        <v>6.7080000000000002</v>
      </c>
      <c r="N71" s="89">
        <v>5.9470000000000001</v>
      </c>
      <c r="O71" s="89">
        <v>5.2759999999999998</v>
      </c>
      <c r="P71" s="89">
        <v>4.6840000000000002</v>
      </c>
      <c r="Q71" s="89">
        <v>4.1619999999999999</v>
      </c>
      <c r="R71" s="89">
        <v>3.7029999999999998</v>
      </c>
      <c r="S71" s="89">
        <v>3.298</v>
      </c>
      <c r="T71" s="89">
        <v>2.94</v>
      </c>
      <c r="U71" s="89">
        <v>2.6240000000000001</v>
      </c>
      <c r="V71" s="89">
        <v>2.3450000000000002</v>
      </c>
      <c r="W71" s="89">
        <v>2.097</v>
      </c>
      <c r="X71" s="89">
        <v>1.879</v>
      </c>
      <c r="Y71" s="89">
        <v>1.6859999999999999</v>
      </c>
      <c r="Z71" s="89">
        <v>1.514</v>
      </c>
      <c r="AA71" s="89">
        <v>1.3620000000000001</v>
      </c>
      <c r="AB71" s="89">
        <v>1.2270000000000001</v>
      </c>
      <c r="AC71" s="89">
        <v>1.107</v>
      </c>
      <c r="AD71" s="89">
        <v>1</v>
      </c>
      <c r="AE71" s="89">
        <v>0.90500000000000003</v>
      </c>
    </row>
    <row r="72" spans="1:31" x14ac:dyDescent="0.25">
      <c r="A72" s="97">
        <v>65</v>
      </c>
      <c r="B72" s="89">
        <v>26.396999999999998</v>
      </c>
      <c r="C72" s="89">
        <v>23.736000000000001</v>
      </c>
      <c r="D72" s="89">
        <v>21.289000000000001</v>
      </c>
      <c r="E72" s="89">
        <v>19.047000000000001</v>
      </c>
      <c r="F72" s="89">
        <v>17.001999999999999</v>
      </c>
      <c r="G72" s="89">
        <v>15.146000000000001</v>
      </c>
      <c r="H72" s="89">
        <v>13.468</v>
      </c>
      <c r="I72" s="89">
        <v>11.958</v>
      </c>
      <c r="J72" s="89">
        <v>10.605</v>
      </c>
      <c r="K72" s="89">
        <v>9.3960000000000008</v>
      </c>
      <c r="L72" s="89">
        <v>8.32</v>
      </c>
      <c r="M72" s="89">
        <v>7.3639999999999999</v>
      </c>
      <c r="N72" s="89">
        <v>6.5179999999999998</v>
      </c>
      <c r="O72" s="89">
        <v>5.7709999999999999</v>
      </c>
      <c r="P72" s="89">
        <v>5.1139999999999999</v>
      </c>
      <c r="Q72" s="89">
        <v>4.5339999999999998</v>
      </c>
      <c r="R72" s="89">
        <v>4.0250000000000004</v>
      </c>
      <c r="S72" s="89">
        <v>3.5760000000000001</v>
      </c>
      <c r="T72" s="89">
        <v>3.18</v>
      </c>
      <c r="U72" s="89">
        <v>2.831</v>
      </c>
      <c r="V72" s="89">
        <v>2.5230000000000001</v>
      </c>
      <c r="W72" s="89">
        <v>2.2519999999999998</v>
      </c>
      <c r="X72" s="89">
        <v>2.012</v>
      </c>
      <c r="Y72" s="89">
        <v>1.8009999999999999</v>
      </c>
      <c r="Z72" s="89">
        <v>1.6140000000000001</v>
      </c>
      <c r="AA72" s="89">
        <v>1.448</v>
      </c>
      <c r="AB72" s="89">
        <v>1.302</v>
      </c>
      <c r="AC72" s="89">
        <v>1.1719999999999999</v>
      </c>
      <c r="AD72" s="89">
        <v>1.0569999999999999</v>
      </c>
      <c r="AE72" s="89">
        <v>0.95499999999999996</v>
      </c>
    </row>
    <row r="73" spans="1:31" x14ac:dyDescent="0.25">
      <c r="A73" s="97">
        <v>66</v>
      </c>
      <c r="B73" s="89">
        <v>29.138999999999999</v>
      </c>
      <c r="C73" s="89">
        <v>26.222000000000001</v>
      </c>
      <c r="D73" s="89">
        <v>23.533000000000001</v>
      </c>
      <c r="E73" s="89">
        <v>21.064</v>
      </c>
      <c r="F73" s="89">
        <v>18.808</v>
      </c>
      <c r="G73" s="89">
        <v>16.756</v>
      </c>
      <c r="H73" s="89">
        <v>14.897</v>
      </c>
      <c r="I73" s="89">
        <v>13.221</v>
      </c>
      <c r="J73" s="89">
        <v>11.717000000000001</v>
      </c>
      <c r="K73" s="89">
        <v>10.372</v>
      </c>
      <c r="L73" s="89">
        <v>9.1739999999999995</v>
      </c>
      <c r="M73" s="89">
        <v>8.109</v>
      </c>
      <c r="N73" s="89">
        <v>7.1660000000000004</v>
      </c>
      <c r="O73" s="89">
        <v>6.3339999999999996</v>
      </c>
      <c r="P73" s="89">
        <v>5.601</v>
      </c>
      <c r="Q73" s="89">
        <v>4.9569999999999999</v>
      </c>
      <c r="R73" s="89">
        <v>4.3899999999999997</v>
      </c>
      <c r="S73" s="89">
        <v>3.891</v>
      </c>
      <c r="T73" s="89">
        <v>3.452</v>
      </c>
      <c r="U73" s="89">
        <v>3.0659999999999998</v>
      </c>
      <c r="V73" s="89">
        <v>2.726</v>
      </c>
      <c r="W73" s="89">
        <v>2.4260000000000002</v>
      </c>
      <c r="X73" s="89">
        <v>2.1629999999999998</v>
      </c>
      <c r="Y73" s="89">
        <v>1.931</v>
      </c>
      <c r="Z73" s="89">
        <v>1.726</v>
      </c>
      <c r="AA73" s="89">
        <v>1.5449999999999999</v>
      </c>
      <c r="AB73" s="89">
        <v>1.3859999999999999</v>
      </c>
      <c r="AC73" s="89">
        <v>1.2450000000000001</v>
      </c>
      <c r="AD73" s="89">
        <v>1.1200000000000001</v>
      </c>
      <c r="AE73" s="89">
        <v>1.01</v>
      </c>
    </row>
    <row r="74" spans="1:31" x14ac:dyDescent="0.25">
      <c r="A74" s="97">
        <v>67</v>
      </c>
      <c r="B74" s="89">
        <v>32.212000000000003</v>
      </c>
      <c r="C74" s="89">
        <v>29.012</v>
      </c>
      <c r="D74" s="89">
        <v>26.056000000000001</v>
      </c>
      <c r="E74" s="89">
        <v>23.335999999999999</v>
      </c>
      <c r="F74" s="89">
        <v>20.844000000000001</v>
      </c>
      <c r="G74" s="89">
        <v>18.573</v>
      </c>
      <c r="H74" s="89">
        <v>16.512</v>
      </c>
      <c r="I74" s="89">
        <v>14.651</v>
      </c>
      <c r="J74" s="89">
        <v>12.978</v>
      </c>
      <c r="K74" s="89">
        <v>11.48</v>
      </c>
      <c r="L74" s="89">
        <v>10.144</v>
      </c>
      <c r="M74" s="89">
        <v>8.9559999999999995</v>
      </c>
      <c r="N74" s="89">
        <v>7.9039999999999999</v>
      </c>
      <c r="O74" s="89">
        <v>6.9749999999999996</v>
      </c>
      <c r="P74" s="89">
        <v>6.157</v>
      </c>
      <c r="Q74" s="89">
        <v>5.4370000000000003</v>
      </c>
      <c r="R74" s="89">
        <v>4.8049999999999997</v>
      </c>
      <c r="S74" s="89">
        <v>4.25</v>
      </c>
      <c r="T74" s="89">
        <v>3.762</v>
      </c>
      <c r="U74" s="89">
        <v>3.3330000000000002</v>
      </c>
      <c r="V74" s="89">
        <v>2.9550000000000001</v>
      </c>
      <c r="W74" s="89">
        <v>2.6240000000000001</v>
      </c>
      <c r="X74" s="89">
        <v>2.3330000000000002</v>
      </c>
      <c r="Y74" s="89">
        <v>2.077</v>
      </c>
      <c r="Z74" s="89">
        <v>1.8520000000000001</v>
      </c>
      <c r="AA74" s="89">
        <v>1.6539999999999999</v>
      </c>
      <c r="AB74" s="89">
        <v>1.48</v>
      </c>
      <c r="AC74" s="89">
        <v>1.327</v>
      </c>
      <c r="AD74" s="89">
        <v>1.1910000000000001</v>
      </c>
      <c r="AE74" s="89">
        <v>1.0720000000000001</v>
      </c>
    </row>
    <row r="75" spans="1:31" x14ac:dyDescent="0.25">
      <c r="A75" s="97">
        <v>68</v>
      </c>
      <c r="B75" s="89">
        <v>35.664999999999999</v>
      </c>
      <c r="C75" s="89">
        <v>32.151000000000003</v>
      </c>
      <c r="D75" s="89">
        <v>28.898</v>
      </c>
      <c r="E75" s="89">
        <v>25.899000000000001</v>
      </c>
      <c r="F75" s="89">
        <v>23.145</v>
      </c>
      <c r="G75" s="89">
        <v>20.63</v>
      </c>
      <c r="H75" s="89">
        <v>18.341999999999999</v>
      </c>
      <c r="I75" s="89">
        <v>16.273</v>
      </c>
      <c r="J75" s="89">
        <v>14.41</v>
      </c>
      <c r="K75" s="89">
        <v>12.739000000000001</v>
      </c>
      <c r="L75" s="89">
        <v>11.247999999999999</v>
      </c>
      <c r="M75" s="89">
        <v>9.92</v>
      </c>
      <c r="N75" s="89">
        <v>8.7439999999999998</v>
      </c>
      <c r="O75" s="89">
        <v>7.7050000000000001</v>
      </c>
      <c r="P75" s="89">
        <v>6.79</v>
      </c>
      <c r="Q75" s="89">
        <v>5.9859999999999998</v>
      </c>
      <c r="R75" s="89">
        <v>5.2789999999999999</v>
      </c>
      <c r="S75" s="89">
        <v>4.6589999999999998</v>
      </c>
      <c r="T75" s="89">
        <v>4.1139999999999999</v>
      </c>
      <c r="U75" s="89">
        <v>3.6360000000000001</v>
      </c>
      <c r="V75" s="89">
        <v>3.2160000000000002</v>
      </c>
      <c r="W75" s="89">
        <v>2.8479999999999999</v>
      </c>
      <c r="X75" s="89">
        <v>2.5259999999999998</v>
      </c>
      <c r="Y75" s="89">
        <v>2.2429999999999999</v>
      </c>
      <c r="Z75" s="89">
        <v>1.9950000000000001</v>
      </c>
      <c r="AA75" s="89">
        <v>1.7769999999999999</v>
      </c>
      <c r="AB75" s="89">
        <v>1.5860000000000001</v>
      </c>
      <c r="AC75" s="89">
        <v>1.4179999999999999</v>
      </c>
      <c r="AD75" s="89">
        <v>1.2709999999999999</v>
      </c>
      <c r="AE75" s="89">
        <v>1.141</v>
      </c>
    </row>
    <row r="76" spans="1:31" x14ac:dyDescent="0.25">
      <c r="A76" s="97">
        <v>69</v>
      </c>
      <c r="B76" s="89">
        <v>39.552999999999997</v>
      </c>
      <c r="C76" s="89">
        <v>35.691000000000003</v>
      </c>
      <c r="D76" s="89">
        <v>32.107999999999997</v>
      </c>
      <c r="E76" s="89">
        <v>28.797000000000001</v>
      </c>
      <c r="F76" s="89">
        <v>25.75</v>
      </c>
      <c r="G76" s="89">
        <v>22.960999999999999</v>
      </c>
      <c r="H76" s="89">
        <v>20.420000000000002</v>
      </c>
      <c r="I76" s="89">
        <v>18.116</v>
      </c>
      <c r="J76" s="89">
        <v>16.039000000000001</v>
      </c>
      <c r="K76" s="89">
        <v>14.173999999999999</v>
      </c>
      <c r="L76" s="89">
        <v>12.507</v>
      </c>
      <c r="M76" s="89">
        <v>11.021000000000001</v>
      </c>
      <c r="N76" s="89">
        <v>9.7029999999999994</v>
      </c>
      <c r="O76" s="89">
        <v>8.5389999999999997</v>
      </c>
      <c r="P76" s="89">
        <v>7.5140000000000002</v>
      </c>
      <c r="Q76" s="89">
        <v>6.6130000000000004</v>
      </c>
      <c r="R76" s="89">
        <v>5.8209999999999997</v>
      </c>
      <c r="S76" s="89">
        <v>5.1260000000000003</v>
      </c>
      <c r="T76" s="89">
        <v>4.5170000000000003</v>
      </c>
      <c r="U76" s="89">
        <v>3.9830000000000001</v>
      </c>
      <c r="V76" s="89">
        <v>3.5139999999999998</v>
      </c>
      <c r="W76" s="89">
        <v>3.1040000000000001</v>
      </c>
      <c r="X76" s="89">
        <v>2.7450000000000001</v>
      </c>
      <c r="Y76" s="89">
        <v>2.4319999999999999</v>
      </c>
      <c r="Z76" s="89">
        <v>2.157</v>
      </c>
      <c r="AA76" s="89">
        <v>1.917</v>
      </c>
      <c r="AB76" s="89">
        <v>1.706</v>
      </c>
      <c r="AC76" s="89">
        <v>1.522</v>
      </c>
      <c r="AD76" s="89">
        <v>1.36</v>
      </c>
      <c r="AE76" s="89">
        <v>1.218</v>
      </c>
    </row>
    <row r="77" spans="1:31" x14ac:dyDescent="0.25">
      <c r="A77" s="97">
        <v>70</v>
      </c>
      <c r="B77" s="89">
        <v>43.948</v>
      </c>
      <c r="C77" s="89">
        <v>39.697000000000003</v>
      </c>
      <c r="D77" s="89">
        <v>35.744999999999997</v>
      </c>
      <c r="E77" s="89">
        <v>32.085000000000001</v>
      </c>
      <c r="F77" s="89">
        <v>28.709</v>
      </c>
      <c r="G77" s="89">
        <v>25.613</v>
      </c>
      <c r="H77" s="89">
        <v>22.786000000000001</v>
      </c>
      <c r="I77" s="89">
        <v>20.219000000000001</v>
      </c>
      <c r="J77" s="89">
        <v>17.899999999999999</v>
      </c>
      <c r="K77" s="89">
        <v>15.814</v>
      </c>
      <c r="L77" s="89">
        <v>13.946999999999999</v>
      </c>
      <c r="M77" s="89">
        <v>12.281000000000001</v>
      </c>
      <c r="N77" s="89">
        <v>10.803000000000001</v>
      </c>
      <c r="O77" s="89">
        <v>9.4960000000000004</v>
      </c>
      <c r="P77" s="89">
        <v>8.3439999999999994</v>
      </c>
      <c r="Q77" s="89">
        <v>7.3319999999999999</v>
      </c>
      <c r="R77" s="89">
        <v>6.4429999999999996</v>
      </c>
      <c r="S77" s="89">
        <v>5.6630000000000003</v>
      </c>
      <c r="T77" s="89">
        <v>4.9800000000000004</v>
      </c>
      <c r="U77" s="89">
        <v>4.3810000000000002</v>
      </c>
      <c r="V77" s="89">
        <v>3.8559999999999999</v>
      </c>
      <c r="W77" s="89">
        <v>3.3969999999999998</v>
      </c>
      <c r="X77" s="89">
        <v>2.9969999999999999</v>
      </c>
      <c r="Y77" s="89">
        <v>2.6469999999999998</v>
      </c>
      <c r="Z77" s="89">
        <v>2.3420000000000001</v>
      </c>
      <c r="AA77" s="89">
        <v>2.0760000000000001</v>
      </c>
      <c r="AB77" s="89">
        <v>1.843</v>
      </c>
      <c r="AC77" s="89">
        <v>1.639</v>
      </c>
      <c r="AD77" s="89">
        <v>1.4610000000000001</v>
      </c>
      <c r="AE77" s="89">
        <v>1.306</v>
      </c>
    </row>
    <row r="78" spans="1:31" x14ac:dyDescent="0.25">
      <c r="A78" s="97">
        <v>71</v>
      </c>
      <c r="B78" s="89">
        <v>48.914000000000001</v>
      </c>
      <c r="C78" s="89">
        <v>44.228000000000002</v>
      </c>
      <c r="D78" s="89">
        <v>39.863</v>
      </c>
      <c r="E78" s="89">
        <v>35.811999999999998</v>
      </c>
      <c r="F78" s="89">
        <v>32.067999999999998</v>
      </c>
      <c r="G78" s="89">
        <v>28.626999999999999</v>
      </c>
      <c r="H78" s="89">
        <v>25.478000000000002</v>
      </c>
      <c r="I78" s="89">
        <v>22.614000000000001</v>
      </c>
      <c r="J78" s="89">
        <v>20.021000000000001</v>
      </c>
      <c r="K78" s="89">
        <v>17.686</v>
      </c>
      <c r="L78" s="89">
        <v>15.593</v>
      </c>
      <c r="M78" s="89">
        <v>13.723000000000001</v>
      </c>
      <c r="N78" s="89">
        <v>12.061</v>
      </c>
      <c r="O78" s="89">
        <v>10.592000000000001</v>
      </c>
      <c r="P78" s="89">
        <v>9.2959999999999994</v>
      </c>
      <c r="Q78" s="89">
        <v>8.157</v>
      </c>
      <c r="R78" s="89">
        <v>7.157</v>
      </c>
      <c r="S78" s="89">
        <v>6.2789999999999999</v>
      </c>
      <c r="T78" s="89">
        <v>5.51</v>
      </c>
      <c r="U78" s="89">
        <v>4.8369999999999997</v>
      </c>
      <c r="V78" s="89">
        <v>4.2469999999999999</v>
      </c>
      <c r="W78" s="89">
        <v>3.7330000000000001</v>
      </c>
      <c r="X78" s="89">
        <v>3.2839999999999998</v>
      </c>
      <c r="Y78" s="89">
        <v>2.8940000000000001</v>
      </c>
      <c r="Z78" s="89">
        <v>2.5529999999999999</v>
      </c>
      <c r="AA78" s="89">
        <v>2.2559999999999998</v>
      </c>
      <c r="AB78" s="89">
        <v>1.998</v>
      </c>
      <c r="AC78" s="89">
        <v>1.7729999999999999</v>
      </c>
      <c r="AD78" s="89">
        <v>1.5760000000000001</v>
      </c>
      <c r="AE78" s="89">
        <v>1.405</v>
      </c>
    </row>
    <row r="79" spans="1:31" x14ac:dyDescent="0.25">
      <c r="A79" s="97">
        <v>72</v>
      </c>
      <c r="B79" s="89">
        <v>54.533000000000001</v>
      </c>
      <c r="C79" s="89">
        <v>49.360999999999997</v>
      </c>
      <c r="D79" s="89">
        <v>44.533999999999999</v>
      </c>
      <c r="E79" s="89">
        <v>40.045000000000002</v>
      </c>
      <c r="F79" s="89">
        <v>35.887</v>
      </c>
      <c r="G79" s="89">
        <v>32.058</v>
      </c>
      <c r="H79" s="89">
        <v>28.545999999999999</v>
      </c>
      <c r="I79" s="89">
        <v>25.344999999999999</v>
      </c>
      <c r="J79" s="89">
        <v>22.443999999999999</v>
      </c>
      <c r="K79" s="89">
        <v>19.826000000000001</v>
      </c>
      <c r="L79" s="89">
        <v>17.475999999999999</v>
      </c>
      <c r="M79" s="89">
        <v>15.372999999999999</v>
      </c>
      <c r="N79" s="89">
        <v>13.503</v>
      </c>
      <c r="O79" s="89">
        <v>11.848000000000001</v>
      </c>
      <c r="P79" s="89">
        <v>10.388</v>
      </c>
      <c r="Q79" s="89">
        <v>9.1039999999999992</v>
      </c>
      <c r="R79" s="89">
        <v>7.976</v>
      </c>
      <c r="S79" s="89">
        <v>6.9859999999999998</v>
      </c>
      <c r="T79" s="89">
        <v>6.1189999999999998</v>
      </c>
      <c r="U79" s="89">
        <v>5.3609999999999998</v>
      </c>
      <c r="V79" s="89">
        <v>4.6970000000000001</v>
      </c>
      <c r="W79" s="89">
        <v>4.1180000000000003</v>
      </c>
      <c r="X79" s="89">
        <v>3.6139999999999999</v>
      </c>
      <c r="Y79" s="89">
        <v>3.1760000000000002</v>
      </c>
      <c r="Z79" s="89">
        <v>2.794</v>
      </c>
      <c r="AA79" s="89">
        <v>2.4630000000000001</v>
      </c>
      <c r="AB79" s="89">
        <v>2.1749999999999998</v>
      </c>
      <c r="AC79" s="89">
        <v>1.9239999999999999</v>
      </c>
      <c r="AD79" s="89">
        <v>1.706</v>
      </c>
      <c r="AE79" s="89">
        <v>1.5169999999999999</v>
      </c>
    </row>
    <row r="80" spans="1:31" x14ac:dyDescent="0.25">
      <c r="A80" s="97">
        <v>73</v>
      </c>
      <c r="B80" s="89">
        <v>60.923999999999999</v>
      </c>
      <c r="C80" s="89">
        <v>55.204000000000001</v>
      </c>
      <c r="D80" s="89">
        <v>49.854999999999997</v>
      </c>
      <c r="E80" s="89">
        <v>44.872</v>
      </c>
      <c r="F80" s="89">
        <v>40.247</v>
      </c>
      <c r="G80" s="89">
        <v>35.978999999999999</v>
      </c>
      <c r="H80" s="89">
        <v>32.057000000000002</v>
      </c>
      <c r="I80" s="89">
        <v>28.475000000000001</v>
      </c>
      <c r="J80" s="89">
        <v>25.222000000000001</v>
      </c>
      <c r="K80" s="89">
        <v>22.282</v>
      </c>
      <c r="L80" s="89">
        <v>19.638999999999999</v>
      </c>
      <c r="M80" s="89">
        <v>17.271000000000001</v>
      </c>
      <c r="N80" s="89">
        <v>15.163</v>
      </c>
      <c r="O80" s="89">
        <v>13.295</v>
      </c>
      <c r="P80" s="89">
        <v>11.646000000000001</v>
      </c>
      <c r="Q80" s="89">
        <v>10.195</v>
      </c>
      <c r="R80" s="89">
        <v>8.9209999999999994</v>
      </c>
      <c r="S80" s="89">
        <v>7.8019999999999996</v>
      </c>
      <c r="T80" s="89">
        <v>6.8220000000000001</v>
      </c>
      <c r="U80" s="89">
        <v>5.9649999999999999</v>
      </c>
      <c r="V80" s="89">
        <v>5.2149999999999999</v>
      </c>
      <c r="W80" s="89">
        <v>4.5609999999999999</v>
      </c>
      <c r="X80" s="89">
        <v>3.9929999999999999</v>
      </c>
      <c r="Y80" s="89">
        <v>3.5</v>
      </c>
      <c r="Z80" s="89">
        <v>3.0720000000000001</v>
      </c>
      <c r="AA80" s="89">
        <v>2.7</v>
      </c>
      <c r="AB80" s="89">
        <v>2.3780000000000001</v>
      </c>
      <c r="AC80" s="89">
        <v>2.0979999999999999</v>
      </c>
      <c r="AD80" s="89">
        <v>1.855</v>
      </c>
      <c r="AE80" s="89">
        <v>1.645</v>
      </c>
    </row>
    <row r="81" spans="1:31" x14ac:dyDescent="0.25">
      <c r="A81" s="97">
        <v>74</v>
      </c>
      <c r="B81" s="89">
        <v>68.215999999999994</v>
      </c>
      <c r="C81" s="89">
        <v>61.877000000000002</v>
      </c>
      <c r="D81" s="89">
        <v>55.94</v>
      </c>
      <c r="E81" s="89">
        <v>50.396999999999998</v>
      </c>
      <c r="F81" s="89">
        <v>45.241</v>
      </c>
      <c r="G81" s="89">
        <v>40.475000000000001</v>
      </c>
      <c r="H81" s="89">
        <v>36.085999999999999</v>
      </c>
      <c r="I81" s="89">
        <v>32.07</v>
      </c>
      <c r="J81" s="89">
        <v>28.417000000000002</v>
      </c>
      <c r="K81" s="89">
        <v>25.11</v>
      </c>
      <c r="L81" s="89">
        <v>22.132000000000001</v>
      </c>
      <c r="M81" s="89">
        <v>19.46</v>
      </c>
      <c r="N81" s="89">
        <v>17.077999999999999</v>
      </c>
      <c r="O81" s="89">
        <v>14.965999999999999</v>
      </c>
      <c r="P81" s="89">
        <v>13.1</v>
      </c>
      <c r="Q81" s="89">
        <v>11.458</v>
      </c>
      <c r="R81" s="89">
        <v>10.015000000000001</v>
      </c>
      <c r="S81" s="89">
        <v>8.7469999999999999</v>
      </c>
      <c r="T81" s="89">
        <v>7.6360000000000001</v>
      </c>
      <c r="U81" s="89">
        <v>6.665</v>
      </c>
      <c r="V81" s="89">
        <v>5.8150000000000004</v>
      </c>
      <c r="W81" s="89">
        <v>5.0750000000000002</v>
      </c>
      <c r="X81" s="89">
        <v>4.4320000000000004</v>
      </c>
      <c r="Y81" s="89">
        <v>3.875</v>
      </c>
      <c r="Z81" s="89">
        <v>3.391</v>
      </c>
      <c r="AA81" s="89">
        <v>2.9729999999999999</v>
      </c>
      <c r="AB81" s="89">
        <v>2.6110000000000002</v>
      </c>
      <c r="AC81" s="89">
        <v>2.2970000000000002</v>
      </c>
      <c r="AD81" s="89">
        <v>2.0259999999999998</v>
      </c>
      <c r="AE81" s="89">
        <v>1.792</v>
      </c>
    </row>
    <row r="82" spans="1:31" x14ac:dyDescent="0.25">
      <c r="A82" s="97">
        <v>75</v>
      </c>
      <c r="B82" s="89">
        <v>76.566999999999993</v>
      </c>
      <c r="C82" s="89">
        <v>69.525999999999996</v>
      </c>
      <c r="D82" s="89">
        <v>62.918999999999997</v>
      </c>
      <c r="E82" s="89">
        <v>56.741</v>
      </c>
      <c r="F82" s="89">
        <v>50.981999999999999</v>
      </c>
      <c r="G82" s="89">
        <v>45.646999999999998</v>
      </c>
      <c r="H82" s="89">
        <v>40.725999999999999</v>
      </c>
      <c r="I82" s="89">
        <v>36.213999999999999</v>
      </c>
      <c r="J82" s="89">
        <v>32.103000000000002</v>
      </c>
      <c r="K82" s="89">
        <v>28.373999999999999</v>
      </c>
      <c r="L82" s="89">
        <v>25.012</v>
      </c>
      <c r="M82" s="89">
        <v>21.991</v>
      </c>
      <c r="N82" s="89">
        <v>19.295000000000002</v>
      </c>
      <c r="O82" s="89">
        <v>16.902000000000001</v>
      </c>
      <c r="P82" s="89">
        <v>14.786</v>
      </c>
      <c r="Q82" s="89">
        <v>12.922000000000001</v>
      </c>
      <c r="R82" s="89">
        <v>11.284000000000001</v>
      </c>
      <c r="S82" s="89">
        <v>9.8439999999999994</v>
      </c>
      <c r="T82" s="89">
        <v>8.5820000000000007</v>
      </c>
      <c r="U82" s="89">
        <v>7.4770000000000003</v>
      </c>
      <c r="V82" s="89">
        <v>6.5119999999999996</v>
      </c>
      <c r="W82" s="89">
        <v>5.6710000000000003</v>
      </c>
      <c r="X82" s="89">
        <v>4.9409999999999998</v>
      </c>
      <c r="Y82" s="89">
        <v>4.3090000000000002</v>
      </c>
      <c r="Z82" s="89">
        <v>3.762</v>
      </c>
      <c r="AA82" s="89">
        <v>3.2879999999999998</v>
      </c>
      <c r="AB82" s="89">
        <v>2.88</v>
      </c>
      <c r="AC82" s="89">
        <v>2.5270000000000001</v>
      </c>
      <c r="AD82" s="89">
        <v>2.2229999999999999</v>
      </c>
      <c r="AE82" s="89">
        <v>1.96</v>
      </c>
    </row>
    <row r="83" spans="1:31" x14ac:dyDescent="0.25">
      <c r="A83" s="97">
        <v>76</v>
      </c>
      <c r="B83" s="89">
        <v>86.158000000000001</v>
      </c>
      <c r="C83" s="89">
        <v>78.316999999999993</v>
      </c>
      <c r="D83" s="89">
        <v>70.947999999999993</v>
      </c>
      <c r="E83" s="89">
        <v>64.043999999999997</v>
      </c>
      <c r="F83" s="89">
        <v>57.597000000000001</v>
      </c>
      <c r="G83" s="89">
        <v>51.613</v>
      </c>
      <c r="H83" s="89">
        <v>46.082000000000001</v>
      </c>
      <c r="I83" s="89">
        <v>41.002000000000002</v>
      </c>
      <c r="J83" s="89">
        <v>36.365000000000002</v>
      </c>
      <c r="K83" s="89">
        <v>32.152999999999999</v>
      </c>
      <c r="L83" s="89">
        <v>28.347999999999999</v>
      </c>
      <c r="M83" s="89">
        <v>24.925000000000001</v>
      </c>
      <c r="N83" s="89">
        <v>21.866</v>
      </c>
      <c r="O83" s="89">
        <v>19.148</v>
      </c>
      <c r="P83" s="89">
        <v>16.742999999999999</v>
      </c>
      <c r="Q83" s="89">
        <v>14.624000000000001</v>
      </c>
      <c r="R83" s="89">
        <v>12.759</v>
      </c>
      <c r="S83" s="89">
        <v>11.12</v>
      </c>
      <c r="T83" s="89">
        <v>9.6820000000000004</v>
      </c>
      <c r="U83" s="89">
        <v>8.423</v>
      </c>
      <c r="V83" s="89">
        <v>7.3230000000000004</v>
      </c>
      <c r="W83" s="89">
        <v>6.3639999999999999</v>
      </c>
      <c r="X83" s="89">
        <v>5.5330000000000004</v>
      </c>
      <c r="Y83" s="89">
        <v>4.8140000000000001</v>
      </c>
      <c r="Z83" s="89">
        <v>4.1920000000000002</v>
      </c>
      <c r="AA83" s="89">
        <v>3.6539999999999999</v>
      </c>
      <c r="AB83" s="89">
        <v>3.1920000000000002</v>
      </c>
      <c r="AC83" s="89">
        <v>2.7930000000000001</v>
      </c>
      <c r="AD83" s="89">
        <v>2.4500000000000002</v>
      </c>
      <c r="AE83" s="89">
        <v>2.1539999999999999</v>
      </c>
    </row>
    <row r="84" spans="1:31" x14ac:dyDescent="0.25">
      <c r="A84" s="97">
        <v>77</v>
      </c>
      <c r="B84" s="89">
        <v>97.21</v>
      </c>
      <c r="C84" s="89">
        <v>88.454999999999998</v>
      </c>
      <c r="D84" s="89">
        <v>80.213999999999999</v>
      </c>
      <c r="E84" s="89">
        <v>72.48</v>
      </c>
      <c r="F84" s="89">
        <v>65.244</v>
      </c>
      <c r="G84" s="89">
        <v>58.515999999999998</v>
      </c>
      <c r="H84" s="89">
        <v>52.283999999999999</v>
      </c>
      <c r="I84" s="89">
        <v>46.55</v>
      </c>
      <c r="J84" s="89">
        <v>41.308</v>
      </c>
      <c r="K84" s="89">
        <v>36.536999999999999</v>
      </c>
      <c r="L84" s="89">
        <v>32.222999999999999</v>
      </c>
      <c r="M84" s="89">
        <v>28.335000000000001</v>
      </c>
      <c r="N84" s="89">
        <v>24.856000000000002</v>
      </c>
      <c r="O84" s="89">
        <v>21.763000000000002</v>
      </c>
      <c r="P84" s="89">
        <v>19.023</v>
      </c>
      <c r="Q84" s="89">
        <v>16.606999999999999</v>
      </c>
      <c r="R84" s="89">
        <v>14.48</v>
      </c>
      <c r="S84" s="89">
        <v>12.608000000000001</v>
      </c>
      <c r="T84" s="89">
        <v>10.965999999999999</v>
      </c>
      <c r="U84" s="89">
        <v>9.5280000000000005</v>
      </c>
      <c r="V84" s="89">
        <v>8.27</v>
      </c>
      <c r="W84" s="89">
        <v>7.1740000000000004</v>
      </c>
      <c r="X84" s="89">
        <v>6.2240000000000002</v>
      </c>
      <c r="Y84" s="89">
        <v>5.4020000000000001</v>
      </c>
      <c r="Z84" s="89">
        <v>4.6929999999999996</v>
      </c>
      <c r="AA84" s="89">
        <v>4.0810000000000004</v>
      </c>
      <c r="AB84" s="89">
        <v>3.5550000000000002</v>
      </c>
      <c r="AC84" s="89">
        <v>3.1019999999999999</v>
      </c>
      <c r="AD84" s="89">
        <v>2.7130000000000001</v>
      </c>
      <c r="AE84" s="89">
        <v>2.379</v>
      </c>
    </row>
    <row r="85" spans="1:31" x14ac:dyDescent="0.25">
      <c r="A85" s="97">
        <v>78</v>
      </c>
      <c r="B85" s="89">
        <v>109.985</v>
      </c>
      <c r="C85" s="89">
        <v>100.182</v>
      </c>
      <c r="D85" s="89">
        <v>90.941000000000003</v>
      </c>
      <c r="E85" s="89">
        <v>82.254000000000005</v>
      </c>
      <c r="F85" s="89">
        <v>74.111000000000004</v>
      </c>
      <c r="G85" s="89">
        <v>66.525999999999996</v>
      </c>
      <c r="H85" s="89">
        <v>59.485999999999997</v>
      </c>
      <c r="I85" s="89">
        <v>52.997999999999998</v>
      </c>
      <c r="J85" s="89">
        <v>47.055999999999997</v>
      </c>
      <c r="K85" s="89">
        <v>41.640999999999998</v>
      </c>
      <c r="L85" s="89">
        <v>36.734999999999999</v>
      </c>
      <c r="M85" s="89">
        <v>32.308999999999997</v>
      </c>
      <c r="N85" s="89">
        <v>28.343</v>
      </c>
      <c r="O85" s="89">
        <v>24.814</v>
      </c>
      <c r="P85" s="89">
        <v>21.684999999999999</v>
      </c>
      <c r="Q85" s="89">
        <v>18.923999999999999</v>
      </c>
      <c r="R85" s="89">
        <v>16.492000000000001</v>
      </c>
      <c r="S85" s="89">
        <v>14.35</v>
      </c>
      <c r="T85" s="89">
        <v>12.468999999999999</v>
      </c>
      <c r="U85" s="89">
        <v>10.821</v>
      </c>
      <c r="V85" s="89">
        <v>9.3789999999999996</v>
      </c>
      <c r="W85" s="89">
        <v>8.1219999999999999</v>
      </c>
      <c r="X85" s="89">
        <v>7.032</v>
      </c>
      <c r="Y85" s="89">
        <v>6.0910000000000002</v>
      </c>
      <c r="Z85" s="89">
        <v>5.2779999999999996</v>
      </c>
      <c r="AA85" s="89">
        <v>4.5780000000000003</v>
      </c>
      <c r="AB85" s="89">
        <v>3.9780000000000002</v>
      </c>
      <c r="AC85" s="89">
        <v>3.4620000000000002</v>
      </c>
      <c r="AD85" s="89">
        <v>3.0190000000000001</v>
      </c>
      <c r="AE85" s="89">
        <v>2.64</v>
      </c>
    </row>
    <row r="86" spans="1:31" x14ac:dyDescent="0.25">
      <c r="A86" s="97">
        <v>79</v>
      </c>
      <c r="B86" s="89">
        <v>124.789</v>
      </c>
      <c r="C86" s="89">
        <v>113.78</v>
      </c>
      <c r="D86" s="89">
        <v>103.389</v>
      </c>
      <c r="E86" s="89">
        <v>93.605000000000004</v>
      </c>
      <c r="F86" s="89">
        <v>84.415999999999997</v>
      </c>
      <c r="G86" s="89">
        <v>75.841999999999999</v>
      </c>
      <c r="H86" s="89">
        <v>67.87</v>
      </c>
      <c r="I86" s="89">
        <v>60.508000000000003</v>
      </c>
      <c r="J86" s="89">
        <v>53.756</v>
      </c>
      <c r="K86" s="89">
        <v>47.591999999999999</v>
      </c>
      <c r="L86" s="89">
        <v>42.000999999999998</v>
      </c>
      <c r="M86" s="89">
        <v>36.948</v>
      </c>
      <c r="N86" s="89">
        <v>32.417000000000002</v>
      </c>
      <c r="O86" s="89">
        <v>28.38</v>
      </c>
      <c r="P86" s="89">
        <v>24.798999999999999</v>
      </c>
      <c r="Q86" s="89">
        <v>21.635999999999999</v>
      </c>
      <c r="R86" s="89">
        <v>18.847999999999999</v>
      </c>
      <c r="S86" s="89">
        <v>16.390999999999998</v>
      </c>
      <c r="T86" s="89">
        <v>14.231</v>
      </c>
      <c r="U86" s="89">
        <v>12.337</v>
      </c>
      <c r="V86" s="89">
        <v>10.68</v>
      </c>
      <c r="W86" s="89">
        <v>9.2330000000000005</v>
      </c>
      <c r="X86" s="89">
        <v>7.98</v>
      </c>
      <c r="Y86" s="89">
        <v>6.8979999999999997</v>
      </c>
      <c r="Z86" s="89">
        <v>5.9640000000000004</v>
      </c>
      <c r="AA86" s="89">
        <v>5.1609999999999996</v>
      </c>
      <c r="AB86" s="89">
        <v>4.4729999999999999</v>
      </c>
      <c r="AC86" s="89">
        <v>3.8820000000000001</v>
      </c>
      <c r="AD86" s="89">
        <v>3.3759999999999999</v>
      </c>
      <c r="AE86" s="89">
        <v>2.944</v>
      </c>
    </row>
    <row r="87" spans="1:31" x14ac:dyDescent="0.25">
      <c r="A87" s="97">
        <v>80</v>
      </c>
      <c r="B87" s="89">
        <v>141.97800000000001</v>
      </c>
      <c r="C87" s="89">
        <v>129.58000000000001</v>
      </c>
      <c r="D87" s="89">
        <v>117.863</v>
      </c>
      <c r="E87" s="89">
        <v>106.813</v>
      </c>
      <c r="F87" s="89">
        <v>96.415999999999997</v>
      </c>
      <c r="G87" s="89">
        <v>86.698999999999998</v>
      </c>
      <c r="H87" s="89">
        <v>77.644999999999996</v>
      </c>
      <c r="I87" s="89">
        <v>69.272000000000006</v>
      </c>
      <c r="J87" s="89">
        <v>61.579000000000001</v>
      </c>
      <c r="K87" s="89">
        <v>54.545000000000002</v>
      </c>
      <c r="L87" s="89">
        <v>48.155999999999999</v>
      </c>
      <c r="M87" s="89">
        <v>42.374000000000002</v>
      </c>
      <c r="N87" s="89">
        <v>37.183</v>
      </c>
      <c r="O87" s="89">
        <v>32.554000000000002</v>
      </c>
      <c r="P87" s="89">
        <v>28.446000000000002</v>
      </c>
      <c r="Q87" s="89">
        <v>24.815000000000001</v>
      </c>
      <c r="R87" s="89">
        <v>21.611999999999998</v>
      </c>
      <c r="S87" s="89">
        <v>18.786000000000001</v>
      </c>
      <c r="T87" s="89">
        <v>16.300999999999998</v>
      </c>
      <c r="U87" s="89">
        <v>14.119</v>
      </c>
      <c r="V87" s="89">
        <v>12.208</v>
      </c>
      <c r="W87" s="89">
        <v>10.539</v>
      </c>
      <c r="X87" s="89">
        <v>9.093</v>
      </c>
      <c r="Y87" s="89">
        <v>7.8449999999999998</v>
      </c>
      <c r="Z87" s="89">
        <v>6.7690000000000001</v>
      </c>
      <c r="AA87" s="89">
        <v>5.843</v>
      </c>
      <c r="AB87" s="89">
        <v>5.0519999999999996</v>
      </c>
      <c r="AC87" s="89">
        <v>4.3739999999999997</v>
      </c>
      <c r="AD87" s="89">
        <v>3.794</v>
      </c>
      <c r="AE87" s="89">
        <v>3.2989999999999999</v>
      </c>
    </row>
    <row r="88" spans="1:31" x14ac:dyDescent="0.25">
      <c r="A88" s="97">
        <v>81</v>
      </c>
      <c r="B88" s="89">
        <v>161.994</v>
      </c>
      <c r="C88" s="89">
        <v>147.988</v>
      </c>
      <c r="D88" s="89">
        <v>134.73699999999999</v>
      </c>
      <c r="E88" s="89">
        <v>122.223</v>
      </c>
      <c r="F88" s="89">
        <v>110.428</v>
      </c>
      <c r="G88" s="89">
        <v>99.384</v>
      </c>
      <c r="H88" s="89">
        <v>89.075000000000003</v>
      </c>
      <c r="I88" s="89">
        <v>79.524000000000001</v>
      </c>
      <c r="J88" s="89">
        <v>70.736000000000004</v>
      </c>
      <c r="K88" s="89">
        <v>62.688000000000002</v>
      </c>
      <c r="L88" s="89">
        <v>55.368000000000002</v>
      </c>
      <c r="M88" s="89">
        <v>48.734000000000002</v>
      </c>
      <c r="N88" s="89">
        <v>42.771999999999998</v>
      </c>
      <c r="O88" s="89">
        <v>37.451999999999998</v>
      </c>
      <c r="P88" s="89">
        <v>32.726999999999997</v>
      </c>
      <c r="Q88" s="89">
        <v>28.547999999999998</v>
      </c>
      <c r="R88" s="89">
        <v>24.86</v>
      </c>
      <c r="S88" s="89">
        <v>21.603000000000002</v>
      </c>
      <c r="T88" s="89">
        <v>18.736000000000001</v>
      </c>
      <c r="U88" s="89">
        <v>16.216000000000001</v>
      </c>
      <c r="V88" s="89">
        <v>14.007</v>
      </c>
      <c r="W88" s="89">
        <v>12.077</v>
      </c>
      <c r="X88" s="89">
        <v>10.403</v>
      </c>
      <c r="Y88" s="89">
        <v>8.9589999999999996</v>
      </c>
      <c r="Z88" s="89">
        <v>7.7149999999999999</v>
      </c>
      <c r="AA88" s="89">
        <v>6.6459999999999999</v>
      </c>
      <c r="AB88" s="89">
        <v>5.7329999999999997</v>
      </c>
      <c r="AC88" s="89">
        <v>4.9509999999999996</v>
      </c>
      <c r="AD88" s="89">
        <v>4.2830000000000004</v>
      </c>
      <c r="AE88" s="89">
        <v>3.714</v>
      </c>
    </row>
    <row r="89" spans="1:31" x14ac:dyDescent="0.25">
      <c r="A89" s="97">
        <v>82</v>
      </c>
      <c r="B89" s="89">
        <v>185.37700000000001</v>
      </c>
      <c r="C89" s="89">
        <v>169.50399999999999</v>
      </c>
      <c r="D89" s="89">
        <v>154.47399999999999</v>
      </c>
      <c r="E89" s="89">
        <v>140.26</v>
      </c>
      <c r="F89" s="89">
        <v>126.839</v>
      </c>
      <c r="G89" s="89">
        <v>114.253</v>
      </c>
      <c r="H89" s="89">
        <v>102.48099999999999</v>
      </c>
      <c r="I89" s="89">
        <v>91.555999999999997</v>
      </c>
      <c r="J89" s="89">
        <v>81.488</v>
      </c>
      <c r="K89" s="89">
        <v>72.254000000000005</v>
      </c>
      <c r="L89" s="89">
        <v>63.844000000000001</v>
      </c>
      <c r="M89" s="89">
        <v>56.212000000000003</v>
      </c>
      <c r="N89" s="89">
        <v>49.345999999999997</v>
      </c>
      <c r="O89" s="89">
        <v>43.215000000000003</v>
      </c>
      <c r="P89" s="89">
        <v>37.767000000000003</v>
      </c>
      <c r="Q89" s="89">
        <v>32.945999999999998</v>
      </c>
      <c r="R89" s="89">
        <v>28.689</v>
      </c>
      <c r="S89" s="89">
        <v>24.925000000000001</v>
      </c>
      <c r="T89" s="89">
        <v>21.609000000000002</v>
      </c>
      <c r="U89" s="89">
        <v>18.692</v>
      </c>
      <c r="V89" s="89">
        <v>16.132000000000001</v>
      </c>
      <c r="W89" s="89">
        <v>13.891999999999999</v>
      </c>
      <c r="X89" s="89">
        <v>11.95</v>
      </c>
      <c r="Y89" s="89">
        <v>10.273999999999999</v>
      </c>
      <c r="Z89" s="89">
        <v>8.8309999999999995</v>
      </c>
      <c r="AA89" s="89">
        <v>7.5910000000000002</v>
      </c>
      <c r="AB89" s="89">
        <v>6.5339999999999998</v>
      </c>
      <c r="AC89" s="89">
        <v>5.63</v>
      </c>
      <c r="AD89" s="89">
        <v>4.8579999999999997</v>
      </c>
      <c r="AE89" s="89">
        <v>4.202</v>
      </c>
    </row>
    <row r="90" spans="1:31" x14ac:dyDescent="0.25">
      <c r="A90" s="97">
        <v>83</v>
      </c>
      <c r="B90" s="89">
        <v>212.78100000000001</v>
      </c>
      <c r="C90" s="89">
        <v>194.733</v>
      </c>
      <c r="D90" s="89">
        <v>177.62899999999999</v>
      </c>
      <c r="E90" s="89">
        <v>161.435</v>
      </c>
      <c r="F90" s="89">
        <v>146.12</v>
      </c>
      <c r="G90" s="89">
        <v>131.733</v>
      </c>
      <c r="H90" s="89">
        <v>118.252</v>
      </c>
      <c r="I90" s="89">
        <v>105.718</v>
      </c>
      <c r="J90" s="89">
        <v>94.15</v>
      </c>
      <c r="K90" s="89">
        <v>83.524000000000001</v>
      </c>
      <c r="L90" s="89">
        <v>73.834000000000003</v>
      </c>
      <c r="M90" s="89">
        <v>65.028000000000006</v>
      </c>
      <c r="N90" s="89">
        <v>57.098999999999997</v>
      </c>
      <c r="O90" s="89">
        <v>50.014000000000003</v>
      </c>
      <c r="P90" s="89">
        <v>43.713999999999999</v>
      </c>
      <c r="Q90" s="89">
        <v>38.137999999999998</v>
      </c>
      <c r="R90" s="89">
        <v>33.212000000000003</v>
      </c>
      <c r="S90" s="89">
        <v>28.853000000000002</v>
      </c>
      <c r="T90" s="89">
        <v>25.009</v>
      </c>
      <c r="U90" s="89">
        <v>21.623000000000001</v>
      </c>
      <c r="V90" s="89">
        <v>18.648</v>
      </c>
      <c r="W90" s="89">
        <v>16.042000000000002</v>
      </c>
      <c r="X90" s="89">
        <v>13.781000000000001</v>
      </c>
      <c r="Y90" s="89">
        <v>11.831</v>
      </c>
      <c r="Z90" s="89">
        <v>10.151</v>
      </c>
      <c r="AA90" s="89">
        <v>8.7089999999999996</v>
      </c>
      <c r="AB90" s="89">
        <v>7.4809999999999999</v>
      </c>
      <c r="AC90" s="89">
        <v>6.431</v>
      </c>
      <c r="AD90" s="89">
        <v>5.5369999999999999</v>
      </c>
      <c r="AE90" s="89">
        <v>4.7770000000000001</v>
      </c>
    </row>
    <row r="91" spans="1:31" x14ac:dyDescent="0.25">
      <c r="A91" s="97">
        <v>84</v>
      </c>
      <c r="B91" s="89">
        <v>245.023</v>
      </c>
      <c r="C91" s="89">
        <v>224.42699999999999</v>
      </c>
      <c r="D91" s="89">
        <v>204.898</v>
      </c>
      <c r="E91" s="89">
        <v>186.38800000000001</v>
      </c>
      <c r="F91" s="89">
        <v>168.85499999999999</v>
      </c>
      <c r="G91" s="89">
        <v>152.36000000000001</v>
      </c>
      <c r="H91" s="89">
        <v>136.87299999999999</v>
      </c>
      <c r="I91" s="89">
        <v>122.45</v>
      </c>
      <c r="J91" s="89">
        <v>109.117</v>
      </c>
      <c r="K91" s="89">
        <v>96.850999999999999</v>
      </c>
      <c r="L91" s="89">
        <v>85.650999999999996</v>
      </c>
      <c r="M91" s="89">
        <v>75.459000000000003</v>
      </c>
      <c r="N91" s="89">
        <v>66.272999999999996</v>
      </c>
      <c r="O91" s="89">
        <v>58.061</v>
      </c>
      <c r="P91" s="89">
        <v>50.756999999999998</v>
      </c>
      <c r="Q91" s="89">
        <v>44.29</v>
      </c>
      <c r="R91" s="89">
        <v>38.573999999999998</v>
      </c>
      <c r="S91" s="89">
        <v>33.512</v>
      </c>
      <c r="T91" s="89">
        <v>29.042999999999999</v>
      </c>
      <c r="U91" s="89">
        <v>25.103000000000002</v>
      </c>
      <c r="V91" s="89">
        <v>21.635999999999999</v>
      </c>
      <c r="W91" s="89">
        <v>18.596</v>
      </c>
      <c r="X91" s="89">
        <v>15.956</v>
      </c>
      <c r="Y91" s="89">
        <v>13.679</v>
      </c>
      <c r="Z91" s="89">
        <v>11.717000000000001</v>
      </c>
      <c r="AA91" s="89">
        <v>10.035</v>
      </c>
      <c r="AB91" s="89">
        <v>8.6029999999999998</v>
      </c>
      <c r="AC91" s="89">
        <v>7.38</v>
      </c>
      <c r="AD91" s="89">
        <v>6.34</v>
      </c>
      <c r="AE91" s="89">
        <v>5.4569999999999999</v>
      </c>
    </row>
    <row r="92" spans="1:31" x14ac:dyDescent="0.25">
      <c r="A92" s="97">
        <v>85</v>
      </c>
      <c r="B92" s="89">
        <v>283.02499999999998</v>
      </c>
      <c r="C92" s="89">
        <v>259.43900000000002</v>
      </c>
      <c r="D92" s="89">
        <v>237.066</v>
      </c>
      <c r="E92" s="89">
        <v>215.84200000000001</v>
      </c>
      <c r="F92" s="89">
        <v>195.709</v>
      </c>
      <c r="G92" s="89">
        <v>176.74</v>
      </c>
      <c r="H92" s="89">
        <v>158.89699999999999</v>
      </c>
      <c r="I92" s="89">
        <v>142.25200000000001</v>
      </c>
      <c r="J92" s="89">
        <v>126.839</v>
      </c>
      <c r="K92" s="89">
        <v>112.637</v>
      </c>
      <c r="L92" s="89">
        <v>99.653000000000006</v>
      </c>
      <c r="M92" s="89">
        <v>87.822000000000003</v>
      </c>
      <c r="N92" s="89">
        <v>77.149000000000001</v>
      </c>
      <c r="O92" s="89">
        <v>67.602999999999994</v>
      </c>
      <c r="P92" s="89">
        <v>59.109000000000002</v>
      </c>
      <c r="Q92" s="89">
        <v>51.588999999999999</v>
      </c>
      <c r="R92" s="89">
        <v>44.939</v>
      </c>
      <c r="S92" s="89">
        <v>39.045999999999999</v>
      </c>
      <c r="T92" s="89">
        <v>33.838999999999999</v>
      </c>
      <c r="U92" s="89">
        <v>29.242000000000001</v>
      </c>
      <c r="V92" s="89">
        <v>25.190999999999999</v>
      </c>
      <c r="W92" s="89">
        <v>21.634</v>
      </c>
      <c r="X92" s="89">
        <v>18.544</v>
      </c>
      <c r="Y92" s="89">
        <v>15.877000000000001</v>
      </c>
      <c r="Z92" s="89">
        <v>13.579000000000001</v>
      </c>
      <c r="AA92" s="89">
        <v>11.61</v>
      </c>
      <c r="AB92" s="89">
        <v>9.9359999999999999</v>
      </c>
      <c r="AC92" s="89">
        <v>8.5060000000000002</v>
      </c>
      <c r="AD92" s="89">
        <v>7.2910000000000004</v>
      </c>
      <c r="AE92" s="89">
        <v>6.2619999999999996</v>
      </c>
    </row>
  </sheetData>
  <sheetProtection algorithmName="SHA-512" hashValue="DiCFlgoOfV3ty8knOkbpMJledBpbHH7P9MX1lhQZVtUpDXW8xIgYGIXOXdUiTC/EarVbHZxHKOW6jm6w5OVcgA==" saltValue="dq5AXU2pNjD16V72t4HA2w==" spinCount="100000" sheet="1" objects="1" scenarios="1"/>
  <conditionalFormatting sqref="A6:A21">
    <cfRule type="expression" dxfId="149" priority="5" stopIfTrue="1">
      <formula>MOD(ROW(),2)=0</formula>
    </cfRule>
    <cfRule type="expression" dxfId="148" priority="6" stopIfTrue="1">
      <formula>MOD(ROW(),2)&lt;&gt;0</formula>
    </cfRule>
  </conditionalFormatting>
  <conditionalFormatting sqref="A27:A92">
    <cfRule type="expression" dxfId="147" priority="25" stopIfTrue="1">
      <formula>MOD(ROW(),2)=0</formula>
    </cfRule>
    <cfRule type="expression" dxfId="146" priority="26" stopIfTrue="1">
      <formula>MOD(ROW(),2)&lt;&gt;0</formula>
    </cfRule>
  </conditionalFormatting>
  <conditionalFormatting sqref="B18:B21">
    <cfRule type="expression" dxfId="145" priority="1" stopIfTrue="1">
      <formula>MOD(ROW(),2)=0</formula>
    </cfRule>
    <cfRule type="expression" dxfId="144" priority="2" stopIfTrue="1">
      <formula>MOD(ROW(),2)&lt;&gt;0</formula>
    </cfRule>
  </conditionalFormatting>
  <conditionalFormatting sqref="B6:AE21">
    <cfRule type="expression" dxfId="143" priority="37" stopIfTrue="1">
      <formula>MOD(ROW(),2)=0</formula>
    </cfRule>
    <cfRule type="expression" dxfId="142" priority="38" stopIfTrue="1">
      <formula>MOD(ROW(),2)&lt;&gt;0</formula>
    </cfRule>
  </conditionalFormatting>
  <conditionalFormatting sqref="B26:AE92">
    <cfRule type="expression" dxfId="141" priority="21" stopIfTrue="1">
      <formula>MOD(ROW(),2)=0</formula>
    </cfRule>
    <cfRule type="expression" dxfId="140" priority="22" stopIfTrue="1">
      <formula>MOD(ROW(),2)&lt;&gt;0</formula>
    </cfRule>
  </conditionalFormatting>
  <conditionalFormatting sqref="C6:AE21">
    <cfRule type="expression" dxfId="139" priority="3" stopIfTrue="1">
      <formula>MOD(ROW(),2)=0</formula>
    </cfRule>
    <cfRule type="expression" dxfId="138" priority="4" stopIfTrue="1">
      <formula>MOD(ROW(),2)&lt;&gt;0</formula>
    </cfRule>
  </conditionalFormatting>
  <hyperlinks>
    <hyperlink ref="B24" location="Sheet1!A1" display="Assumptions" xr:uid="{FAA6D099-0315-458B-9AFE-E55A1DA717A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29"/>
  <dimension ref="A1:AE92"/>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31" ht="21" x14ac:dyDescent="0.4">
      <c r="A1" s="39" t="s">
        <v>0</v>
      </c>
      <c r="B1" s="40"/>
      <c r="C1" s="40"/>
      <c r="D1" s="40"/>
      <c r="E1" s="40"/>
      <c r="F1" s="40"/>
      <c r="G1" s="40"/>
      <c r="H1" s="40"/>
      <c r="I1" s="40"/>
    </row>
    <row r="2" spans="1:31"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31" ht="15.6" x14ac:dyDescent="0.3">
      <c r="A3" s="43" t="str">
        <f>TABLE_FACTOR_TYPE_1&amp;" - x-"&amp;TABLE_SERIES_NUMBER_1</f>
        <v>Allocation - x-806</v>
      </c>
      <c r="B3" s="42"/>
      <c r="C3" s="42"/>
      <c r="D3" s="42"/>
      <c r="E3" s="42"/>
      <c r="F3" s="42"/>
      <c r="G3" s="42"/>
      <c r="H3" s="42"/>
      <c r="I3" s="42"/>
    </row>
    <row r="4" spans="1:31" x14ac:dyDescent="0.25">
      <c r="A4" s="44"/>
    </row>
    <row r="6" spans="1:31" x14ac:dyDescent="0.25">
      <c r="A6" s="87" t="s">
        <v>290</v>
      </c>
      <c r="B6" s="185" t="s">
        <v>291</v>
      </c>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row>
    <row r="7" spans="1:31" x14ac:dyDescent="0.25">
      <c r="A7" s="81" t="s">
        <v>804</v>
      </c>
      <c r="B7" s="185" t="s">
        <v>345</v>
      </c>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row>
    <row r="8" spans="1:31" x14ac:dyDescent="0.25">
      <c r="A8" s="81" t="s">
        <v>805</v>
      </c>
      <c r="B8" s="185" t="s">
        <v>643</v>
      </c>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row>
    <row r="9" spans="1:31" x14ac:dyDescent="0.25">
      <c r="A9" s="81" t="s">
        <v>296</v>
      </c>
      <c r="B9" s="185" t="s">
        <v>688</v>
      </c>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row>
    <row r="10" spans="1:31" x14ac:dyDescent="0.25">
      <c r="A10" s="81" t="s">
        <v>6</v>
      </c>
      <c r="B10" s="185" t="s">
        <v>705</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row>
    <row r="11" spans="1:31" x14ac:dyDescent="0.25">
      <c r="A11" s="81" t="s">
        <v>299</v>
      </c>
      <c r="B11" s="185" t="s">
        <v>409</v>
      </c>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row>
    <row r="12" spans="1:31" x14ac:dyDescent="0.25">
      <c r="A12" s="81" t="s">
        <v>301</v>
      </c>
      <c r="B12" s="185" t="s">
        <v>690</v>
      </c>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row>
    <row r="13" spans="1:31" x14ac:dyDescent="0.25">
      <c r="A13" s="81" t="s">
        <v>303</v>
      </c>
      <c r="B13" s="185">
        <v>1</v>
      </c>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row>
    <row r="14" spans="1:31" x14ac:dyDescent="0.25">
      <c r="A14" s="81" t="s">
        <v>305</v>
      </c>
      <c r="B14" s="185">
        <v>806</v>
      </c>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row>
    <row r="15" spans="1:31" x14ac:dyDescent="0.25">
      <c r="A15" s="81" t="s">
        <v>307</v>
      </c>
      <c r="B15" s="185" t="s">
        <v>706</v>
      </c>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row>
    <row r="16" spans="1:31" x14ac:dyDescent="0.25">
      <c r="A16" s="81" t="s">
        <v>309</v>
      </c>
      <c r="B16" s="185" t="s">
        <v>707</v>
      </c>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row>
    <row r="17" spans="1:31" x14ac:dyDescent="0.25">
      <c r="A17" s="81" t="s">
        <v>803</v>
      </c>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row>
    <row r="18" spans="1:31" x14ac:dyDescent="0.25">
      <c r="A18" s="81" t="s">
        <v>313</v>
      </c>
      <c r="B18" s="188">
        <v>45184</v>
      </c>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row>
    <row r="19" spans="1:31" x14ac:dyDescent="0.25">
      <c r="A19" s="81" t="s">
        <v>315</v>
      </c>
      <c r="B19" s="188"/>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row>
    <row r="20" spans="1:31" x14ac:dyDescent="0.25">
      <c r="A20" s="81" t="s">
        <v>317</v>
      </c>
      <c r="B20" s="185" t="s">
        <v>331</v>
      </c>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row>
    <row r="21" spans="1:31" x14ac:dyDescent="0.25">
      <c r="A21" s="77" t="s">
        <v>323</v>
      </c>
      <c r="B21" s="185" t="s">
        <v>332</v>
      </c>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row>
    <row r="23" spans="1:31" x14ac:dyDescent="0.25">
      <c r="B23" s="102" t="str">
        <f>HYPERLINK("#'Factor List'!A1","Back to Factor List")</f>
        <v>Back to Factor List</v>
      </c>
    </row>
    <row r="24" spans="1:31" x14ac:dyDescent="0.25">
      <c r="B24" s="102" t="s">
        <v>13</v>
      </c>
    </row>
    <row r="25" spans="1:31" x14ac:dyDescent="0.25">
      <c r="B25" s="102"/>
    </row>
    <row r="26" spans="1:31" x14ac:dyDescent="0.25">
      <c r="A26" s="178" t="s">
        <v>972</v>
      </c>
      <c r="B26" s="83">
        <v>50</v>
      </c>
      <c r="C26" s="83">
        <v>51</v>
      </c>
      <c r="D26" s="83">
        <v>52</v>
      </c>
      <c r="E26" s="83">
        <v>53</v>
      </c>
      <c r="F26" s="83">
        <v>54</v>
      </c>
      <c r="G26" s="83">
        <v>55</v>
      </c>
      <c r="H26" s="83">
        <v>56</v>
      </c>
      <c r="I26" s="83">
        <v>57</v>
      </c>
      <c r="J26" s="83">
        <v>58</v>
      </c>
      <c r="K26" s="83">
        <v>59</v>
      </c>
      <c r="L26" s="83">
        <v>60</v>
      </c>
      <c r="M26" s="83">
        <v>61</v>
      </c>
      <c r="N26" s="83">
        <v>62</v>
      </c>
      <c r="O26" s="83">
        <v>63</v>
      </c>
      <c r="P26" s="83">
        <v>64</v>
      </c>
      <c r="Q26" s="83">
        <v>65</v>
      </c>
      <c r="R26" s="83">
        <v>66</v>
      </c>
      <c r="S26" s="83">
        <v>67</v>
      </c>
      <c r="T26" s="83">
        <v>68</v>
      </c>
      <c r="U26" s="83">
        <v>69</v>
      </c>
      <c r="V26" s="83">
        <v>70</v>
      </c>
      <c r="W26" s="83">
        <v>71</v>
      </c>
      <c r="X26" s="83">
        <v>72</v>
      </c>
      <c r="Y26" s="83">
        <v>73</v>
      </c>
      <c r="Z26" s="83">
        <v>74</v>
      </c>
      <c r="AA26" s="83">
        <v>75</v>
      </c>
      <c r="AB26" s="83">
        <v>76</v>
      </c>
      <c r="AC26" s="83">
        <v>77</v>
      </c>
      <c r="AD26" s="83">
        <v>78</v>
      </c>
      <c r="AE26" s="83">
        <v>79</v>
      </c>
    </row>
    <row r="27" spans="1:31" x14ac:dyDescent="0.25">
      <c r="A27" s="97">
        <v>20</v>
      </c>
      <c r="B27" s="96">
        <v>2.3130000000000002</v>
      </c>
      <c r="C27" s="96">
        <v>2.173</v>
      </c>
      <c r="D27" s="96">
        <v>2.0419999999999998</v>
      </c>
      <c r="E27" s="96">
        <v>1.92</v>
      </c>
      <c r="F27" s="96">
        <v>1.8049999999999999</v>
      </c>
      <c r="G27" s="96">
        <v>1.6970000000000001</v>
      </c>
      <c r="H27" s="96">
        <v>1.5960000000000001</v>
      </c>
      <c r="I27" s="96">
        <v>1.5009999999999999</v>
      </c>
      <c r="J27" s="96">
        <v>1.411</v>
      </c>
      <c r="K27" s="96">
        <v>1.327</v>
      </c>
      <c r="L27" s="96">
        <v>1.2470000000000001</v>
      </c>
      <c r="M27" s="96">
        <v>1.1719999999999999</v>
      </c>
      <c r="N27" s="96">
        <v>1.1020000000000001</v>
      </c>
      <c r="O27" s="96">
        <v>1.0349999999999999</v>
      </c>
      <c r="P27" s="96">
        <v>0.97199999999999998</v>
      </c>
      <c r="Q27" s="96">
        <v>0.91200000000000003</v>
      </c>
      <c r="R27" s="96">
        <v>0.85599999999999998</v>
      </c>
      <c r="S27" s="96">
        <v>0.80200000000000005</v>
      </c>
      <c r="T27" s="96">
        <v>0.752</v>
      </c>
      <c r="U27" s="96">
        <v>0.70399999999999996</v>
      </c>
      <c r="V27" s="96">
        <v>0.65900000000000003</v>
      </c>
      <c r="W27" s="96">
        <v>0.61499999999999999</v>
      </c>
      <c r="X27" s="96">
        <v>0.57499999999999996</v>
      </c>
      <c r="Y27" s="96">
        <v>0.53700000000000003</v>
      </c>
      <c r="Z27" s="96">
        <v>0.501</v>
      </c>
      <c r="AA27" s="96">
        <v>0.46700000000000003</v>
      </c>
      <c r="AB27" s="96">
        <v>0.436</v>
      </c>
      <c r="AC27" s="96">
        <v>0.40600000000000003</v>
      </c>
      <c r="AD27" s="96">
        <v>0.378</v>
      </c>
      <c r="AE27" s="96">
        <v>0.35199999999999998</v>
      </c>
    </row>
    <row r="28" spans="1:31" x14ac:dyDescent="0.25">
      <c r="A28" s="97">
        <v>21</v>
      </c>
      <c r="B28" s="89">
        <v>2.3780000000000001</v>
      </c>
      <c r="C28" s="89">
        <v>2.2320000000000002</v>
      </c>
      <c r="D28" s="89">
        <v>2.0960000000000001</v>
      </c>
      <c r="E28" s="89">
        <v>1.968</v>
      </c>
      <c r="F28" s="89">
        <v>1.849</v>
      </c>
      <c r="G28" s="89">
        <v>1.7370000000000001</v>
      </c>
      <c r="H28" s="89">
        <v>1.6319999999999999</v>
      </c>
      <c r="I28" s="89">
        <v>1.534</v>
      </c>
      <c r="J28" s="89">
        <v>1.4410000000000001</v>
      </c>
      <c r="K28" s="89">
        <v>1.3540000000000001</v>
      </c>
      <c r="L28" s="89">
        <v>1.2729999999999999</v>
      </c>
      <c r="M28" s="89">
        <v>1.1950000000000001</v>
      </c>
      <c r="N28" s="89">
        <v>1.123</v>
      </c>
      <c r="O28" s="89">
        <v>1.054</v>
      </c>
      <c r="P28" s="89">
        <v>0.99</v>
      </c>
      <c r="Q28" s="89">
        <v>0.92800000000000005</v>
      </c>
      <c r="R28" s="89">
        <v>0.871</v>
      </c>
      <c r="S28" s="89">
        <v>0.81599999999999995</v>
      </c>
      <c r="T28" s="89">
        <v>0.76400000000000001</v>
      </c>
      <c r="U28" s="89">
        <v>0.71499999999999997</v>
      </c>
      <c r="V28" s="89">
        <v>0.66900000000000004</v>
      </c>
      <c r="W28" s="89">
        <v>0.625</v>
      </c>
      <c r="X28" s="89">
        <v>0.58299999999999996</v>
      </c>
      <c r="Y28" s="89">
        <v>0.54500000000000004</v>
      </c>
      <c r="Z28" s="89">
        <v>0.50800000000000001</v>
      </c>
      <c r="AA28" s="89">
        <v>0.47399999999999998</v>
      </c>
      <c r="AB28" s="89">
        <v>0.442</v>
      </c>
      <c r="AC28" s="89">
        <v>0.41099999999999998</v>
      </c>
      <c r="AD28" s="89">
        <v>0.38300000000000001</v>
      </c>
      <c r="AE28" s="89">
        <v>0.35699999999999998</v>
      </c>
    </row>
    <row r="29" spans="1:31" x14ac:dyDescent="0.25">
      <c r="A29" s="97">
        <v>22</v>
      </c>
      <c r="B29" s="89">
        <v>2.4470000000000001</v>
      </c>
      <c r="C29" s="89">
        <v>2.2949999999999999</v>
      </c>
      <c r="D29" s="89">
        <v>2.153</v>
      </c>
      <c r="E29" s="89">
        <v>2.02</v>
      </c>
      <c r="F29" s="89">
        <v>1.8959999999999999</v>
      </c>
      <c r="G29" s="89">
        <v>1.78</v>
      </c>
      <c r="H29" s="89">
        <v>1.671</v>
      </c>
      <c r="I29" s="89">
        <v>1.569</v>
      </c>
      <c r="J29" s="89">
        <v>1.474</v>
      </c>
      <c r="K29" s="89">
        <v>1.3839999999999999</v>
      </c>
      <c r="L29" s="89">
        <v>1.2989999999999999</v>
      </c>
      <c r="M29" s="89">
        <v>1.22</v>
      </c>
      <c r="N29" s="89">
        <v>1.145</v>
      </c>
      <c r="O29" s="89">
        <v>1.075</v>
      </c>
      <c r="P29" s="89">
        <v>1.008</v>
      </c>
      <c r="Q29" s="89">
        <v>0.94499999999999995</v>
      </c>
      <c r="R29" s="89">
        <v>0.88600000000000001</v>
      </c>
      <c r="S29" s="89">
        <v>0.83</v>
      </c>
      <c r="T29" s="89">
        <v>0.77700000000000002</v>
      </c>
      <c r="U29" s="89">
        <v>0.72699999999999998</v>
      </c>
      <c r="V29" s="89">
        <v>0.67900000000000005</v>
      </c>
      <c r="W29" s="89">
        <v>0.63400000000000001</v>
      </c>
      <c r="X29" s="89">
        <v>0.59199999999999997</v>
      </c>
      <c r="Y29" s="89">
        <v>0.55300000000000005</v>
      </c>
      <c r="Z29" s="89">
        <v>0.51600000000000001</v>
      </c>
      <c r="AA29" s="89">
        <v>0.48</v>
      </c>
      <c r="AB29" s="89">
        <v>0.44800000000000001</v>
      </c>
      <c r="AC29" s="89">
        <v>0.41699999999999998</v>
      </c>
      <c r="AD29" s="89">
        <v>0.38800000000000001</v>
      </c>
      <c r="AE29" s="89">
        <v>0.36199999999999999</v>
      </c>
    </row>
    <row r="30" spans="1:31" x14ac:dyDescent="0.25">
      <c r="A30" s="97">
        <v>23</v>
      </c>
      <c r="B30" s="89">
        <v>2.5209999999999999</v>
      </c>
      <c r="C30" s="89">
        <v>2.3620000000000001</v>
      </c>
      <c r="D30" s="89">
        <v>2.2130000000000001</v>
      </c>
      <c r="E30" s="89">
        <v>2.0750000000000002</v>
      </c>
      <c r="F30" s="89">
        <v>1.946</v>
      </c>
      <c r="G30" s="89">
        <v>1.825</v>
      </c>
      <c r="H30" s="89">
        <v>1.712</v>
      </c>
      <c r="I30" s="89">
        <v>1.607</v>
      </c>
      <c r="J30" s="89">
        <v>1.508</v>
      </c>
      <c r="K30" s="89">
        <v>1.415</v>
      </c>
      <c r="L30" s="89">
        <v>1.327</v>
      </c>
      <c r="M30" s="89">
        <v>1.2450000000000001</v>
      </c>
      <c r="N30" s="89">
        <v>1.1679999999999999</v>
      </c>
      <c r="O30" s="89">
        <v>1.0960000000000001</v>
      </c>
      <c r="P30" s="89">
        <v>1.0269999999999999</v>
      </c>
      <c r="Q30" s="89">
        <v>0.96299999999999997</v>
      </c>
      <c r="R30" s="89">
        <v>0.90200000000000002</v>
      </c>
      <c r="S30" s="89">
        <v>0.84499999999999997</v>
      </c>
      <c r="T30" s="89">
        <v>0.79</v>
      </c>
      <c r="U30" s="89">
        <v>0.73899999999999999</v>
      </c>
      <c r="V30" s="89">
        <v>0.69</v>
      </c>
      <c r="W30" s="89">
        <v>0.64500000000000002</v>
      </c>
      <c r="X30" s="89">
        <v>0.60199999999999998</v>
      </c>
      <c r="Y30" s="89">
        <v>0.56100000000000005</v>
      </c>
      <c r="Z30" s="89">
        <v>0.52300000000000002</v>
      </c>
      <c r="AA30" s="89">
        <v>0.48699999999999999</v>
      </c>
      <c r="AB30" s="89">
        <v>0.45400000000000001</v>
      </c>
      <c r="AC30" s="89">
        <v>0.42299999999999999</v>
      </c>
      <c r="AD30" s="89">
        <v>0.39400000000000002</v>
      </c>
      <c r="AE30" s="89">
        <v>0.36599999999999999</v>
      </c>
    </row>
    <row r="31" spans="1:31" x14ac:dyDescent="0.25">
      <c r="A31" s="97">
        <v>24</v>
      </c>
      <c r="B31" s="89">
        <v>2.6</v>
      </c>
      <c r="C31" s="89">
        <v>2.4329999999999998</v>
      </c>
      <c r="D31" s="89">
        <v>2.278</v>
      </c>
      <c r="E31" s="89">
        <v>2.1339999999999999</v>
      </c>
      <c r="F31" s="89">
        <v>1.9990000000000001</v>
      </c>
      <c r="G31" s="89">
        <v>1.873</v>
      </c>
      <c r="H31" s="89">
        <v>1.756</v>
      </c>
      <c r="I31" s="89">
        <v>1.6459999999999999</v>
      </c>
      <c r="J31" s="89">
        <v>1.544</v>
      </c>
      <c r="K31" s="89">
        <v>1.4470000000000001</v>
      </c>
      <c r="L31" s="89">
        <v>1.357</v>
      </c>
      <c r="M31" s="89">
        <v>1.2729999999999999</v>
      </c>
      <c r="N31" s="89">
        <v>1.1930000000000001</v>
      </c>
      <c r="O31" s="89">
        <v>1.1180000000000001</v>
      </c>
      <c r="P31" s="89">
        <v>1.048</v>
      </c>
      <c r="Q31" s="89">
        <v>0.98199999999999998</v>
      </c>
      <c r="R31" s="89">
        <v>0.91900000000000004</v>
      </c>
      <c r="S31" s="89">
        <v>0.86</v>
      </c>
      <c r="T31" s="89">
        <v>0.80400000000000005</v>
      </c>
      <c r="U31" s="89">
        <v>0.752</v>
      </c>
      <c r="V31" s="89">
        <v>0.70199999999999996</v>
      </c>
      <c r="W31" s="89">
        <v>0.65500000000000003</v>
      </c>
      <c r="X31" s="89">
        <v>0.61099999999999999</v>
      </c>
      <c r="Y31" s="89">
        <v>0.56999999999999995</v>
      </c>
      <c r="Z31" s="89">
        <v>0.53100000000000003</v>
      </c>
      <c r="AA31" s="89">
        <v>0.495</v>
      </c>
      <c r="AB31" s="89">
        <v>0.46100000000000002</v>
      </c>
      <c r="AC31" s="89">
        <v>0.42899999999999999</v>
      </c>
      <c r="AD31" s="89">
        <v>0.39900000000000002</v>
      </c>
      <c r="AE31" s="89">
        <v>0.371</v>
      </c>
    </row>
    <row r="32" spans="1:31" x14ac:dyDescent="0.25">
      <c r="A32" s="97">
        <v>25</v>
      </c>
      <c r="B32" s="89">
        <v>2.6859999999999999</v>
      </c>
      <c r="C32" s="89">
        <v>2.5099999999999998</v>
      </c>
      <c r="D32" s="89">
        <v>2.3479999999999999</v>
      </c>
      <c r="E32" s="89">
        <v>2.1960000000000002</v>
      </c>
      <c r="F32" s="89">
        <v>2.056</v>
      </c>
      <c r="G32" s="89">
        <v>1.925</v>
      </c>
      <c r="H32" s="89">
        <v>1.8029999999999999</v>
      </c>
      <c r="I32" s="89">
        <v>1.6879999999999999</v>
      </c>
      <c r="J32" s="89">
        <v>1.5820000000000001</v>
      </c>
      <c r="K32" s="89">
        <v>1.482</v>
      </c>
      <c r="L32" s="89">
        <v>1.389</v>
      </c>
      <c r="M32" s="89">
        <v>1.3009999999999999</v>
      </c>
      <c r="N32" s="89">
        <v>1.2190000000000001</v>
      </c>
      <c r="O32" s="89">
        <v>1.1419999999999999</v>
      </c>
      <c r="P32" s="89">
        <v>1.07</v>
      </c>
      <c r="Q32" s="89">
        <v>1.0009999999999999</v>
      </c>
      <c r="R32" s="89">
        <v>0.93700000000000006</v>
      </c>
      <c r="S32" s="89">
        <v>0.876</v>
      </c>
      <c r="T32" s="89">
        <v>0.81899999999999995</v>
      </c>
      <c r="U32" s="89">
        <v>0.76500000000000001</v>
      </c>
      <c r="V32" s="89">
        <v>0.71399999999999997</v>
      </c>
      <c r="W32" s="89">
        <v>0.66600000000000004</v>
      </c>
      <c r="X32" s="89">
        <v>0.621</v>
      </c>
      <c r="Y32" s="89">
        <v>0.57899999999999996</v>
      </c>
      <c r="Z32" s="89">
        <v>0.54</v>
      </c>
      <c r="AA32" s="89">
        <v>0.502</v>
      </c>
      <c r="AB32" s="89">
        <v>0.46800000000000003</v>
      </c>
      <c r="AC32" s="89">
        <v>0.435</v>
      </c>
      <c r="AD32" s="89">
        <v>0.40500000000000003</v>
      </c>
      <c r="AE32" s="89">
        <v>0.377</v>
      </c>
    </row>
    <row r="33" spans="1:31" x14ac:dyDescent="0.25">
      <c r="A33" s="97">
        <v>26</v>
      </c>
      <c r="B33" s="89">
        <v>2.7770000000000001</v>
      </c>
      <c r="C33" s="89">
        <v>2.593</v>
      </c>
      <c r="D33" s="89">
        <v>2.4220000000000002</v>
      </c>
      <c r="E33" s="89">
        <v>2.2639999999999998</v>
      </c>
      <c r="F33" s="89">
        <v>2.1160000000000001</v>
      </c>
      <c r="G33" s="89">
        <v>1.98</v>
      </c>
      <c r="H33" s="89">
        <v>1.8520000000000001</v>
      </c>
      <c r="I33" s="89">
        <v>1.7330000000000001</v>
      </c>
      <c r="J33" s="89">
        <v>1.6220000000000001</v>
      </c>
      <c r="K33" s="89">
        <v>1.5189999999999999</v>
      </c>
      <c r="L33" s="89">
        <v>1.4219999999999999</v>
      </c>
      <c r="M33" s="89">
        <v>1.3320000000000001</v>
      </c>
      <c r="N33" s="89">
        <v>1.2470000000000001</v>
      </c>
      <c r="O33" s="89">
        <v>1.167</v>
      </c>
      <c r="P33" s="89">
        <v>1.0920000000000001</v>
      </c>
      <c r="Q33" s="89">
        <v>1.022</v>
      </c>
      <c r="R33" s="89">
        <v>0.95599999999999996</v>
      </c>
      <c r="S33" s="89">
        <v>0.89400000000000002</v>
      </c>
      <c r="T33" s="89">
        <v>0.83499999999999996</v>
      </c>
      <c r="U33" s="89">
        <v>0.77900000000000003</v>
      </c>
      <c r="V33" s="89">
        <v>0.72699999999999998</v>
      </c>
      <c r="W33" s="89">
        <v>0.67800000000000005</v>
      </c>
      <c r="X33" s="89">
        <v>0.63200000000000001</v>
      </c>
      <c r="Y33" s="89">
        <v>0.58899999999999997</v>
      </c>
      <c r="Z33" s="89">
        <v>0.54800000000000004</v>
      </c>
      <c r="AA33" s="89">
        <v>0.51100000000000001</v>
      </c>
      <c r="AB33" s="89">
        <v>0.47499999999999998</v>
      </c>
      <c r="AC33" s="89">
        <v>0.442</v>
      </c>
      <c r="AD33" s="89">
        <v>0.41099999999999998</v>
      </c>
      <c r="AE33" s="89">
        <v>0.38200000000000001</v>
      </c>
    </row>
    <row r="34" spans="1:31" x14ac:dyDescent="0.25">
      <c r="A34" s="97">
        <v>27</v>
      </c>
      <c r="B34" s="89">
        <v>2.875</v>
      </c>
      <c r="C34" s="89">
        <v>2.681</v>
      </c>
      <c r="D34" s="89">
        <v>2.5019999999999998</v>
      </c>
      <c r="E34" s="89">
        <v>2.335</v>
      </c>
      <c r="F34" s="89">
        <v>2.181</v>
      </c>
      <c r="G34" s="89">
        <v>2.0379999999999998</v>
      </c>
      <c r="H34" s="89">
        <v>1.905</v>
      </c>
      <c r="I34" s="89">
        <v>1.7809999999999999</v>
      </c>
      <c r="J34" s="89">
        <v>1.6659999999999999</v>
      </c>
      <c r="K34" s="89">
        <v>1.5580000000000001</v>
      </c>
      <c r="L34" s="89">
        <v>1.458</v>
      </c>
      <c r="M34" s="89">
        <v>1.3640000000000001</v>
      </c>
      <c r="N34" s="89">
        <v>1.276</v>
      </c>
      <c r="O34" s="89">
        <v>1.194</v>
      </c>
      <c r="P34" s="89">
        <v>1.1160000000000001</v>
      </c>
      <c r="Q34" s="89">
        <v>1.044</v>
      </c>
      <c r="R34" s="89">
        <v>0.97599999999999998</v>
      </c>
      <c r="S34" s="89">
        <v>0.91200000000000003</v>
      </c>
      <c r="T34" s="89">
        <v>0.85099999999999998</v>
      </c>
      <c r="U34" s="89">
        <v>0.79400000000000004</v>
      </c>
      <c r="V34" s="89">
        <v>0.74099999999999999</v>
      </c>
      <c r="W34" s="89">
        <v>0.69</v>
      </c>
      <c r="X34" s="89">
        <v>0.64300000000000002</v>
      </c>
      <c r="Y34" s="89">
        <v>0.59899999999999998</v>
      </c>
      <c r="Z34" s="89">
        <v>0.55800000000000005</v>
      </c>
      <c r="AA34" s="89">
        <v>0.51900000000000002</v>
      </c>
      <c r="AB34" s="89">
        <v>0.48299999999999998</v>
      </c>
      <c r="AC34" s="89">
        <v>0.44900000000000001</v>
      </c>
      <c r="AD34" s="89">
        <v>0.41699999999999998</v>
      </c>
      <c r="AE34" s="89">
        <v>0.38800000000000001</v>
      </c>
    </row>
    <row r="35" spans="1:31" x14ac:dyDescent="0.25">
      <c r="A35" s="97">
        <v>28</v>
      </c>
      <c r="B35" s="89">
        <v>2.9809999999999999</v>
      </c>
      <c r="C35" s="89">
        <v>2.7759999999999998</v>
      </c>
      <c r="D35" s="89">
        <v>2.5870000000000002</v>
      </c>
      <c r="E35" s="89">
        <v>2.4119999999999999</v>
      </c>
      <c r="F35" s="89">
        <v>2.25</v>
      </c>
      <c r="G35" s="89">
        <v>2.101</v>
      </c>
      <c r="H35" s="89">
        <v>1.9610000000000001</v>
      </c>
      <c r="I35" s="89">
        <v>1.8320000000000001</v>
      </c>
      <c r="J35" s="89">
        <v>1.712</v>
      </c>
      <c r="K35" s="89">
        <v>1.6</v>
      </c>
      <c r="L35" s="89">
        <v>1.4950000000000001</v>
      </c>
      <c r="M35" s="89">
        <v>1.3979999999999999</v>
      </c>
      <c r="N35" s="89">
        <v>1.3069999999999999</v>
      </c>
      <c r="O35" s="89">
        <v>1.222</v>
      </c>
      <c r="P35" s="89">
        <v>1.1419999999999999</v>
      </c>
      <c r="Q35" s="89">
        <v>1.0669999999999999</v>
      </c>
      <c r="R35" s="89">
        <v>0.997</v>
      </c>
      <c r="S35" s="89">
        <v>0.93100000000000005</v>
      </c>
      <c r="T35" s="89">
        <v>0.86899999999999999</v>
      </c>
      <c r="U35" s="89">
        <v>0.81</v>
      </c>
      <c r="V35" s="89">
        <v>0.755</v>
      </c>
      <c r="W35" s="89">
        <v>0.70299999999999996</v>
      </c>
      <c r="X35" s="89">
        <v>0.65500000000000003</v>
      </c>
      <c r="Y35" s="89">
        <v>0.61</v>
      </c>
      <c r="Z35" s="89">
        <v>0.56699999999999995</v>
      </c>
      <c r="AA35" s="89">
        <v>0.52800000000000002</v>
      </c>
      <c r="AB35" s="89">
        <v>0.49099999999999999</v>
      </c>
      <c r="AC35" s="89">
        <v>0.45600000000000002</v>
      </c>
      <c r="AD35" s="89">
        <v>0.42399999999999999</v>
      </c>
      <c r="AE35" s="89">
        <v>0.39400000000000002</v>
      </c>
    </row>
    <row r="36" spans="1:31" x14ac:dyDescent="0.25">
      <c r="A36" s="97">
        <v>29</v>
      </c>
      <c r="B36" s="89">
        <v>3.0960000000000001</v>
      </c>
      <c r="C36" s="89">
        <v>2.879</v>
      </c>
      <c r="D36" s="89">
        <v>2.6789999999999998</v>
      </c>
      <c r="E36" s="89">
        <v>2.4950000000000001</v>
      </c>
      <c r="F36" s="89">
        <v>2.3250000000000002</v>
      </c>
      <c r="G36" s="89">
        <v>2.1669999999999998</v>
      </c>
      <c r="H36" s="89">
        <v>2.0219999999999998</v>
      </c>
      <c r="I36" s="89">
        <v>1.8859999999999999</v>
      </c>
      <c r="J36" s="89">
        <v>1.7609999999999999</v>
      </c>
      <c r="K36" s="89">
        <v>1.6439999999999999</v>
      </c>
      <c r="L36" s="89">
        <v>1.536</v>
      </c>
      <c r="M36" s="89">
        <v>1.4339999999999999</v>
      </c>
      <c r="N36" s="89">
        <v>1.34</v>
      </c>
      <c r="O36" s="89">
        <v>1.2509999999999999</v>
      </c>
      <c r="P36" s="89">
        <v>1.169</v>
      </c>
      <c r="Q36" s="89">
        <v>1.0920000000000001</v>
      </c>
      <c r="R36" s="89">
        <v>1.0189999999999999</v>
      </c>
      <c r="S36" s="89">
        <v>0.95099999999999996</v>
      </c>
      <c r="T36" s="89">
        <v>0.88700000000000001</v>
      </c>
      <c r="U36" s="89">
        <v>0.82699999999999996</v>
      </c>
      <c r="V36" s="89">
        <v>0.77</v>
      </c>
      <c r="W36" s="89">
        <v>0.71699999999999997</v>
      </c>
      <c r="X36" s="89">
        <v>0.66700000000000004</v>
      </c>
      <c r="Y36" s="89">
        <v>0.621</v>
      </c>
      <c r="Z36" s="89">
        <v>0.57799999999999996</v>
      </c>
      <c r="AA36" s="89">
        <v>0.53700000000000003</v>
      </c>
      <c r="AB36" s="89">
        <v>0.499</v>
      </c>
      <c r="AC36" s="89">
        <v>0.46400000000000002</v>
      </c>
      <c r="AD36" s="89">
        <v>0.43099999999999999</v>
      </c>
      <c r="AE36" s="89">
        <v>0.4</v>
      </c>
    </row>
    <row r="37" spans="1:31" x14ac:dyDescent="0.25">
      <c r="A37" s="97">
        <v>30</v>
      </c>
      <c r="B37" s="89">
        <v>3.22</v>
      </c>
      <c r="C37" s="89">
        <v>2.99</v>
      </c>
      <c r="D37" s="89">
        <v>2.778</v>
      </c>
      <c r="E37" s="89">
        <v>2.5840000000000001</v>
      </c>
      <c r="F37" s="89">
        <v>2.4049999999999998</v>
      </c>
      <c r="G37" s="89">
        <v>2.2389999999999999</v>
      </c>
      <c r="H37" s="89">
        <v>2.0859999999999999</v>
      </c>
      <c r="I37" s="89">
        <v>1.9450000000000001</v>
      </c>
      <c r="J37" s="89">
        <v>1.8129999999999999</v>
      </c>
      <c r="K37" s="89">
        <v>1.6910000000000001</v>
      </c>
      <c r="L37" s="89">
        <v>1.5780000000000001</v>
      </c>
      <c r="M37" s="89">
        <v>1.4730000000000001</v>
      </c>
      <c r="N37" s="89">
        <v>1.375</v>
      </c>
      <c r="O37" s="89">
        <v>1.2829999999999999</v>
      </c>
      <c r="P37" s="89">
        <v>1.1970000000000001</v>
      </c>
      <c r="Q37" s="89">
        <v>1.117</v>
      </c>
      <c r="R37" s="89">
        <v>1.042</v>
      </c>
      <c r="S37" s="89">
        <v>0.97199999999999998</v>
      </c>
      <c r="T37" s="89">
        <v>0.90600000000000003</v>
      </c>
      <c r="U37" s="89">
        <v>0.84399999999999997</v>
      </c>
      <c r="V37" s="89">
        <v>0.78600000000000003</v>
      </c>
      <c r="W37" s="89">
        <v>0.73099999999999998</v>
      </c>
      <c r="X37" s="89">
        <v>0.68</v>
      </c>
      <c r="Y37" s="89">
        <v>0.63300000000000001</v>
      </c>
      <c r="Z37" s="89">
        <v>0.58799999999999997</v>
      </c>
      <c r="AA37" s="89">
        <v>0.54700000000000004</v>
      </c>
      <c r="AB37" s="89">
        <v>0.50800000000000001</v>
      </c>
      <c r="AC37" s="89">
        <v>0.47199999999999998</v>
      </c>
      <c r="AD37" s="89">
        <v>0.438</v>
      </c>
      <c r="AE37" s="89">
        <v>0.40699999999999997</v>
      </c>
    </row>
    <row r="38" spans="1:31" x14ac:dyDescent="0.25">
      <c r="A38" s="97">
        <v>31</v>
      </c>
      <c r="B38" s="89">
        <v>3.3540000000000001</v>
      </c>
      <c r="C38" s="89">
        <v>3.109</v>
      </c>
      <c r="D38" s="89">
        <v>2.8849999999999998</v>
      </c>
      <c r="E38" s="89">
        <v>2.68</v>
      </c>
      <c r="F38" s="89">
        <v>2.4900000000000002</v>
      </c>
      <c r="G38" s="89">
        <v>2.3159999999999998</v>
      </c>
      <c r="H38" s="89">
        <v>2.1549999999999998</v>
      </c>
      <c r="I38" s="89">
        <v>2.0070000000000001</v>
      </c>
      <c r="J38" s="89">
        <v>1.869</v>
      </c>
      <c r="K38" s="89">
        <v>1.742</v>
      </c>
      <c r="L38" s="89">
        <v>1.6240000000000001</v>
      </c>
      <c r="M38" s="89">
        <v>1.514</v>
      </c>
      <c r="N38" s="89">
        <v>1.4119999999999999</v>
      </c>
      <c r="O38" s="89">
        <v>1.3160000000000001</v>
      </c>
      <c r="P38" s="89">
        <v>1.228</v>
      </c>
      <c r="Q38" s="89">
        <v>1.145</v>
      </c>
      <c r="R38" s="89">
        <v>1.0669999999999999</v>
      </c>
      <c r="S38" s="89">
        <v>0.99399999999999999</v>
      </c>
      <c r="T38" s="89">
        <v>0.92600000000000005</v>
      </c>
      <c r="U38" s="89">
        <v>0.86199999999999999</v>
      </c>
      <c r="V38" s="89">
        <v>0.80300000000000005</v>
      </c>
      <c r="W38" s="89">
        <v>0.746</v>
      </c>
      <c r="X38" s="89">
        <v>0.69399999999999995</v>
      </c>
      <c r="Y38" s="89">
        <v>0.64500000000000002</v>
      </c>
      <c r="Z38" s="89">
        <v>0.59899999999999998</v>
      </c>
      <c r="AA38" s="89">
        <v>0.55700000000000005</v>
      </c>
      <c r="AB38" s="89">
        <v>0.51700000000000002</v>
      </c>
      <c r="AC38" s="89">
        <v>0.48</v>
      </c>
      <c r="AD38" s="89">
        <v>0.44600000000000001</v>
      </c>
      <c r="AE38" s="89">
        <v>0.41399999999999998</v>
      </c>
    </row>
    <row r="39" spans="1:31" x14ac:dyDescent="0.25">
      <c r="A39" s="97">
        <v>32</v>
      </c>
      <c r="B39" s="89">
        <v>3.4990000000000001</v>
      </c>
      <c r="C39" s="89">
        <v>3.2389999999999999</v>
      </c>
      <c r="D39" s="89">
        <v>3.0009999999999999</v>
      </c>
      <c r="E39" s="89">
        <v>2.7829999999999999</v>
      </c>
      <c r="F39" s="89">
        <v>2.5830000000000002</v>
      </c>
      <c r="G39" s="89">
        <v>2.399</v>
      </c>
      <c r="H39" s="89">
        <v>2.23</v>
      </c>
      <c r="I39" s="89">
        <v>2.073</v>
      </c>
      <c r="J39" s="89">
        <v>1.929</v>
      </c>
      <c r="K39" s="89">
        <v>1.796</v>
      </c>
      <c r="L39" s="89">
        <v>1.6719999999999999</v>
      </c>
      <c r="M39" s="89">
        <v>1.5580000000000001</v>
      </c>
      <c r="N39" s="89">
        <v>1.4510000000000001</v>
      </c>
      <c r="O39" s="89">
        <v>1.3520000000000001</v>
      </c>
      <c r="P39" s="89">
        <v>1.26</v>
      </c>
      <c r="Q39" s="89">
        <v>1.1739999999999999</v>
      </c>
      <c r="R39" s="89">
        <v>1.093</v>
      </c>
      <c r="S39" s="89">
        <v>1.018</v>
      </c>
      <c r="T39" s="89">
        <v>0.94799999999999995</v>
      </c>
      <c r="U39" s="89">
        <v>0.88200000000000001</v>
      </c>
      <c r="V39" s="89">
        <v>0.82</v>
      </c>
      <c r="W39" s="89">
        <v>0.76200000000000001</v>
      </c>
      <c r="X39" s="89">
        <v>0.70799999999999996</v>
      </c>
      <c r="Y39" s="89">
        <v>0.65800000000000003</v>
      </c>
      <c r="Z39" s="89">
        <v>0.61099999999999999</v>
      </c>
      <c r="AA39" s="89">
        <v>0.56799999999999995</v>
      </c>
      <c r="AB39" s="89">
        <v>0.52700000000000002</v>
      </c>
      <c r="AC39" s="89">
        <v>0.48899999999999999</v>
      </c>
      <c r="AD39" s="89">
        <v>0.45400000000000001</v>
      </c>
      <c r="AE39" s="89">
        <v>0.42099999999999999</v>
      </c>
    </row>
    <row r="40" spans="1:31" x14ac:dyDescent="0.25">
      <c r="A40" s="97">
        <v>33</v>
      </c>
      <c r="B40" s="89">
        <v>3.657</v>
      </c>
      <c r="C40" s="89">
        <v>3.38</v>
      </c>
      <c r="D40" s="89">
        <v>3.1259999999999999</v>
      </c>
      <c r="E40" s="89">
        <v>2.895</v>
      </c>
      <c r="F40" s="89">
        <v>2.6829999999999998</v>
      </c>
      <c r="G40" s="89">
        <v>2.488</v>
      </c>
      <c r="H40" s="89">
        <v>2.31</v>
      </c>
      <c r="I40" s="89">
        <v>2.145</v>
      </c>
      <c r="J40" s="89">
        <v>1.9930000000000001</v>
      </c>
      <c r="K40" s="89">
        <v>1.853</v>
      </c>
      <c r="L40" s="89">
        <v>1.724</v>
      </c>
      <c r="M40" s="89">
        <v>1.6040000000000001</v>
      </c>
      <c r="N40" s="89">
        <v>1.4930000000000001</v>
      </c>
      <c r="O40" s="89">
        <v>1.39</v>
      </c>
      <c r="P40" s="89">
        <v>1.294</v>
      </c>
      <c r="Q40" s="89">
        <v>1.2050000000000001</v>
      </c>
      <c r="R40" s="89">
        <v>1.121</v>
      </c>
      <c r="S40" s="89">
        <v>1.0429999999999999</v>
      </c>
      <c r="T40" s="89">
        <v>0.97</v>
      </c>
      <c r="U40" s="89">
        <v>0.90200000000000002</v>
      </c>
      <c r="V40" s="89">
        <v>0.83899999999999997</v>
      </c>
      <c r="W40" s="89">
        <v>0.77900000000000003</v>
      </c>
      <c r="X40" s="89">
        <v>0.72399999999999998</v>
      </c>
      <c r="Y40" s="89">
        <v>0.67200000000000004</v>
      </c>
      <c r="Z40" s="89">
        <v>0.624</v>
      </c>
      <c r="AA40" s="89">
        <v>0.57899999999999996</v>
      </c>
      <c r="AB40" s="89">
        <v>0.53700000000000003</v>
      </c>
      <c r="AC40" s="89">
        <v>0.498</v>
      </c>
      <c r="AD40" s="89">
        <v>0.46200000000000002</v>
      </c>
      <c r="AE40" s="89">
        <v>0.42899999999999999</v>
      </c>
    </row>
    <row r="41" spans="1:31" x14ac:dyDescent="0.25">
      <c r="A41" s="97">
        <v>34</v>
      </c>
      <c r="B41" s="89">
        <v>3.8290000000000002</v>
      </c>
      <c r="C41" s="89">
        <v>3.5329999999999999</v>
      </c>
      <c r="D41" s="89">
        <v>3.262</v>
      </c>
      <c r="E41" s="89">
        <v>3.016</v>
      </c>
      <c r="F41" s="89">
        <v>2.7909999999999999</v>
      </c>
      <c r="G41" s="89">
        <v>2.585</v>
      </c>
      <c r="H41" s="89">
        <v>2.3959999999999999</v>
      </c>
      <c r="I41" s="89">
        <v>2.222</v>
      </c>
      <c r="J41" s="89">
        <v>2.0619999999999998</v>
      </c>
      <c r="K41" s="89">
        <v>1.915</v>
      </c>
      <c r="L41" s="89">
        <v>1.78</v>
      </c>
      <c r="M41" s="89">
        <v>1.6539999999999999</v>
      </c>
      <c r="N41" s="89">
        <v>1.538</v>
      </c>
      <c r="O41" s="89">
        <v>1.43</v>
      </c>
      <c r="P41" s="89">
        <v>1.33</v>
      </c>
      <c r="Q41" s="89">
        <v>1.2370000000000001</v>
      </c>
      <c r="R41" s="89">
        <v>1.151</v>
      </c>
      <c r="S41" s="89">
        <v>1.07</v>
      </c>
      <c r="T41" s="89">
        <v>0.995</v>
      </c>
      <c r="U41" s="89">
        <v>0.92400000000000004</v>
      </c>
      <c r="V41" s="89">
        <v>0.85799999999999998</v>
      </c>
      <c r="W41" s="89">
        <v>0.79700000000000004</v>
      </c>
      <c r="X41" s="89">
        <v>0.73899999999999999</v>
      </c>
      <c r="Y41" s="89">
        <v>0.68600000000000005</v>
      </c>
      <c r="Z41" s="89">
        <v>0.63700000000000001</v>
      </c>
      <c r="AA41" s="89">
        <v>0.59099999999999997</v>
      </c>
      <c r="AB41" s="89">
        <v>0.54800000000000004</v>
      </c>
      <c r="AC41" s="89">
        <v>0.50800000000000001</v>
      </c>
      <c r="AD41" s="89">
        <v>0.47099999999999997</v>
      </c>
      <c r="AE41" s="89">
        <v>0.437</v>
      </c>
    </row>
    <row r="42" spans="1:31" x14ac:dyDescent="0.25">
      <c r="A42" s="97">
        <v>35</v>
      </c>
      <c r="B42" s="89">
        <v>4.0179999999999998</v>
      </c>
      <c r="C42" s="89">
        <v>3.6989999999999998</v>
      </c>
      <c r="D42" s="89">
        <v>3.41</v>
      </c>
      <c r="E42" s="89">
        <v>3.1480000000000001</v>
      </c>
      <c r="F42" s="89">
        <v>2.9079999999999999</v>
      </c>
      <c r="G42" s="89">
        <v>2.6890000000000001</v>
      </c>
      <c r="H42" s="89">
        <v>2.4889999999999999</v>
      </c>
      <c r="I42" s="89">
        <v>2.3050000000000002</v>
      </c>
      <c r="J42" s="89">
        <v>2.137</v>
      </c>
      <c r="K42" s="89">
        <v>1.982</v>
      </c>
      <c r="L42" s="89">
        <v>1.839</v>
      </c>
      <c r="M42" s="89">
        <v>1.708</v>
      </c>
      <c r="N42" s="89">
        <v>1.5860000000000001</v>
      </c>
      <c r="O42" s="89">
        <v>1.474</v>
      </c>
      <c r="P42" s="89">
        <v>1.369</v>
      </c>
      <c r="Q42" s="89">
        <v>1.272</v>
      </c>
      <c r="R42" s="89">
        <v>1.1819999999999999</v>
      </c>
      <c r="S42" s="89">
        <v>1.0980000000000001</v>
      </c>
      <c r="T42" s="89">
        <v>1.02</v>
      </c>
      <c r="U42" s="89">
        <v>0.94699999999999995</v>
      </c>
      <c r="V42" s="89">
        <v>0.879</v>
      </c>
      <c r="W42" s="89">
        <v>0.81499999999999995</v>
      </c>
      <c r="X42" s="89">
        <v>0.75600000000000001</v>
      </c>
      <c r="Y42" s="89">
        <v>0.70199999999999996</v>
      </c>
      <c r="Z42" s="89">
        <v>0.65</v>
      </c>
      <c r="AA42" s="89">
        <v>0.60299999999999998</v>
      </c>
      <c r="AB42" s="89">
        <v>0.55900000000000005</v>
      </c>
      <c r="AC42" s="89">
        <v>0.51800000000000002</v>
      </c>
      <c r="AD42" s="89">
        <v>0.48</v>
      </c>
      <c r="AE42" s="89">
        <v>0.44500000000000001</v>
      </c>
    </row>
    <row r="43" spans="1:31" x14ac:dyDescent="0.25">
      <c r="A43" s="97">
        <v>36</v>
      </c>
      <c r="B43" s="89">
        <v>4.2229999999999999</v>
      </c>
      <c r="C43" s="89">
        <v>3.8809999999999998</v>
      </c>
      <c r="D43" s="89">
        <v>3.5720000000000001</v>
      </c>
      <c r="E43" s="89">
        <v>3.2909999999999999</v>
      </c>
      <c r="F43" s="89">
        <v>3.0350000000000001</v>
      </c>
      <c r="G43" s="89">
        <v>2.802</v>
      </c>
      <c r="H43" s="89">
        <v>2.589</v>
      </c>
      <c r="I43" s="89">
        <v>2.395</v>
      </c>
      <c r="J43" s="89">
        <v>2.2170000000000001</v>
      </c>
      <c r="K43" s="89">
        <v>2.0529999999999999</v>
      </c>
      <c r="L43" s="89">
        <v>1.903</v>
      </c>
      <c r="M43" s="89">
        <v>1.7649999999999999</v>
      </c>
      <c r="N43" s="89">
        <v>1.6379999999999999</v>
      </c>
      <c r="O43" s="89">
        <v>1.52</v>
      </c>
      <c r="P43" s="89">
        <v>1.411</v>
      </c>
      <c r="Q43" s="89">
        <v>1.31</v>
      </c>
      <c r="R43" s="89">
        <v>1.216</v>
      </c>
      <c r="S43" s="89">
        <v>1.1279999999999999</v>
      </c>
      <c r="T43" s="89">
        <v>1.0469999999999999</v>
      </c>
      <c r="U43" s="89">
        <v>0.97199999999999998</v>
      </c>
      <c r="V43" s="89">
        <v>0.90100000000000002</v>
      </c>
      <c r="W43" s="89">
        <v>0.83499999999999996</v>
      </c>
      <c r="X43" s="89">
        <v>0.77400000000000002</v>
      </c>
      <c r="Y43" s="89">
        <v>0.71799999999999997</v>
      </c>
      <c r="Z43" s="89">
        <v>0.66500000000000004</v>
      </c>
      <c r="AA43" s="89">
        <v>0.61599999999999999</v>
      </c>
      <c r="AB43" s="89">
        <v>0.57099999999999995</v>
      </c>
      <c r="AC43" s="89">
        <v>0.52900000000000003</v>
      </c>
      <c r="AD43" s="89">
        <v>0.49</v>
      </c>
      <c r="AE43" s="89">
        <v>0.45400000000000001</v>
      </c>
    </row>
    <row r="44" spans="1:31" x14ac:dyDescent="0.25">
      <c r="A44" s="97">
        <v>37</v>
      </c>
      <c r="B44" s="89">
        <v>4.4489999999999998</v>
      </c>
      <c r="C44" s="89">
        <v>4.0810000000000004</v>
      </c>
      <c r="D44" s="89">
        <v>3.7480000000000002</v>
      </c>
      <c r="E44" s="89">
        <v>3.4470000000000001</v>
      </c>
      <c r="F44" s="89">
        <v>3.173</v>
      </c>
      <c r="G44" s="89">
        <v>2.9249999999999998</v>
      </c>
      <c r="H44" s="89">
        <v>2.698</v>
      </c>
      <c r="I44" s="89">
        <v>2.492</v>
      </c>
      <c r="J44" s="89">
        <v>2.3029999999999999</v>
      </c>
      <c r="K44" s="89">
        <v>2.1309999999999998</v>
      </c>
      <c r="L44" s="89">
        <v>1.972</v>
      </c>
      <c r="M44" s="89">
        <v>1.827</v>
      </c>
      <c r="N44" s="89">
        <v>1.6930000000000001</v>
      </c>
      <c r="O44" s="89">
        <v>1.569</v>
      </c>
      <c r="P44" s="89">
        <v>1.4550000000000001</v>
      </c>
      <c r="Q44" s="89">
        <v>1.349</v>
      </c>
      <c r="R44" s="89">
        <v>1.252</v>
      </c>
      <c r="S44" s="89">
        <v>1.161</v>
      </c>
      <c r="T44" s="89">
        <v>1.0760000000000001</v>
      </c>
      <c r="U44" s="89">
        <v>0.997</v>
      </c>
      <c r="V44" s="89">
        <v>0.92400000000000004</v>
      </c>
      <c r="W44" s="89">
        <v>0.85599999999999998</v>
      </c>
      <c r="X44" s="89">
        <v>0.79300000000000004</v>
      </c>
      <c r="Y44" s="89">
        <v>0.73499999999999999</v>
      </c>
      <c r="Z44" s="89">
        <v>0.68</v>
      </c>
      <c r="AA44" s="89">
        <v>0.63</v>
      </c>
      <c r="AB44" s="89">
        <v>0.58299999999999996</v>
      </c>
      <c r="AC44" s="89">
        <v>0.54</v>
      </c>
      <c r="AD44" s="89">
        <v>0.5</v>
      </c>
      <c r="AE44" s="89">
        <v>0.46300000000000002</v>
      </c>
    </row>
    <row r="45" spans="1:31" x14ac:dyDescent="0.25">
      <c r="A45" s="97">
        <v>38</v>
      </c>
      <c r="B45" s="89">
        <v>4.6959999999999997</v>
      </c>
      <c r="C45" s="89">
        <v>4.2990000000000004</v>
      </c>
      <c r="D45" s="89">
        <v>3.9409999999999998</v>
      </c>
      <c r="E45" s="89">
        <v>3.617</v>
      </c>
      <c r="F45" s="89">
        <v>3.3239999999999998</v>
      </c>
      <c r="G45" s="89">
        <v>3.0579999999999998</v>
      </c>
      <c r="H45" s="89">
        <v>2.8170000000000002</v>
      </c>
      <c r="I45" s="89">
        <v>2.597</v>
      </c>
      <c r="J45" s="89">
        <v>2.3969999999999998</v>
      </c>
      <c r="K45" s="89">
        <v>2.214</v>
      </c>
      <c r="L45" s="89">
        <v>2.0470000000000002</v>
      </c>
      <c r="M45" s="89">
        <v>1.893</v>
      </c>
      <c r="N45" s="89">
        <v>1.752</v>
      </c>
      <c r="O45" s="89">
        <v>1.6220000000000001</v>
      </c>
      <c r="P45" s="89">
        <v>1.5029999999999999</v>
      </c>
      <c r="Q45" s="89">
        <v>1.3919999999999999</v>
      </c>
      <c r="R45" s="89">
        <v>1.29</v>
      </c>
      <c r="S45" s="89">
        <v>1.1950000000000001</v>
      </c>
      <c r="T45" s="89">
        <v>1.107</v>
      </c>
      <c r="U45" s="89">
        <v>1.0249999999999999</v>
      </c>
      <c r="V45" s="89">
        <v>0.94899999999999995</v>
      </c>
      <c r="W45" s="89">
        <v>0.878</v>
      </c>
      <c r="X45" s="89">
        <v>0.81299999999999994</v>
      </c>
      <c r="Y45" s="89">
        <v>0.753</v>
      </c>
      <c r="Z45" s="89">
        <v>0.69699999999999995</v>
      </c>
      <c r="AA45" s="89">
        <v>0.64500000000000002</v>
      </c>
      <c r="AB45" s="89">
        <v>0.59599999999999997</v>
      </c>
      <c r="AC45" s="89">
        <v>0.55200000000000005</v>
      </c>
      <c r="AD45" s="89">
        <v>0.51100000000000001</v>
      </c>
      <c r="AE45" s="89">
        <v>0.47299999999999998</v>
      </c>
    </row>
    <row r="46" spans="1:31" x14ac:dyDescent="0.25">
      <c r="A46" s="97">
        <v>39</v>
      </c>
      <c r="B46" s="89">
        <v>4.9690000000000003</v>
      </c>
      <c r="C46" s="89">
        <v>4.5389999999999997</v>
      </c>
      <c r="D46" s="89">
        <v>4.1520000000000001</v>
      </c>
      <c r="E46" s="89">
        <v>3.8029999999999999</v>
      </c>
      <c r="F46" s="89">
        <v>3.4889999999999999</v>
      </c>
      <c r="G46" s="89">
        <v>3.2040000000000002</v>
      </c>
      <c r="H46" s="89">
        <v>2.9460000000000002</v>
      </c>
      <c r="I46" s="89">
        <v>2.7120000000000002</v>
      </c>
      <c r="J46" s="89">
        <v>2.4980000000000002</v>
      </c>
      <c r="K46" s="89">
        <v>2.3039999999999998</v>
      </c>
      <c r="L46" s="89">
        <v>2.1269999999999998</v>
      </c>
      <c r="M46" s="89">
        <v>1.9650000000000001</v>
      </c>
      <c r="N46" s="89">
        <v>1.8160000000000001</v>
      </c>
      <c r="O46" s="89">
        <v>1.679</v>
      </c>
      <c r="P46" s="89">
        <v>1.554</v>
      </c>
      <c r="Q46" s="89">
        <v>1.4379999999999999</v>
      </c>
      <c r="R46" s="89">
        <v>1.331</v>
      </c>
      <c r="S46" s="89">
        <v>1.2310000000000001</v>
      </c>
      <c r="T46" s="89">
        <v>1.1399999999999999</v>
      </c>
      <c r="U46" s="89">
        <v>1.0549999999999999</v>
      </c>
      <c r="V46" s="89">
        <v>0.97599999999999998</v>
      </c>
      <c r="W46" s="89">
        <v>0.90200000000000002</v>
      </c>
      <c r="X46" s="89">
        <v>0.83399999999999996</v>
      </c>
      <c r="Y46" s="89">
        <v>0.77200000000000002</v>
      </c>
      <c r="Z46" s="89">
        <v>0.71399999999999997</v>
      </c>
      <c r="AA46" s="89">
        <v>0.66</v>
      </c>
      <c r="AB46" s="89">
        <v>0.61</v>
      </c>
      <c r="AC46" s="89">
        <v>0.56499999999999995</v>
      </c>
      <c r="AD46" s="89">
        <v>0.52200000000000002</v>
      </c>
      <c r="AE46" s="89">
        <v>0.48299999999999998</v>
      </c>
    </row>
    <row r="47" spans="1:31" x14ac:dyDescent="0.25">
      <c r="A47" s="97">
        <v>40</v>
      </c>
      <c r="B47" s="89">
        <v>5.2690000000000001</v>
      </c>
      <c r="C47" s="89">
        <v>4.8029999999999999</v>
      </c>
      <c r="D47" s="89">
        <v>4.3840000000000003</v>
      </c>
      <c r="E47" s="89">
        <v>4.008</v>
      </c>
      <c r="F47" s="89">
        <v>3.669</v>
      </c>
      <c r="G47" s="89">
        <v>3.363</v>
      </c>
      <c r="H47" s="89">
        <v>3.0859999999999999</v>
      </c>
      <c r="I47" s="89">
        <v>2.8359999999999999</v>
      </c>
      <c r="J47" s="89">
        <v>2.609</v>
      </c>
      <c r="K47" s="89">
        <v>2.4020000000000001</v>
      </c>
      <c r="L47" s="89">
        <v>2.214</v>
      </c>
      <c r="M47" s="89">
        <v>2.0419999999999998</v>
      </c>
      <c r="N47" s="89">
        <v>1.885</v>
      </c>
      <c r="O47" s="89">
        <v>1.7410000000000001</v>
      </c>
      <c r="P47" s="89">
        <v>1.6080000000000001</v>
      </c>
      <c r="Q47" s="89">
        <v>1.4870000000000001</v>
      </c>
      <c r="R47" s="89">
        <v>1.3740000000000001</v>
      </c>
      <c r="S47" s="89">
        <v>1.2709999999999999</v>
      </c>
      <c r="T47" s="89">
        <v>1.175</v>
      </c>
      <c r="U47" s="89">
        <v>1.0860000000000001</v>
      </c>
      <c r="V47" s="89">
        <v>1.004</v>
      </c>
      <c r="W47" s="89">
        <v>0.92700000000000005</v>
      </c>
      <c r="X47" s="89">
        <v>0.85699999999999998</v>
      </c>
      <c r="Y47" s="89">
        <v>0.79200000000000004</v>
      </c>
      <c r="Z47" s="89">
        <v>0.73199999999999998</v>
      </c>
      <c r="AA47" s="89">
        <v>0.67700000000000005</v>
      </c>
      <c r="AB47" s="89">
        <v>0.625</v>
      </c>
      <c r="AC47" s="89">
        <v>0.57799999999999996</v>
      </c>
      <c r="AD47" s="89">
        <v>0.53400000000000003</v>
      </c>
      <c r="AE47" s="89">
        <v>0.49399999999999999</v>
      </c>
    </row>
    <row r="48" spans="1:31" x14ac:dyDescent="0.25">
      <c r="A48" s="97">
        <v>41</v>
      </c>
      <c r="B48" s="89">
        <v>5.601</v>
      </c>
      <c r="C48" s="89">
        <v>5.093</v>
      </c>
      <c r="D48" s="89">
        <v>4.6390000000000002</v>
      </c>
      <c r="E48" s="89">
        <v>4.2320000000000002</v>
      </c>
      <c r="F48" s="89">
        <v>3.8660000000000001</v>
      </c>
      <c r="G48" s="89">
        <v>3.5369999999999999</v>
      </c>
      <c r="H48" s="89">
        <v>3.24</v>
      </c>
      <c r="I48" s="89">
        <v>2.972</v>
      </c>
      <c r="J48" s="89">
        <v>2.7290000000000001</v>
      </c>
      <c r="K48" s="89">
        <v>2.508</v>
      </c>
      <c r="L48" s="89">
        <v>2.3079999999999998</v>
      </c>
      <c r="M48" s="89">
        <v>2.1259999999999999</v>
      </c>
      <c r="N48" s="89">
        <v>1.9590000000000001</v>
      </c>
      <c r="O48" s="89">
        <v>1.8069999999999999</v>
      </c>
      <c r="P48" s="89">
        <v>1.667</v>
      </c>
      <c r="Q48" s="89">
        <v>1.5389999999999999</v>
      </c>
      <c r="R48" s="89">
        <v>1.421</v>
      </c>
      <c r="S48" s="89">
        <v>1.3129999999999999</v>
      </c>
      <c r="T48" s="89">
        <v>1.212</v>
      </c>
      <c r="U48" s="89">
        <v>1.119</v>
      </c>
      <c r="V48" s="89">
        <v>1.034</v>
      </c>
      <c r="W48" s="89">
        <v>0.95399999999999996</v>
      </c>
      <c r="X48" s="89">
        <v>0.88100000000000001</v>
      </c>
      <c r="Y48" s="89">
        <v>0.81399999999999995</v>
      </c>
      <c r="Z48" s="89">
        <v>0.751</v>
      </c>
      <c r="AA48" s="89">
        <v>0.69399999999999995</v>
      </c>
      <c r="AB48" s="89">
        <v>0.64100000000000001</v>
      </c>
      <c r="AC48" s="89">
        <v>0.59199999999999997</v>
      </c>
      <c r="AD48" s="89">
        <v>0.54700000000000004</v>
      </c>
      <c r="AE48" s="89">
        <v>0.50600000000000001</v>
      </c>
    </row>
    <row r="49" spans="1:31" x14ac:dyDescent="0.25">
      <c r="A49" s="97">
        <v>42</v>
      </c>
      <c r="B49" s="89">
        <v>5.9669999999999996</v>
      </c>
      <c r="C49" s="89">
        <v>5.4139999999999997</v>
      </c>
      <c r="D49" s="89">
        <v>4.9210000000000003</v>
      </c>
      <c r="E49" s="89">
        <v>4.4790000000000001</v>
      </c>
      <c r="F49" s="89">
        <v>4.0830000000000002</v>
      </c>
      <c r="G49" s="89">
        <v>3.7280000000000002</v>
      </c>
      <c r="H49" s="89">
        <v>3.4079999999999999</v>
      </c>
      <c r="I49" s="89">
        <v>3.12</v>
      </c>
      <c r="J49" s="89">
        <v>2.859</v>
      </c>
      <c r="K49" s="89">
        <v>2.6240000000000001</v>
      </c>
      <c r="L49" s="89">
        <v>2.41</v>
      </c>
      <c r="M49" s="89">
        <v>2.2160000000000002</v>
      </c>
      <c r="N49" s="89">
        <v>2.04</v>
      </c>
      <c r="O49" s="89">
        <v>1.879</v>
      </c>
      <c r="P49" s="89">
        <v>1.7310000000000001</v>
      </c>
      <c r="Q49" s="89">
        <v>1.5960000000000001</v>
      </c>
      <c r="R49" s="89">
        <v>1.472</v>
      </c>
      <c r="S49" s="89">
        <v>1.3580000000000001</v>
      </c>
      <c r="T49" s="89">
        <v>1.252</v>
      </c>
      <c r="U49" s="89">
        <v>1.155</v>
      </c>
      <c r="V49" s="89">
        <v>1.0660000000000001</v>
      </c>
      <c r="W49" s="89">
        <v>0.98299999999999998</v>
      </c>
      <c r="X49" s="89">
        <v>0.90700000000000003</v>
      </c>
      <c r="Y49" s="89">
        <v>0.83699999999999997</v>
      </c>
      <c r="Z49" s="89">
        <v>0.77200000000000002</v>
      </c>
      <c r="AA49" s="89">
        <v>0.71199999999999997</v>
      </c>
      <c r="AB49" s="89">
        <v>0.65700000000000003</v>
      </c>
      <c r="AC49" s="89">
        <v>0.60699999999999998</v>
      </c>
      <c r="AD49" s="89">
        <v>0.56000000000000005</v>
      </c>
      <c r="AE49" s="89">
        <v>0.51800000000000002</v>
      </c>
    </row>
    <row r="50" spans="1:31" x14ac:dyDescent="0.25">
      <c r="A50" s="97">
        <v>43</v>
      </c>
      <c r="B50" s="89">
        <v>6.3730000000000002</v>
      </c>
      <c r="C50" s="89">
        <v>5.7690000000000001</v>
      </c>
      <c r="D50" s="89">
        <v>5.2320000000000002</v>
      </c>
      <c r="E50" s="89">
        <v>4.7519999999999998</v>
      </c>
      <c r="F50" s="89">
        <v>4.3220000000000001</v>
      </c>
      <c r="G50" s="89">
        <v>3.9380000000000002</v>
      </c>
      <c r="H50" s="89">
        <v>3.5920000000000001</v>
      </c>
      <c r="I50" s="89">
        <v>3.282</v>
      </c>
      <c r="J50" s="89">
        <v>3.0019999999999998</v>
      </c>
      <c r="K50" s="89">
        <v>2.75</v>
      </c>
      <c r="L50" s="89">
        <v>2.5219999999999998</v>
      </c>
      <c r="M50" s="89">
        <v>2.3149999999999999</v>
      </c>
      <c r="N50" s="89">
        <v>2.1269999999999998</v>
      </c>
      <c r="O50" s="89">
        <v>1.956</v>
      </c>
      <c r="P50" s="89">
        <v>1.8</v>
      </c>
      <c r="Q50" s="89">
        <v>1.657</v>
      </c>
      <c r="R50" s="89">
        <v>1.526</v>
      </c>
      <c r="S50" s="89">
        <v>1.4059999999999999</v>
      </c>
      <c r="T50" s="89">
        <v>1.296</v>
      </c>
      <c r="U50" s="89">
        <v>1.194</v>
      </c>
      <c r="V50" s="89">
        <v>1.1000000000000001</v>
      </c>
      <c r="W50" s="89">
        <v>1.0129999999999999</v>
      </c>
      <c r="X50" s="89">
        <v>0.93400000000000005</v>
      </c>
      <c r="Y50" s="89">
        <v>0.86099999999999999</v>
      </c>
      <c r="Z50" s="89">
        <v>0.79400000000000004</v>
      </c>
      <c r="AA50" s="89">
        <v>0.73199999999999998</v>
      </c>
      <c r="AB50" s="89">
        <v>0.67500000000000004</v>
      </c>
      <c r="AC50" s="89">
        <v>0.623</v>
      </c>
      <c r="AD50" s="89">
        <v>0.57399999999999995</v>
      </c>
      <c r="AE50" s="89">
        <v>0.53</v>
      </c>
    </row>
    <row r="51" spans="1:31" x14ac:dyDescent="0.25">
      <c r="A51" s="97">
        <v>44</v>
      </c>
      <c r="B51" s="89">
        <v>6.8230000000000004</v>
      </c>
      <c r="C51" s="89">
        <v>6.1630000000000003</v>
      </c>
      <c r="D51" s="89">
        <v>5.5759999999999996</v>
      </c>
      <c r="E51" s="89">
        <v>5.0519999999999996</v>
      </c>
      <c r="F51" s="89">
        <v>4.5860000000000003</v>
      </c>
      <c r="G51" s="89">
        <v>4.1689999999999996</v>
      </c>
      <c r="H51" s="89">
        <v>3.7949999999999999</v>
      </c>
      <c r="I51" s="89">
        <v>3.46</v>
      </c>
      <c r="J51" s="89">
        <v>3.1589999999999998</v>
      </c>
      <c r="K51" s="89">
        <v>2.8879999999999999</v>
      </c>
      <c r="L51" s="89">
        <v>2.6429999999999998</v>
      </c>
      <c r="M51" s="89">
        <v>2.4220000000000002</v>
      </c>
      <c r="N51" s="89">
        <v>2.222</v>
      </c>
      <c r="O51" s="89">
        <v>2.04</v>
      </c>
      <c r="P51" s="89">
        <v>1.8740000000000001</v>
      </c>
      <c r="Q51" s="89">
        <v>1.7230000000000001</v>
      </c>
      <c r="R51" s="89">
        <v>1.585</v>
      </c>
      <c r="S51" s="89">
        <v>1.458</v>
      </c>
      <c r="T51" s="89">
        <v>1.3420000000000001</v>
      </c>
      <c r="U51" s="89">
        <v>1.2350000000000001</v>
      </c>
      <c r="V51" s="89">
        <v>1.137</v>
      </c>
      <c r="W51" s="89">
        <v>1.046</v>
      </c>
      <c r="X51" s="89">
        <v>0.96299999999999997</v>
      </c>
      <c r="Y51" s="89">
        <v>0.88700000000000001</v>
      </c>
      <c r="Z51" s="89">
        <v>0.81699999999999995</v>
      </c>
      <c r="AA51" s="89">
        <v>0.753</v>
      </c>
      <c r="AB51" s="89">
        <v>0.69399999999999995</v>
      </c>
      <c r="AC51" s="89">
        <v>0.63900000000000001</v>
      </c>
      <c r="AD51" s="89">
        <v>0.59</v>
      </c>
      <c r="AE51" s="89">
        <v>0.54400000000000004</v>
      </c>
    </row>
    <row r="52" spans="1:31" x14ac:dyDescent="0.25">
      <c r="A52" s="97">
        <v>45</v>
      </c>
      <c r="B52" s="89">
        <v>7.3230000000000004</v>
      </c>
      <c r="C52" s="89">
        <v>6.5990000000000002</v>
      </c>
      <c r="D52" s="89">
        <v>5.9569999999999999</v>
      </c>
      <c r="E52" s="89">
        <v>5.3860000000000001</v>
      </c>
      <c r="F52" s="89">
        <v>4.8769999999999998</v>
      </c>
      <c r="G52" s="89">
        <v>4.423</v>
      </c>
      <c r="H52" s="89">
        <v>4.0179999999999998</v>
      </c>
      <c r="I52" s="89">
        <v>3.6560000000000001</v>
      </c>
      <c r="J52" s="89">
        <v>3.331</v>
      </c>
      <c r="K52" s="89">
        <v>3.0390000000000001</v>
      </c>
      <c r="L52" s="89">
        <v>2.7770000000000001</v>
      </c>
      <c r="M52" s="89">
        <v>2.54</v>
      </c>
      <c r="N52" s="89">
        <v>2.3260000000000001</v>
      </c>
      <c r="O52" s="89">
        <v>2.1320000000000001</v>
      </c>
      <c r="P52" s="89">
        <v>1.9550000000000001</v>
      </c>
      <c r="Q52" s="89">
        <v>1.7949999999999999</v>
      </c>
      <c r="R52" s="89">
        <v>1.649</v>
      </c>
      <c r="S52" s="89">
        <v>1.5149999999999999</v>
      </c>
      <c r="T52" s="89">
        <v>1.3919999999999999</v>
      </c>
      <c r="U52" s="89">
        <v>1.28</v>
      </c>
      <c r="V52" s="89">
        <v>1.1759999999999999</v>
      </c>
      <c r="W52" s="89">
        <v>1.081</v>
      </c>
      <c r="X52" s="89">
        <v>0.995</v>
      </c>
      <c r="Y52" s="89">
        <v>0.91500000000000004</v>
      </c>
      <c r="Z52" s="89">
        <v>0.84199999999999997</v>
      </c>
      <c r="AA52" s="89">
        <v>0.77500000000000002</v>
      </c>
      <c r="AB52" s="89">
        <v>0.71399999999999997</v>
      </c>
      <c r="AC52" s="89">
        <v>0.65700000000000003</v>
      </c>
      <c r="AD52" s="89">
        <v>0.60599999999999998</v>
      </c>
      <c r="AE52" s="89">
        <v>0.55800000000000005</v>
      </c>
    </row>
    <row r="53" spans="1:31" x14ac:dyDescent="0.25">
      <c r="A53" s="97">
        <v>46</v>
      </c>
      <c r="B53" s="89">
        <v>7.8789999999999996</v>
      </c>
      <c r="C53" s="89">
        <v>7.085</v>
      </c>
      <c r="D53" s="89">
        <v>6.38</v>
      </c>
      <c r="E53" s="89">
        <v>5.7549999999999999</v>
      </c>
      <c r="F53" s="89">
        <v>5.2</v>
      </c>
      <c r="G53" s="89">
        <v>4.7050000000000001</v>
      </c>
      <c r="H53" s="89">
        <v>4.2649999999999997</v>
      </c>
      <c r="I53" s="89">
        <v>3.8719999999999999</v>
      </c>
      <c r="J53" s="89">
        <v>3.52</v>
      </c>
      <c r="K53" s="89">
        <v>3.2050000000000001</v>
      </c>
      <c r="L53" s="89">
        <v>2.9220000000000002</v>
      </c>
      <c r="M53" s="89">
        <v>2.6680000000000001</v>
      </c>
      <c r="N53" s="89">
        <v>2.4390000000000001</v>
      </c>
      <c r="O53" s="89">
        <v>2.2309999999999999</v>
      </c>
      <c r="P53" s="89">
        <v>2.0430000000000001</v>
      </c>
      <c r="Q53" s="89">
        <v>1.873</v>
      </c>
      <c r="R53" s="89">
        <v>1.718</v>
      </c>
      <c r="S53" s="89">
        <v>1.5760000000000001</v>
      </c>
      <c r="T53" s="89">
        <v>1.446</v>
      </c>
      <c r="U53" s="89">
        <v>1.3280000000000001</v>
      </c>
      <c r="V53" s="89">
        <v>1.2190000000000001</v>
      </c>
      <c r="W53" s="89">
        <v>1.119</v>
      </c>
      <c r="X53" s="89">
        <v>1.028</v>
      </c>
      <c r="Y53" s="89">
        <v>0.94499999999999995</v>
      </c>
      <c r="Z53" s="89">
        <v>0.86899999999999999</v>
      </c>
      <c r="AA53" s="89">
        <v>0.79900000000000004</v>
      </c>
      <c r="AB53" s="89">
        <v>0.73499999999999999</v>
      </c>
      <c r="AC53" s="89">
        <v>0.67600000000000005</v>
      </c>
      <c r="AD53" s="89">
        <v>0.623</v>
      </c>
      <c r="AE53" s="89">
        <v>0.57399999999999995</v>
      </c>
    </row>
    <row r="54" spans="1:31" x14ac:dyDescent="0.25">
      <c r="A54" s="97">
        <v>47</v>
      </c>
      <c r="B54" s="89">
        <v>8.4990000000000006</v>
      </c>
      <c r="C54" s="89">
        <v>7.625</v>
      </c>
      <c r="D54" s="89">
        <v>6.851</v>
      </c>
      <c r="E54" s="89">
        <v>6.1660000000000004</v>
      </c>
      <c r="F54" s="89">
        <v>5.5570000000000004</v>
      </c>
      <c r="G54" s="89">
        <v>5.0179999999999998</v>
      </c>
      <c r="H54" s="89">
        <v>4.5369999999999999</v>
      </c>
      <c r="I54" s="89">
        <v>4.1100000000000003</v>
      </c>
      <c r="J54" s="89">
        <v>3.7280000000000002</v>
      </c>
      <c r="K54" s="89">
        <v>3.3879999999999999</v>
      </c>
      <c r="L54" s="89">
        <v>3.0830000000000002</v>
      </c>
      <c r="M54" s="89">
        <v>2.8090000000000002</v>
      </c>
      <c r="N54" s="89">
        <v>2.5619999999999998</v>
      </c>
      <c r="O54" s="89">
        <v>2.34</v>
      </c>
      <c r="P54" s="89">
        <v>2.1389999999999998</v>
      </c>
      <c r="Q54" s="89">
        <v>1.958</v>
      </c>
      <c r="R54" s="89">
        <v>1.792</v>
      </c>
      <c r="S54" s="89">
        <v>1.6419999999999999</v>
      </c>
      <c r="T54" s="89">
        <v>1.5049999999999999</v>
      </c>
      <c r="U54" s="89">
        <v>1.379</v>
      </c>
      <c r="V54" s="89">
        <v>1.2649999999999999</v>
      </c>
      <c r="W54" s="89">
        <v>1.1599999999999999</v>
      </c>
      <c r="X54" s="89">
        <v>1.0649999999999999</v>
      </c>
      <c r="Y54" s="89">
        <v>0.97699999999999998</v>
      </c>
      <c r="Z54" s="89">
        <v>0.89800000000000002</v>
      </c>
      <c r="AA54" s="89">
        <v>0.82499999999999996</v>
      </c>
      <c r="AB54" s="89">
        <v>0.75800000000000001</v>
      </c>
      <c r="AC54" s="89">
        <v>0.69699999999999995</v>
      </c>
      <c r="AD54" s="89">
        <v>0.64100000000000001</v>
      </c>
      <c r="AE54" s="89">
        <v>0.59</v>
      </c>
    </row>
    <row r="55" spans="1:31" x14ac:dyDescent="0.25">
      <c r="A55" s="97">
        <v>48</v>
      </c>
      <c r="B55" s="89">
        <v>9.19</v>
      </c>
      <c r="C55" s="89">
        <v>8.2270000000000003</v>
      </c>
      <c r="D55" s="89">
        <v>7.375</v>
      </c>
      <c r="E55" s="89">
        <v>6.6219999999999999</v>
      </c>
      <c r="F55" s="89">
        <v>5.9550000000000001</v>
      </c>
      <c r="G55" s="89">
        <v>5.3639999999999999</v>
      </c>
      <c r="H55" s="89">
        <v>4.84</v>
      </c>
      <c r="I55" s="89">
        <v>4.3739999999999997</v>
      </c>
      <c r="J55" s="89">
        <v>3.9590000000000001</v>
      </c>
      <c r="K55" s="89">
        <v>3.589</v>
      </c>
      <c r="L55" s="89">
        <v>3.2589999999999999</v>
      </c>
      <c r="M55" s="89">
        <v>2.9630000000000001</v>
      </c>
      <c r="N55" s="89">
        <v>2.698</v>
      </c>
      <c r="O55" s="89">
        <v>2.46</v>
      </c>
      <c r="P55" s="89">
        <v>2.2440000000000002</v>
      </c>
      <c r="Q55" s="89">
        <v>2.0499999999999998</v>
      </c>
      <c r="R55" s="89">
        <v>1.8740000000000001</v>
      </c>
      <c r="S55" s="89">
        <v>1.714</v>
      </c>
      <c r="T55" s="89">
        <v>1.5680000000000001</v>
      </c>
      <c r="U55" s="89">
        <v>1.4359999999999999</v>
      </c>
      <c r="V55" s="89">
        <v>1.3149999999999999</v>
      </c>
      <c r="W55" s="89">
        <v>1.204</v>
      </c>
      <c r="X55" s="89">
        <v>1.1040000000000001</v>
      </c>
      <c r="Y55" s="89">
        <v>1.012</v>
      </c>
      <c r="Z55" s="89">
        <v>0.92800000000000005</v>
      </c>
      <c r="AA55" s="89">
        <v>0.85199999999999998</v>
      </c>
      <c r="AB55" s="89">
        <v>0.78200000000000003</v>
      </c>
      <c r="AC55" s="89">
        <v>0.71799999999999997</v>
      </c>
      <c r="AD55" s="89">
        <v>0.66</v>
      </c>
      <c r="AE55" s="89">
        <v>0.60699999999999998</v>
      </c>
    </row>
    <row r="56" spans="1:31" x14ac:dyDescent="0.25">
      <c r="A56" s="97">
        <v>49</v>
      </c>
      <c r="B56" s="89">
        <v>9.9610000000000003</v>
      </c>
      <c r="C56" s="89">
        <v>8.8979999999999997</v>
      </c>
      <c r="D56" s="89">
        <v>7.96</v>
      </c>
      <c r="E56" s="89">
        <v>7.1310000000000002</v>
      </c>
      <c r="F56" s="89">
        <v>6.3979999999999997</v>
      </c>
      <c r="G56" s="89">
        <v>5.75</v>
      </c>
      <c r="H56" s="89">
        <v>5.1749999999999998</v>
      </c>
      <c r="I56" s="89">
        <v>4.6660000000000004</v>
      </c>
      <c r="J56" s="89">
        <v>4.2140000000000004</v>
      </c>
      <c r="K56" s="89">
        <v>3.8119999999999998</v>
      </c>
      <c r="L56" s="89">
        <v>3.4540000000000002</v>
      </c>
      <c r="M56" s="89">
        <v>3.1339999999999999</v>
      </c>
      <c r="N56" s="89">
        <v>2.8479999999999999</v>
      </c>
      <c r="O56" s="89">
        <v>2.5910000000000002</v>
      </c>
      <c r="P56" s="89">
        <v>2.359</v>
      </c>
      <c r="Q56" s="89">
        <v>2.1509999999999998</v>
      </c>
      <c r="R56" s="89">
        <v>1.9630000000000001</v>
      </c>
      <c r="S56" s="89">
        <v>1.792</v>
      </c>
      <c r="T56" s="89">
        <v>1.637</v>
      </c>
      <c r="U56" s="89">
        <v>1.4970000000000001</v>
      </c>
      <c r="V56" s="89">
        <v>1.369</v>
      </c>
      <c r="W56" s="89">
        <v>1.2509999999999999</v>
      </c>
      <c r="X56" s="89">
        <v>1.1459999999999999</v>
      </c>
      <c r="Y56" s="89">
        <v>1.0489999999999999</v>
      </c>
      <c r="Z56" s="89">
        <v>0.96199999999999997</v>
      </c>
      <c r="AA56" s="89">
        <v>0.88100000000000001</v>
      </c>
      <c r="AB56" s="89">
        <v>0.80800000000000005</v>
      </c>
      <c r="AC56" s="89">
        <v>0.74199999999999999</v>
      </c>
      <c r="AD56" s="89">
        <v>0.68100000000000005</v>
      </c>
      <c r="AE56" s="89">
        <v>0.626</v>
      </c>
    </row>
    <row r="57" spans="1:31" x14ac:dyDescent="0.25">
      <c r="A57" s="97">
        <v>50</v>
      </c>
      <c r="B57" s="89">
        <v>10.821999999999999</v>
      </c>
      <c r="C57" s="89">
        <v>9.6489999999999991</v>
      </c>
      <c r="D57" s="89">
        <v>8.6120000000000001</v>
      </c>
      <c r="E57" s="89">
        <v>7.6980000000000004</v>
      </c>
      <c r="F57" s="89">
        <v>6.8920000000000003</v>
      </c>
      <c r="G57" s="89">
        <v>6.1790000000000003</v>
      </c>
      <c r="H57" s="89">
        <v>5.5490000000000004</v>
      </c>
      <c r="I57" s="89">
        <v>4.9909999999999997</v>
      </c>
      <c r="J57" s="89">
        <v>4.4969999999999999</v>
      </c>
      <c r="K57" s="89">
        <v>4.0590000000000002</v>
      </c>
      <c r="L57" s="89">
        <v>3.669</v>
      </c>
      <c r="M57" s="89">
        <v>3.3220000000000001</v>
      </c>
      <c r="N57" s="89">
        <v>3.012</v>
      </c>
      <c r="O57" s="89">
        <v>2.7349999999999999</v>
      </c>
      <c r="P57" s="89">
        <v>2.4860000000000002</v>
      </c>
      <c r="Q57" s="89">
        <v>2.262</v>
      </c>
      <c r="R57" s="89">
        <v>2.06</v>
      </c>
      <c r="S57" s="89">
        <v>1.8779999999999999</v>
      </c>
      <c r="T57" s="89">
        <v>1.7130000000000001</v>
      </c>
      <c r="U57" s="89">
        <v>1.5629999999999999</v>
      </c>
      <c r="V57" s="89">
        <v>1.427</v>
      </c>
      <c r="W57" s="89">
        <v>1.3029999999999999</v>
      </c>
      <c r="X57" s="89">
        <v>1.1910000000000001</v>
      </c>
      <c r="Y57" s="89">
        <v>1.0900000000000001</v>
      </c>
      <c r="Z57" s="89">
        <v>0.997</v>
      </c>
      <c r="AA57" s="89">
        <v>0.91300000000000003</v>
      </c>
      <c r="AB57" s="89">
        <v>0.83599999999999997</v>
      </c>
      <c r="AC57" s="89">
        <v>0.76700000000000002</v>
      </c>
      <c r="AD57" s="89">
        <v>0.70399999999999996</v>
      </c>
      <c r="AE57" s="89">
        <v>0.64600000000000002</v>
      </c>
    </row>
    <row r="58" spans="1:31" x14ac:dyDescent="0.25">
      <c r="A58" s="97">
        <v>51</v>
      </c>
      <c r="B58" s="89">
        <v>11.786</v>
      </c>
      <c r="C58" s="89">
        <v>10.487</v>
      </c>
      <c r="D58" s="89">
        <v>9.3420000000000005</v>
      </c>
      <c r="E58" s="89">
        <v>8.3330000000000002</v>
      </c>
      <c r="F58" s="89">
        <v>7.4429999999999996</v>
      </c>
      <c r="G58" s="89">
        <v>6.6580000000000004</v>
      </c>
      <c r="H58" s="89">
        <v>5.9649999999999999</v>
      </c>
      <c r="I58" s="89">
        <v>5.3529999999999998</v>
      </c>
      <c r="J58" s="89">
        <v>4.8120000000000003</v>
      </c>
      <c r="K58" s="89">
        <v>4.3330000000000002</v>
      </c>
      <c r="L58" s="89">
        <v>3.9079999999999999</v>
      </c>
      <c r="M58" s="89">
        <v>3.53</v>
      </c>
      <c r="N58" s="89">
        <v>3.194</v>
      </c>
      <c r="O58" s="89">
        <v>2.8940000000000001</v>
      </c>
      <c r="P58" s="89">
        <v>2.625</v>
      </c>
      <c r="Q58" s="89">
        <v>2.3839999999999999</v>
      </c>
      <c r="R58" s="89">
        <v>2.1669999999999998</v>
      </c>
      <c r="S58" s="89">
        <v>1.972</v>
      </c>
      <c r="T58" s="89">
        <v>1.7949999999999999</v>
      </c>
      <c r="U58" s="89">
        <v>1.635</v>
      </c>
      <c r="V58" s="89">
        <v>1.4910000000000001</v>
      </c>
      <c r="W58" s="89">
        <v>1.359</v>
      </c>
      <c r="X58" s="89">
        <v>1.2410000000000001</v>
      </c>
      <c r="Y58" s="89">
        <v>1.133</v>
      </c>
      <c r="Z58" s="89">
        <v>1.036</v>
      </c>
      <c r="AA58" s="89">
        <v>0.94699999999999995</v>
      </c>
      <c r="AB58" s="89">
        <v>0.86699999999999999</v>
      </c>
      <c r="AC58" s="89">
        <v>0.79400000000000004</v>
      </c>
      <c r="AD58" s="89">
        <v>0.72799999999999998</v>
      </c>
      <c r="AE58" s="89">
        <v>0.66800000000000004</v>
      </c>
    </row>
    <row r="59" spans="1:31" x14ac:dyDescent="0.25">
      <c r="A59" s="97">
        <v>52</v>
      </c>
      <c r="B59" s="89">
        <v>12.864000000000001</v>
      </c>
      <c r="C59" s="89">
        <v>11.426</v>
      </c>
      <c r="D59" s="89">
        <v>10.159000000000001</v>
      </c>
      <c r="E59" s="89">
        <v>9.0419999999999998</v>
      </c>
      <c r="F59" s="89">
        <v>8.0589999999999993</v>
      </c>
      <c r="G59" s="89">
        <v>7.1929999999999996</v>
      </c>
      <c r="H59" s="89">
        <v>6.43</v>
      </c>
      <c r="I59" s="89">
        <v>5.7569999999999997</v>
      </c>
      <c r="J59" s="89">
        <v>5.1630000000000003</v>
      </c>
      <c r="K59" s="89">
        <v>4.6379999999999999</v>
      </c>
      <c r="L59" s="89">
        <v>4.1740000000000004</v>
      </c>
      <c r="M59" s="89">
        <v>3.762</v>
      </c>
      <c r="N59" s="89">
        <v>3.3959999999999999</v>
      </c>
      <c r="O59" s="89">
        <v>3.07</v>
      </c>
      <c r="P59" s="89">
        <v>2.7789999999999999</v>
      </c>
      <c r="Q59" s="89">
        <v>2.5179999999999998</v>
      </c>
      <c r="R59" s="89">
        <v>2.2850000000000001</v>
      </c>
      <c r="S59" s="89">
        <v>2.0739999999999998</v>
      </c>
      <c r="T59" s="89">
        <v>1.885</v>
      </c>
      <c r="U59" s="89">
        <v>1.7150000000000001</v>
      </c>
      <c r="V59" s="89">
        <v>1.56</v>
      </c>
      <c r="W59" s="89">
        <v>1.42</v>
      </c>
      <c r="X59" s="89">
        <v>1.2949999999999999</v>
      </c>
      <c r="Y59" s="89">
        <v>1.181</v>
      </c>
      <c r="Z59" s="89">
        <v>1.0780000000000001</v>
      </c>
      <c r="AA59" s="89">
        <v>0.98399999999999999</v>
      </c>
      <c r="AB59" s="89">
        <v>0.9</v>
      </c>
      <c r="AC59" s="89">
        <v>0.82299999999999995</v>
      </c>
      <c r="AD59" s="89">
        <v>0.753</v>
      </c>
      <c r="AE59" s="89">
        <v>0.69099999999999995</v>
      </c>
    </row>
    <row r="60" spans="1:31" x14ac:dyDescent="0.25">
      <c r="A60" s="97">
        <v>53</v>
      </c>
      <c r="B60" s="89">
        <v>14.071999999999999</v>
      </c>
      <c r="C60" s="89">
        <v>12.478</v>
      </c>
      <c r="D60" s="89">
        <v>11.073</v>
      </c>
      <c r="E60" s="89">
        <v>9.8369999999999997</v>
      </c>
      <c r="F60" s="89">
        <v>8.75</v>
      </c>
      <c r="G60" s="89">
        <v>7.7930000000000001</v>
      </c>
      <c r="H60" s="89">
        <v>6.95</v>
      </c>
      <c r="I60" s="89">
        <v>6.2080000000000002</v>
      </c>
      <c r="J60" s="89">
        <v>5.5549999999999997</v>
      </c>
      <c r="K60" s="89">
        <v>4.9790000000000001</v>
      </c>
      <c r="L60" s="89">
        <v>4.4690000000000003</v>
      </c>
      <c r="M60" s="89">
        <v>4.0190000000000001</v>
      </c>
      <c r="N60" s="89">
        <v>3.62</v>
      </c>
      <c r="O60" s="89">
        <v>3.2650000000000001</v>
      </c>
      <c r="P60" s="89">
        <v>2.9489999999999998</v>
      </c>
      <c r="Q60" s="89">
        <v>2.6669999999999998</v>
      </c>
      <c r="R60" s="89">
        <v>2.4140000000000001</v>
      </c>
      <c r="S60" s="89">
        <v>2.1880000000000002</v>
      </c>
      <c r="T60" s="89">
        <v>1.984</v>
      </c>
      <c r="U60" s="89">
        <v>1.8009999999999999</v>
      </c>
      <c r="V60" s="89">
        <v>1.637</v>
      </c>
      <c r="W60" s="89">
        <v>1.4870000000000001</v>
      </c>
      <c r="X60" s="89">
        <v>1.353</v>
      </c>
      <c r="Y60" s="89">
        <v>1.2330000000000001</v>
      </c>
      <c r="Z60" s="89">
        <v>1.123</v>
      </c>
      <c r="AA60" s="89">
        <v>1.0249999999999999</v>
      </c>
      <c r="AB60" s="89">
        <v>0.93500000000000005</v>
      </c>
      <c r="AC60" s="89">
        <v>0.85399999999999998</v>
      </c>
      <c r="AD60" s="89">
        <v>0.78100000000000003</v>
      </c>
      <c r="AE60" s="89">
        <v>0.71499999999999997</v>
      </c>
    </row>
    <row r="61" spans="1:31" x14ac:dyDescent="0.25">
      <c r="A61" s="97">
        <v>54</v>
      </c>
      <c r="B61" s="89">
        <v>15.425000000000001</v>
      </c>
      <c r="C61" s="89">
        <v>13.657</v>
      </c>
      <c r="D61" s="89">
        <v>12.099</v>
      </c>
      <c r="E61" s="89">
        <v>10.728999999999999</v>
      </c>
      <c r="F61" s="89">
        <v>9.5239999999999991</v>
      </c>
      <c r="G61" s="89">
        <v>8.4640000000000004</v>
      </c>
      <c r="H61" s="89">
        <v>7.5330000000000004</v>
      </c>
      <c r="I61" s="89">
        <v>6.7140000000000004</v>
      </c>
      <c r="J61" s="89">
        <v>5.9930000000000003</v>
      </c>
      <c r="K61" s="89">
        <v>5.359</v>
      </c>
      <c r="L61" s="89">
        <v>4.7990000000000004</v>
      </c>
      <c r="M61" s="89">
        <v>4.306</v>
      </c>
      <c r="N61" s="89">
        <v>3.8690000000000002</v>
      </c>
      <c r="O61" s="89">
        <v>3.4809999999999999</v>
      </c>
      <c r="P61" s="89">
        <v>3.137</v>
      </c>
      <c r="Q61" s="89">
        <v>2.831</v>
      </c>
      <c r="R61" s="89">
        <v>2.5579999999999998</v>
      </c>
      <c r="S61" s="89">
        <v>2.3130000000000002</v>
      </c>
      <c r="T61" s="89">
        <v>2.0939999999999999</v>
      </c>
      <c r="U61" s="89">
        <v>1.897</v>
      </c>
      <c r="V61" s="89">
        <v>1.72</v>
      </c>
      <c r="W61" s="89">
        <v>1.56</v>
      </c>
      <c r="X61" s="89">
        <v>1.417</v>
      </c>
      <c r="Y61" s="89">
        <v>1.2889999999999999</v>
      </c>
      <c r="Z61" s="89">
        <v>1.173</v>
      </c>
      <c r="AA61" s="89">
        <v>1.0680000000000001</v>
      </c>
      <c r="AB61" s="89">
        <v>0.97399999999999998</v>
      </c>
      <c r="AC61" s="89">
        <v>0.88900000000000001</v>
      </c>
      <c r="AD61" s="89">
        <v>0.81200000000000006</v>
      </c>
      <c r="AE61" s="89">
        <v>0.74199999999999999</v>
      </c>
    </row>
    <row r="62" spans="1:31" x14ac:dyDescent="0.25">
      <c r="A62" s="97">
        <v>55</v>
      </c>
      <c r="B62" s="89">
        <v>16.943000000000001</v>
      </c>
      <c r="C62" s="89">
        <v>14.98</v>
      </c>
      <c r="D62" s="89">
        <v>13.25</v>
      </c>
      <c r="E62" s="89">
        <v>11.728999999999999</v>
      </c>
      <c r="F62" s="89">
        <v>10.391999999999999</v>
      </c>
      <c r="G62" s="89">
        <v>9.218</v>
      </c>
      <c r="H62" s="89">
        <v>8.1859999999999999</v>
      </c>
      <c r="I62" s="89">
        <v>7.28</v>
      </c>
      <c r="J62" s="89">
        <v>6.484</v>
      </c>
      <c r="K62" s="89">
        <v>5.7839999999999998</v>
      </c>
      <c r="L62" s="89">
        <v>5.1680000000000001</v>
      </c>
      <c r="M62" s="89">
        <v>4.6260000000000003</v>
      </c>
      <c r="N62" s="89">
        <v>4.1470000000000002</v>
      </c>
      <c r="O62" s="89">
        <v>3.7229999999999999</v>
      </c>
      <c r="P62" s="89">
        <v>3.347</v>
      </c>
      <c r="Q62" s="89">
        <v>3.0139999999999998</v>
      </c>
      <c r="R62" s="89">
        <v>2.7170000000000001</v>
      </c>
      <c r="S62" s="89">
        <v>2.4510000000000001</v>
      </c>
      <c r="T62" s="89">
        <v>2.214</v>
      </c>
      <c r="U62" s="89">
        <v>2.0019999999999998</v>
      </c>
      <c r="V62" s="89">
        <v>1.8120000000000001</v>
      </c>
      <c r="W62" s="89">
        <v>1.64</v>
      </c>
      <c r="X62" s="89">
        <v>1.488</v>
      </c>
      <c r="Y62" s="89">
        <v>1.351</v>
      </c>
      <c r="Z62" s="89">
        <v>1.2270000000000001</v>
      </c>
      <c r="AA62" s="89">
        <v>1.1160000000000001</v>
      </c>
      <c r="AB62" s="89">
        <v>1.016</v>
      </c>
      <c r="AC62" s="89">
        <v>0.92600000000000005</v>
      </c>
      <c r="AD62" s="89">
        <v>0.84399999999999997</v>
      </c>
      <c r="AE62" s="89">
        <v>0.77100000000000002</v>
      </c>
    </row>
    <row r="63" spans="1:31" x14ac:dyDescent="0.25">
      <c r="A63" s="97">
        <v>56</v>
      </c>
      <c r="B63" s="89">
        <v>18.646000000000001</v>
      </c>
      <c r="C63" s="89">
        <v>16.465</v>
      </c>
      <c r="D63" s="89">
        <v>14.542999999999999</v>
      </c>
      <c r="E63" s="89">
        <v>12.853</v>
      </c>
      <c r="F63" s="89">
        <v>11.368</v>
      </c>
      <c r="G63" s="89">
        <v>10.064</v>
      </c>
      <c r="H63" s="89">
        <v>8.92</v>
      </c>
      <c r="I63" s="89">
        <v>7.9160000000000004</v>
      </c>
      <c r="J63" s="89">
        <v>7.0339999999999998</v>
      </c>
      <c r="K63" s="89">
        <v>6.2610000000000001</v>
      </c>
      <c r="L63" s="89">
        <v>5.5819999999999999</v>
      </c>
      <c r="M63" s="89">
        <v>4.984</v>
      </c>
      <c r="N63" s="89">
        <v>4.4569999999999999</v>
      </c>
      <c r="O63" s="89">
        <v>3.992</v>
      </c>
      <c r="P63" s="89">
        <v>3.581</v>
      </c>
      <c r="Q63" s="89">
        <v>3.2170000000000001</v>
      </c>
      <c r="R63" s="89">
        <v>2.8929999999999998</v>
      </c>
      <c r="S63" s="89">
        <v>2.605</v>
      </c>
      <c r="T63" s="89">
        <v>2.3479999999999999</v>
      </c>
      <c r="U63" s="89">
        <v>2.1190000000000002</v>
      </c>
      <c r="V63" s="89">
        <v>1.913</v>
      </c>
      <c r="W63" s="89">
        <v>1.7290000000000001</v>
      </c>
      <c r="X63" s="89">
        <v>1.5649999999999999</v>
      </c>
      <c r="Y63" s="89">
        <v>1.4179999999999999</v>
      </c>
      <c r="Z63" s="89">
        <v>1.286</v>
      </c>
      <c r="AA63" s="89">
        <v>1.1679999999999999</v>
      </c>
      <c r="AB63" s="89">
        <v>1.0620000000000001</v>
      </c>
      <c r="AC63" s="89">
        <v>0.96599999999999997</v>
      </c>
      <c r="AD63" s="89">
        <v>0.88</v>
      </c>
      <c r="AE63" s="89">
        <v>0.80300000000000005</v>
      </c>
    </row>
    <row r="64" spans="1:31" x14ac:dyDescent="0.25">
      <c r="A64" s="97">
        <v>57</v>
      </c>
      <c r="B64" s="89">
        <v>20.556999999999999</v>
      </c>
      <c r="C64" s="89">
        <v>18.132999999999999</v>
      </c>
      <c r="D64" s="89">
        <v>15.996</v>
      </c>
      <c r="E64" s="89">
        <v>14.116</v>
      </c>
      <c r="F64" s="89">
        <v>12.465</v>
      </c>
      <c r="G64" s="89">
        <v>11.016</v>
      </c>
      <c r="H64" s="89">
        <v>9.7449999999999992</v>
      </c>
      <c r="I64" s="89">
        <v>8.6300000000000008</v>
      </c>
      <c r="J64" s="89">
        <v>7.6529999999999996</v>
      </c>
      <c r="K64" s="89">
        <v>6.7969999999999997</v>
      </c>
      <c r="L64" s="89">
        <v>6.0449999999999999</v>
      </c>
      <c r="M64" s="89">
        <v>5.3860000000000001</v>
      </c>
      <c r="N64" s="89">
        <v>4.8049999999999997</v>
      </c>
      <c r="O64" s="89">
        <v>4.2939999999999996</v>
      </c>
      <c r="P64" s="89">
        <v>3.8420000000000001</v>
      </c>
      <c r="Q64" s="89">
        <v>3.444</v>
      </c>
      <c r="R64" s="89">
        <v>3.09</v>
      </c>
      <c r="S64" s="89">
        <v>2.7749999999999999</v>
      </c>
      <c r="T64" s="89">
        <v>2.496</v>
      </c>
      <c r="U64" s="89">
        <v>2.2469999999999999</v>
      </c>
      <c r="V64" s="89">
        <v>2.0249999999999999</v>
      </c>
      <c r="W64" s="89">
        <v>1.8260000000000001</v>
      </c>
      <c r="X64" s="89">
        <v>1.65</v>
      </c>
      <c r="Y64" s="89">
        <v>1.492</v>
      </c>
      <c r="Z64" s="89">
        <v>1.351</v>
      </c>
      <c r="AA64" s="89">
        <v>1.2250000000000001</v>
      </c>
      <c r="AB64" s="89">
        <v>1.1120000000000001</v>
      </c>
      <c r="AC64" s="89">
        <v>1.01</v>
      </c>
      <c r="AD64" s="89">
        <v>0.91900000000000004</v>
      </c>
      <c r="AE64" s="89">
        <v>0.83699999999999997</v>
      </c>
    </row>
    <row r="65" spans="1:31" x14ac:dyDescent="0.25">
      <c r="A65" s="97">
        <v>58</v>
      </c>
      <c r="B65" s="89">
        <v>22.702999999999999</v>
      </c>
      <c r="C65" s="89">
        <v>20.007000000000001</v>
      </c>
      <c r="D65" s="89">
        <v>17.629000000000001</v>
      </c>
      <c r="E65" s="89">
        <v>15.537000000000001</v>
      </c>
      <c r="F65" s="89">
        <v>13.7</v>
      </c>
      <c r="G65" s="89">
        <v>12.087</v>
      </c>
      <c r="H65" s="89">
        <v>10.673</v>
      </c>
      <c r="I65" s="89">
        <v>9.4339999999999993</v>
      </c>
      <c r="J65" s="89">
        <v>8.3490000000000002</v>
      </c>
      <c r="K65" s="89">
        <v>7.399</v>
      </c>
      <c r="L65" s="89">
        <v>6.5670000000000002</v>
      </c>
      <c r="M65" s="89">
        <v>5.8360000000000003</v>
      </c>
      <c r="N65" s="89">
        <v>5.1950000000000003</v>
      </c>
      <c r="O65" s="89">
        <v>4.6310000000000002</v>
      </c>
      <c r="P65" s="89">
        <v>4.1349999999999998</v>
      </c>
      <c r="Q65" s="89">
        <v>3.6970000000000001</v>
      </c>
      <c r="R65" s="89">
        <v>3.3090000000000002</v>
      </c>
      <c r="S65" s="89">
        <v>2.9649999999999999</v>
      </c>
      <c r="T65" s="89">
        <v>2.661</v>
      </c>
      <c r="U65" s="89">
        <v>2.39</v>
      </c>
      <c r="V65" s="89">
        <v>2.15</v>
      </c>
      <c r="W65" s="89">
        <v>1.9339999999999999</v>
      </c>
      <c r="X65" s="89">
        <v>1.744</v>
      </c>
      <c r="Y65" s="89">
        <v>1.5740000000000001</v>
      </c>
      <c r="Z65" s="89">
        <v>1.423</v>
      </c>
      <c r="AA65" s="89">
        <v>1.2869999999999999</v>
      </c>
      <c r="AB65" s="89">
        <v>1.1659999999999999</v>
      </c>
      <c r="AC65" s="89">
        <v>1.0580000000000001</v>
      </c>
      <c r="AD65" s="89">
        <v>0.96099999999999997</v>
      </c>
      <c r="AE65" s="89">
        <v>0.875</v>
      </c>
    </row>
    <row r="66" spans="1:31" x14ac:dyDescent="0.25">
      <c r="A66" s="97">
        <v>59</v>
      </c>
      <c r="B66" s="89">
        <v>25.114000000000001</v>
      </c>
      <c r="C66" s="89">
        <v>22.114000000000001</v>
      </c>
      <c r="D66" s="89">
        <v>19.466000000000001</v>
      </c>
      <c r="E66" s="89">
        <v>17.137</v>
      </c>
      <c r="F66" s="89">
        <v>15.09</v>
      </c>
      <c r="G66" s="89">
        <v>13.292999999999999</v>
      </c>
      <c r="H66" s="89">
        <v>11.718999999999999</v>
      </c>
      <c r="I66" s="89">
        <v>10.34</v>
      </c>
      <c r="J66" s="89">
        <v>9.1329999999999991</v>
      </c>
      <c r="K66" s="89">
        <v>8.077</v>
      </c>
      <c r="L66" s="89">
        <v>7.1529999999999996</v>
      </c>
      <c r="M66" s="89">
        <v>6.343</v>
      </c>
      <c r="N66" s="89">
        <v>5.6340000000000003</v>
      </c>
      <c r="O66" s="89">
        <v>5.01</v>
      </c>
      <c r="P66" s="89">
        <v>4.4619999999999997</v>
      </c>
      <c r="Q66" s="89">
        <v>3.98</v>
      </c>
      <c r="R66" s="89">
        <v>3.5550000000000002</v>
      </c>
      <c r="S66" s="89">
        <v>3.1779999999999999</v>
      </c>
      <c r="T66" s="89">
        <v>2.8450000000000002</v>
      </c>
      <c r="U66" s="89">
        <v>2.5489999999999999</v>
      </c>
      <c r="V66" s="89">
        <v>2.2869999999999999</v>
      </c>
      <c r="W66" s="89">
        <v>2.0529999999999999</v>
      </c>
      <c r="X66" s="89">
        <v>1.8480000000000001</v>
      </c>
      <c r="Y66" s="89">
        <v>1.665</v>
      </c>
      <c r="Z66" s="89">
        <v>1.502</v>
      </c>
      <c r="AA66" s="89">
        <v>1.3560000000000001</v>
      </c>
      <c r="AB66" s="89">
        <v>1.226</v>
      </c>
      <c r="AC66" s="89">
        <v>1.111</v>
      </c>
      <c r="AD66" s="89">
        <v>1.008</v>
      </c>
      <c r="AE66" s="89">
        <v>0.91500000000000004</v>
      </c>
    </row>
    <row r="67" spans="1:31" x14ac:dyDescent="0.25">
      <c r="A67" s="97">
        <v>60</v>
      </c>
      <c r="B67" s="89">
        <v>27.824999999999999</v>
      </c>
      <c r="C67" s="89">
        <v>24.484000000000002</v>
      </c>
      <c r="D67" s="89">
        <v>21.535</v>
      </c>
      <c r="E67" s="89">
        <v>18.937999999999999</v>
      </c>
      <c r="F67" s="89">
        <v>16.655999999999999</v>
      </c>
      <c r="G67" s="89">
        <v>14.653</v>
      </c>
      <c r="H67" s="89">
        <v>12.898</v>
      </c>
      <c r="I67" s="89">
        <v>11.361000000000001</v>
      </c>
      <c r="J67" s="89">
        <v>10.016</v>
      </c>
      <c r="K67" s="89">
        <v>8.8420000000000005</v>
      </c>
      <c r="L67" s="89">
        <v>7.8140000000000001</v>
      </c>
      <c r="M67" s="89">
        <v>6.915</v>
      </c>
      <c r="N67" s="89">
        <v>6.1269999999999998</v>
      </c>
      <c r="O67" s="89">
        <v>5.4370000000000003</v>
      </c>
      <c r="P67" s="89">
        <v>4.8310000000000004</v>
      </c>
      <c r="Q67" s="89">
        <v>4.2990000000000004</v>
      </c>
      <c r="R67" s="89">
        <v>3.8290000000000002</v>
      </c>
      <c r="S67" s="89">
        <v>3.415</v>
      </c>
      <c r="T67" s="89">
        <v>3.05</v>
      </c>
      <c r="U67" s="89">
        <v>2.7269999999999999</v>
      </c>
      <c r="V67" s="89">
        <v>2.4409999999999998</v>
      </c>
      <c r="W67" s="89">
        <v>2.1859999999999999</v>
      </c>
      <c r="X67" s="89">
        <v>1.9630000000000001</v>
      </c>
      <c r="Y67" s="89">
        <v>1.7649999999999999</v>
      </c>
      <c r="Z67" s="89">
        <v>1.589</v>
      </c>
      <c r="AA67" s="89">
        <v>1.4319999999999999</v>
      </c>
      <c r="AB67" s="89">
        <v>1.2929999999999999</v>
      </c>
      <c r="AC67" s="89">
        <v>1.169</v>
      </c>
      <c r="AD67" s="89">
        <v>1.0580000000000001</v>
      </c>
      <c r="AE67" s="89">
        <v>0.96</v>
      </c>
    </row>
    <row r="68" spans="1:31" x14ac:dyDescent="0.25">
      <c r="A68" s="97">
        <v>61</v>
      </c>
      <c r="B68" s="89">
        <v>30.873000000000001</v>
      </c>
      <c r="C68" s="89">
        <v>27.152000000000001</v>
      </c>
      <c r="D68" s="89">
        <v>23.864000000000001</v>
      </c>
      <c r="E68" s="89">
        <v>20.969000000000001</v>
      </c>
      <c r="F68" s="89">
        <v>18.422000000000001</v>
      </c>
      <c r="G68" s="89">
        <v>16.187000000000001</v>
      </c>
      <c r="H68" s="89">
        <v>14.228</v>
      </c>
      <c r="I68" s="89">
        <v>12.513</v>
      </c>
      <c r="J68" s="89">
        <v>11.013999999999999</v>
      </c>
      <c r="K68" s="89">
        <v>9.7040000000000006</v>
      </c>
      <c r="L68" s="89">
        <v>8.5589999999999993</v>
      </c>
      <c r="M68" s="89">
        <v>7.5590000000000002</v>
      </c>
      <c r="N68" s="89">
        <v>6.6840000000000002</v>
      </c>
      <c r="O68" s="89">
        <v>5.9169999999999998</v>
      </c>
      <c r="P68" s="89">
        <v>5.2450000000000001</v>
      </c>
      <c r="Q68" s="89">
        <v>4.6559999999999997</v>
      </c>
      <c r="R68" s="89">
        <v>4.1379999999999999</v>
      </c>
      <c r="S68" s="89">
        <v>3.6819999999999999</v>
      </c>
      <c r="T68" s="89">
        <v>3.28</v>
      </c>
      <c r="U68" s="89">
        <v>2.9249999999999998</v>
      </c>
      <c r="V68" s="89">
        <v>2.6120000000000001</v>
      </c>
      <c r="W68" s="89">
        <v>2.3340000000000001</v>
      </c>
      <c r="X68" s="89">
        <v>2.0910000000000002</v>
      </c>
      <c r="Y68" s="89">
        <v>1.875</v>
      </c>
      <c r="Z68" s="89">
        <v>1.6850000000000001</v>
      </c>
      <c r="AA68" s="89">
        <v>1.516</v>
      </c>
      <c r="AB68" s="89">
        <v>1.365</v>
      </c>
      <c r="AC68" s="89">
        <v>1.232</v>
      </c>
      <c r="AD68" s="89">
        <v>1.1140000000000001</v>
      </c>
      <c r="AE68" s="89">
        <v>1.0089999999999999</v>
      </c>
    </row>
    <row r="69" spans="1:31" x14ac:dyDescent="0.25">
      <c r="A69" s="97">
        <v>62</v>
      </c>
      <c r="B69" s="89">
        <v>34.302</v>
      </c>
      <c r="C69" s="89">
        <v>30.155999999999999</v>
      </c>
      <c r="D69" s="89">
        <v>26.489000000000001</v>
      </c>
      <c r="E69" s="89">
        <v>23.257999999999999</v>
      </c>
      <c r="F69" s="89">
        <v>20.414000000000001</v>
      </c>
      <c r="G69" s="89">
        <v>17.917999999999999</v>
      </c>
      <c r="H69" s="89">
        <v>15.73</v>
      </c>
      <c r="I69" s="89">
        <v>13.815</v>
      </c>
      <c r="J69" s="89">
        <v>12.14</v>
      </c>
      <c r="K69" s="89">
        <v>10.678000000000001</v>
      </c>
      <c r="L69" s="89">
        <v>9.4009999999999998</v>
      </c>
      <c r="M69" s="89">
        <v>8.2859999999999996</v>
      </c>
      <c r="N69" s="89">
        <v>7.3109999999999999</v>
      </c>
      <c r="O69" s="89">
        <v>6.4589999999999996</v>
      </c>
      <c r="P69" s="89">
        <v>5.7119999999999997</v>
      </c>
      <c r="Q69" s="89">
        <v>5.0590000000000002</v>
      </c>
      <c r="R69" s="89">
        <v>4.4859999999999998</v>
      </c>
      <c r="S69" s="89">
        <v>3.9809999999999999</v>
      </c>
      <c r="T69" s="89">
        <v>3.5369999999999999</v>
      </c>
      <c r="U69" s="89">
        <v>3.1469999999999998</v>
      </c>
      <c r="V69" s="89">
        <v>2.8039999999999998</v>
      </c>
      <c r="W69" s="89">
        <v>2.4990000000000001</v>
      </c>
      <c r="X69" s="89">
        <v>2.2330000000000001</v>
      </c>
      <c r="Y69" s="89">
        <v>1.9990000000000001</v>
      </c>
      <c r="Z69" s="89">
        <v>1.7909999999999999</v>
      </c>
      <c r="AA69" s="89">
        <v>1.6080000000000001</v>
      </c>
      <c r="AB69" s="89">
        <v>1.446</v>
      </c>
      <c r="AC69" s="89">
        <v>1.302</v>
      </c>
      <c r="AD69" s="89">
        <v>1.175</v>
      </c>
      <c r="AE69" s="89">
        <v>1.0620000000000001</v>
      </c>
    </row>
    <row r="70" spans="1:31" x14ac:dyDescent="0.25">
      <c r="A70" s="97">
        <v>63</v>
      </c>
      <c r="B70" s="89">
        <v>38.161000000000001</v>
      </c>
      <c r="C70" s="89">
        <v>33.54</v>
      </c>
      <c r="D70" s="89">
        <v>29.448</v>
      </c>
      <c r="E70" s="89">
        <v>25.84</v>
      </c>
      <c r="F70" s="89">
        <v>22.663</v>
      </c>
      <c r="G70" s="89">
        <v>19.873000000000001</v>
      </c>
      <c r="H70" s="89">
        <v>17.427</v>
      </c>
      <c r="I70" s="89">
        <v>15.286</v>
      </c>
      <c r="J70" s="89">
        <v>13.414</v>
      </c>
      <c r="K70" s="89">
        <v>11.78</v>
      </c>
      <c r="L70" s="89">
        <v>10.353999999999999</v>
      </c>
      <c r="M70" s="89">
        <v>9.1080000000000005</v>
      </c>
      <c r="N70" s="89">
        <v>8.0210000000000008</v>
      </c>
      <c r="O70" s="89">
        <v>7.0709999999999997</v>
      </c>
      <c r="P70" s="89">
        <v>6.24</v>
      </c>
      <c r="Q70" s="89">
        <v>5.5140000000000002</v>
      </c>
      <c r="R70" s="89">
        <v>4.8769999999999998</v>
      </c>
      <c r="S70" s="89">
        <v>4.3179999999999996</v>
      </c>
      <c r="T70" s="89">
        <v>3.827</v>
      </c>
      <c r="U70" s="89">
        <v>3.3969999999999998</v>
      </c>
      <c r="V70" s="89">
        <v>3.0179999999999998</v>
      </c>
      <c r="W70" s="89">
        <v>2.6829999999999998</v>
      </c>
      <c r="X70" s="89">
        <v>2.3919999999999999</v>
      </c>
      <c r="Y70" s="89">
        <v>2.1360000000000001</v>
      </c>
      <c r="Z70" s="89">
        <v>1.91</v>
      </c>
      <c r="AA70" s="89">
        <v>1.7110000000000001</v>
      </c>
      <c r="AB70" s="89">
        <v>1.5349999999999999</v>
      </c>
      <c r="AC70" s="89">
        <v>1.38</v>
      </c>
      <c r="AD70" s="89">
        <v>1.2430000000000001</v>
      </c>
      <c r="AE70" s="89">
        <v>1.121</v>
      </c>
    </row>
    <row r="71" spans="1:31" x14ac:dyDescent="0.25">
      <c r="A71" s="97">
        <v>64</v>
      </c>
      <c r="B71" s="89">
        <v>42.509</v>
      </c>
      <c r="C71" s="89">
        <v>37.354999999999997</v>
      </c>
      <c r="D71" s="89">
        <v>32.786000000000001</v>
      </c>
      <c r="E71" s="89">
        <v>28.754999999999999</v>
      </c>
      <c r="F71" s="89">
        <v>25.204000000000001</v>
      </c>
      <c r="G71" s="89">
        <v>22.082999999999998</v>
      </c>
      <c r="H71" s="89">
        <v>19.346</v>
      </c>
      <c r="I71" s="89">
        <v>16.95</v>
      </c>
      <c r="J71" s="89">
        <v>14.855</v>
      </c>
      <c r="K71" s="89">
        <v>13.026999999999999</v>
      </c>
      <c r="L71" s="89">
        <v>11.432</v>
      </c>
      <c r="M71" s="89">
        <v>10.039</v>
      </c>
      <c r="N71" s="89">
        <v>8.8249999999999993</v>
      </c>
      <c r="O71" s="89">
        <v>7.7640000000000002</v>
      </c>
      <c r="P71" s="89">
        <v>6.8369999999999997</v>
      </c>
      <c r="Q71" s="89">
        <v>6.0279999999999996</v>
      </c>
      <c r="R71" s="89">
        <v>5.319</v>
      </c>
      <c r="S71" s="89">
        <v>4.6980000000000004</v>
      </c>
      <c r="T71" s="89">
        <v>4.1539999999999999</v>
      </c>
      <c r="U71" s="89">
        <v>3.677</v>
      </c>
      <c r="V71" s="89">
        <v>3.2589999999999999</v>
      </c>
      <c r="W71" s="89">
        <v>2.89</v>
      </c>
      <c r="X71" s="89">
        <v>2.57</v>
      </c>
      <c r="Y71" s="89">
        <v>2.2890000000000001</v>
      </c>
      <c r="Z71" s="89">
        <v>2.0430000000000001</v>
      </c>
      <c r="AA71" s="89">
        <v>1.825</v>
      </c>
      <c r="AB71" s="89">
        <v>1.6339999999999999</v>
      </c>
      <c r="AC71" s="89">
        <v>1.466</v>
      </c>
      <c r="AD71" s="89">
        <v>1.3169999999999999</v>
      </c>
      <c r="AE71" s="89">
        <v>1.1870000000000001</v>
      </c>
    </row>
    <row r="72" spans="1:31" x14ac:dyDescent="0.25">
      <c r="A72" s="97">
        <v>65</v>
      </c>
      <c r="B72" s="89">
        <v>47.411999999999999</v>
      </c>
      <c r="C72" s="89">
        <v>41.658999999999999</v>
      </c>
      <c r="D72" s="89">
        <v>36.557000000000002</v>
      </c>
      <c r="E72" s="89">
        <v>32.049999999999997</v>
      </c>
      <c r="F72" s="89">
        <v>28.077000000000002</v>
      </c>
      <c r="G72" s="89">
        <v>24.584</v>
      </c>
      <c r="H72" s="89">
        <v>21.518999999999998</v>
      </c>
      <c r="I72" s="89">
        <v>18.835000000000001</v>
      </c>
      <c r="J72" s="89">
        <v>16.488</v>
      </c>
      <c r="K72" s="89">
        <v>14.441000000000001</v>
      </c>
      <c r="L72" s="89">
        <v>12.654</v>
      </c>
      <c r="M72" s="89">
        <v>11.095000000000001</v>
      </c>
      <c r="N72" s="89">
        <v>9.7360000000000007</v>
      </c>
      <c r="O72" s="89">
        <v>8.5489999999999995</v>
      </c>
      <c r="P72" s="89">
        <v>7.5129999999999999</v>
      </c>
      <c r="Q72" s="89">
        <v>6.61</v>
      </c>
      <c r="R72" s="89">
        <v>5.82</v>
      </c>
      <c r="S72" s="89">
        <v>5.1280000000000001</v>
      </c>
      <c r="T72" s="89">
        <v>4.5229999999999997</v>
      </c>
      <c r="U72" s="89">
        <v>3.9940000000000002</v>
      </c>
      <c r="V72" s="89">
        <v>3.5310000000000001</v>
      </c>
      <c r="W72" s="89">
        <v>3.1230000000000002</v>
      </c>
      <c r="X72" s="89">
        <v>2.77</v>
      </c>
      <c r="Y72" s="89">
        <v>2.4609999999999999</v>
      </c>
      <c r="Z72" s="89">
        <v>2.1909999999999998</v>
      </c>
      <c r="AA72" s="89">
        <v>1.9530000000000001</v>
      </c>
      <c r="AB72" s="89">
        <v>1.744</v>
      </c>
      <c r="AC72" s="89">
        <v>1.5609999999999999</v>
      </c>
      <c r="AD72" s="89">
        <v>1.4</v>
      </c>
      <c r="AE72" s="89">
        <v>1.2589999999999999</v>
      </c>
    </row>
    <row r="73" spans="1:31" x14ac:dyDescent="0.25">
      <c r="A73" s="97">
        <v>66</v>
      </c>
      <c r="B73" s="89">
        <v>52.948</v>
      </c>
      <c r="C73" s="89">
        <v>46.524999999999999</v>
      </c>
      <c r="D73" s="89">
        <v>40.82</v>
      </c>
      <c r="E73" s="89">
        <v>35.779000000000003</v>
      </c>
      <c r="F73" s="89">
        <v>31.331</v>
      </c>
      <c r="G73" s="89">
        <v>27.417000000000002</v>
      </c>
      <c r="H73" s="89">
        <v>23.981999999999999</v>
      </c>
      <c r="I73" s="89">
        <v>20.972999999999999</v>
      </c>
      <c r="J73" s="89">
        <v>18.341000000000001</v>
      </c>
      <c r="K73" s="89">
        <v>16.045999999999999</v>
      </c>
      <c r="L73" s="89">
        <v>14.042</v>
      </c>
      <c r="M73" s="89">
        <v>12.294</v>
      </c>
      <c r="N73" s="89">
        <v>10.771000000000001</v>
      </c>
      <c r="O73" s="89">
        <v>9.4410000000000007</v>
      </c>
      <c r="P73" s="89">
        <v>8.2810000000000006</v>
      </c>
      <c r="Q73" s="89">
        <v>7.2709999999999999</v>
      </c>
      <c r="R73" s="89">
        <v>6.3879999999999999</v>
      </c>
      <c r="S73" s="89">
        <v>5.6150000000000002</v>
      </c>
      <c r="T73" s="89">
        <v>4.9409999999999998</v>
      </c>
      <c r="U73" s="89">
        <v>4.3520000000000003</v>
      </c>
      <c r="V73" s="89">
        <v>3.8380000000000001</v>
      </c>
      <c r="W73" s="89">
        <v>3.3860000000000001</v>
      </c>
      <c r="X73" s="89">
        <v>2.9950000000000001</v>
      </c>
      <c r="Y73" s="89">
        <v>2.6549999999999998</v>
      </c>
      <c r="Z73" s="89">
        <v>2.3570000000000002</v>
      </c>
      <c r="AA73" s="89">
        <v>2.0960000000000001</v>
      </c>
      <c r="AB73" s="89">
        <v>1.8680000000000001</v>
      </c>
      <c r="AC73" s="89">
        <v>1.6679999999999999</v>
      </c>
      <c r="AD73" s="89">
        <v>1.4930000000000001</v>
      </c>
      <c r="AE73" s="89">
        <v>1.339</v>
      </c>
    </row>
    <row r="74" spans="1:31" x14ac:dyDescent="0.25">
      <c r="A74" s="97">
        <v>67</v>
      </c>
      <c r="B74" s="89">
        <v>59.21</v>
      </c>
      <c r="C74" s="89">
        <v>52.030999999999999</v>
      </c>
      <c r="D74" s="89">
        <v>45.649000000000001</v>
      </c>
      <c r="E74" s="89">
        <v>40.003999999999998</v>
      </c>
      <c r="F74" s="89">
        <v>35.020000000000003</v>
      </c>
      <c r="G74" s="89">
        <v>30.632000000000001</v>
      </c>
      <c r="H74" s="89">
        <v>26.779</v>
      </c>
      <c r="I74" s="89">
        <v>23.402000000000001</v>
      </c>
      <c r="J74" s="89">
        <v>20.446999999999999</v>
      </c>
      <c r="K74" s="89">
        <v>17.870999999999999</v>
      </c>
      <c r="L74" s="89">
        <v>15.621</v>
      </c>
      <c r="M74" s="89">
        <v>13.659000000000001</v>
      </c>
      <c r="N74" s="89">
        <v>11.948</v>
      </c>
      <c r="O74" s="89">
        <v>10.456</v>
      </c>
      <c r="P74" s="89">
        <v>9.1560000000000006</v>
      </c>
      <c r="Q74" s="89">
        <v>8.0229999999999997</v>
      </c>
      <c r="R74" s="89">
        <v>7.0339999999999998</v>
      </c>
      <c r="S74" s="89">
        <v>6.1689999999999996</v>
      </c>
      <c r="T74" s="89">
        <v>5.415</v>
      </c>
      <c r="U74" s="89">
        <v>4.758</v>
      </c>
      <c r="V74" s="89">
        <v>4.1849999999999996</v>
      </c>
      <c r="W74" s="89">
        <v>3.6819999999999999</v>
      </c>
      <c r="X74" s="89">
        <v>3.25</v>
      </c>
      <c r="Y74" s="89">
        <v>2.8730000000000002</v>
      </c>
      <c r="Z74" s="89">
        <v>2.544</v>
      </c>
      <c r="AA74" s="89">
        <v>2.2559999999999998</v>
      </c>
      <c r="AB74" s="89">
        <v>2.0059999999999998</v>
      </c>
      <c r="AC74" s="89">
        <v>1.7869999999999999</v>
      </c>
      <c r="AD74" s="89">
        <v>1.595</v>
      </c>
      <c r="AE74" s="89">
        <v>1.4279999999999999</v>
      </c>
    </row>
    <row r="75" spans="1:31" x14ac:dyDescent="0.25">
      <c r="A75" s="97">
        <v>68</v>
      </c>
      <c r="B75" s="89">
        <v>66.304000000000002</v>
      </c>
      <c r="C75" s="89">
        <v>58.273000000000003</v>
      </c>
      <c r="D75" s="89">
        <v>51.125999999999998</v>
      </c>
      <c r="E75" s="89">
        <v>44.798999999999999</v>
      </c>
      <c r="F75" s="89">
        <v>39.209000000000003</v>
      </c>
      <c r="G75" s="89">
        <v>34.284999999999997</v>
      </c>
      <c r="H75" s="89">
        <v>29.957999999999998</v>
      </c>
      <c r="I75" s="89">
        <v>26.164999999999999</v>
      </c>
      <c r="J75" s="89">
        <v>22.844000000000001</v>
      </c>
      <c r="K75" s="89">
        <v>19.948</v>
      </c>
      <c r="L75" s="89">
        <v>17.419</v>
      </c>
      <c r="M75" s="89">
        <v>15.214</v>
      </c>
      <c r="N75" s="89">
        <v>13.291</v>
      </c>
      <c r="O75" s="89">
        <v>11.614000000000001</v>
      </c>
      <c r="P75" s="89">
        <v>10.151999999999999</v>
      </c>
      <c r="Q75" s="89">
        <v>8.8800000000000008</v>
      </c>
      <c r="R75" s="89">
        <v>7.77</v>
      </c>
      <c r="S75" s="89">
        <v>6.8</v>
      </c>
      <c r="T75" s="89">
        <v>5.9550000000000001</v>
      </c>
      <c r="U75" s="89">
        <v>5.22</v>
      </c>
      <c r="V75" s="89">
        <v>4.58</v>
      </c>
      <c r="W75" s="89">
        <v>4.0190000000000001</v>
      </c>
      <c r="X75" s="89">
        <v>3.5379999999999998</v>
      </c>
      <c r="Y75" s="89">
        <v>3.1190000000000002</v>
      </c>
      <c r="Z75" s="89">
        <v>2.7549999999999999</v>
      </c>
      <c r="AA75" s="89">
        <v>2.4369999999999998</v>
      </c>
      <c r="AB75" s="89">
        <v>2.161</v>
      </c>
      <c r="AC75" s="89">
        <v>1.921</v>
      </c>
      <c r="AD75" s="89">
        <v>1.7110000000000001</v>
      </c>
      <c r="AE75" s="89">
        <v>1.528</v>
      </c>
    </row>
    <row r="76" spans="1:31" x14ac:dyDescent="0.25">
      <c r="A76" s="97">
        <v>69</v>
      </c>
      <c r="B76" s="89">
        <v>74.356999999999999</v>
      </c>
      <c r="C76" s="89">
        <v>65.361999999999995</v>
      </c>
      <c r="D76" s="89">
        <v>57.35</v>
      </c>
      <c r="E76" s="89">
        <v>50.250999999999998</v>
      </c>
      <c r="F76" s="89">
        <v>43.975000000000001</v>
      </c>
      <c r="G76" s="89">
        <v>38.442999999999998</v>
      </c>
      <c r="H76" s="89">
        <v>33.578000000000003</v>
      </c>
      <c r="I76" s="89">
        <v>29.312999999999999</v>
      </c>
      <c r="J76" s="89">
        <v>25.577000000000002</v>
      </c>
      <c r="K76" s="89">
        <v>22.318000000000001</v>
      </c>
      <c r="L76" s="89">
        <v>19.472000000000001</v>
      </c>
      <c r="M76" s="89">
        <v>16.989000000000001</v>
      </c>
      <c r="N76" s="89">
        <v>14.824999999999999</v>
      </c>
      <c r="O76" s="89">
        <v>12.936999999999999</v>
      </c>
      <c r="P76" s="89">
        <v>11.292</v>
      </c>
      <c r="Q76" s="89">
        <v>9.86</v>
      </c>
      <c r="R76" s="89">
        <v>8.6110000000000007</v>
      </c>
      <c r="S76" s="89">
        <v>7.52</v>
      </c>
      <c r="T76" s="89">
        <v>6.5720000000000001</v>
      </c>
      <c r="U76" s="89">
        <v>5.7469999999999999</v>
      </c>
      <c r="V76" s="89">
        <v>5.03</v>
      </c>
      <c r="W76" s="89">
        <v>4.4029999999999996</v>
      </c>
      <c r="X76" s="89">
        <v>3.8650000000000002</v>
      </c>
      <c r="Y76" s="89">
        <v>3.399</v>
      </c>
      <c r="Z76" s="89">
        <v>2.9940000000000002</v>
      </c>
      <c r="AA76" s="89">
        <v>2.6419999999999999</v>
      </c>
      <c r="AB76" s="89">
        <v>2.3370000000000002</v>
      </c>
      <c r="AC76" s="89">
        <v>2.0710000000000002</v>
      </c>
      <c r="AD76" s="89">
        <v>1.841</v>
      </c>
      <c r="AE76" s="89">
        <v>1.64</v>
      </c>
    </row>
    <row r="77" spans="1:31" x14ac:dyDescent="0.25">
      <c r="A77" s="97">
        <v>70</v>
      </c>
      <c r="B77" s="89">
        <v>83.513000000000005</v>
      </c>
      <c r="C77" s="89">
        <v>73.426000000000002</v>
      </c>
      <c r="D77" s="89">
        <v>64.430999999999997</v>
      </c>
      <c r="E77" s="89">
        <v>56.457999999999998</v>
      </c>
      <c r="F77" s="89">
        <v>49.402999999999999</v>
      </c>
      <c r="G77" s="89">
        <v>43.18</v>
      </c>
      <c r="H77" s="89">
        <v>37.704999999999998</v>
      </c>
      <c r="I77" s="89">
        <v>32.902999999999999</v>
      </c>
      <c r="J77" s="89">
        <v>28.696000000000002</v>
      </c>
      <c r="K77" s="89">
        <v>25.024999999999999</v>
      </c>
      <c r="L77" s="89">
        <v>21.817</v>
      </c>
      <c r="M77" s="89">
        <v>19.018999999999998</v>
      </c>
      <c r="N77" s="89">
        <v>16.579000000000001</v>
      </c>
      <c r="O77" s="89">
        <v>14.45</v>
      </c>
      <c r="P77" s="89">
        <v>12.595000000000001</v>
      </c>
      <c r="Q77" s="89">
        <v>10.981999999999999</v>
      </c>
      <c r="R77" s="89">
        <v>9.5739999999999998</v>
      </c>
      <c r="S77" s="89">
        <v>8.3450000000000006</v>
      </c>
      <c r="T77" s="89">
        <v>7.2770000000000001</v>
      </c>
      <c r="U77" s="89">
        <v>6.35</v>
      </c>
      <c r="V77" s="89">
        <v>5.5439999999999996</v>
      </c>
      <c r="W77" s="89">
        <v>4.84</v>
      </c>
      <c r="X77" s="89">
        <v>4.2380000000000004</v>
      </c>
      <c r="Y77" s="89">
        <v>3.7170000000000001</v>
      </c>
      <c r="Z77" s="89">
        <v>3.266</v>
      </c>
      <c r="AA77" s="89">
        <v>2.8740000000000001</v>
      </c>
      <c r="AB77" s="89">
        <v>2.5350000000000001</v>
      </c>
      <c r="AC77" s="89">
        <v>2.242</v>
      </c>
      <c r="AD77" s="89">
        <v>1.9870000000000001</v>
      </c>
      <c r="AE77" s="89">
        <v>1.766</v>
      </c>
    </row>
    <row r="78" spans="1:31" x14ac:dyDescent="0.25">
      <c r="A78" s="97">
        <v>71</v>
      </c>
      <c r="B78" s="89">
        <v>93.930999999999997</v>
      </c>
      <c r="C78" s="89">
        <v>82.605000000000004</v>
      </c>
      <c r="D78" s="89">
        <v>72.495999999999995</v>
      </c>
      <c r="E78" s="89">
        <v>63.529000000000003</v>
      </c>
      <c r="F78" s="89">
        <v>55.588000000000001</v>
      </c>
      <c r="G78" s="89">
        <v>48.581000000000003</v>
      </c>
      <c r="H78" s="89">
        <v>42.412999999999997</v>
      </c>
      <c r="I78" s="89">
        <v>37</v>
      </c>
      <c r="J78" s="89">
        <v>32.256999999999998</v>
      </c>
      <c r="K78" s="89">
        <v>28.117000000000001</v>
      </c>
      <c r="L78" s="89">
        <v>24.498000000000001</v>
      </c>
      <c r="M78" s="89">
        <v>21.34</v>
      </c>
      <c r="N78" s="89">
        <v>18.585999999999999</v>
      </c>
      <c r="O78" s="89">
        <v>16.183</v>
      </c>
      <c r="P78" s="89">
        <v>14.087999999999999</v>
      </c>
      <c r="Q78" s="89">
        <v>12.266</v>
      </c>
      <c r="R78" s="89">
        <v>10.677</v>
      </c>
      <c r="S78" s="89">
        <v>9.2889999999999997</v>
      </c>
      <c r="T78" s="89">
        <v>8.0850000000000009</v>
      </c>
      <c r="U78" s="89">
        <v>7.0389999999999997</v>
      </c>
      <c r="V78" s="89">
        <v>6.1319999999999997</v>
      </c>
      <c r="W78" s="89">
        <v>5.3390000000000004</v>
      </c>
      <c r="X78" s="89">
        <v>4.6630000000000003</v>
      </c>
      <c r="Y78" s="89">
        <v>4.0789999999999997</v>
      </c>
      <c r="Z78" s="89">
        <v>3.5750000000000002</v>
      </c>
      <c r="AA78" s="89">
        <v>3.1379999999999999</v>
      </c>
      <c r="AB78" s="89">
        <v>2.76</v>
      </c>
      <c r="AC78" s="89">
        <v>2.4350000000000001</v>
      </c>
      <c r="AD78" s="89">
        <v>2.153</v>
      </c>
      <c r="AE78" s="89">
        <v>1.9079999999999999</v>
      </c>
    </row>
    <row r="79" spans="1:31" x14ac:dyDescent="0.25">
      <c r="A79" s="97">
        <v>72</v>
      </c>
      <c r="B79" s="89">
        <v>105.80800000000001</v>
      </c>
      <c r="C79" s="89">
        <v>93.073999999999998</v>
      </c>
      <c r="D79" s="89">
        <v>81.697000000000003</v>
      </c>
      <c r="E79" s="89">
        <v>71.596999999999994</v>
      </c>
      <c r="F79" s="89">
        <v>62.649000000000001</v>
      </c>
      <c r="G79" s="89">
        <v>54.747999999999998</v>
      </c>
      <c r="H79" s="89">
        <v>47.790999999999997</v>
      </c>
      <c r="I79" s="89">
        <v>41.683</v>
      </c>
      <c r="J79" s="89">
        <v>36.328000000000003</v>
      </c>
      <c r="K79" s="89">
        <v>31.652999999999999</v>
      </c>
      <c r="L79" s="89">
        <v>27.565999999999999</v>
      </c>
      <c r="M79" s="89">
        <v>23.998999999999999</v>
      </c>
      <c r="N79" s="89">
        <v>20.887</v>
      </c>
      <c r="O79" s="89">
        <v>18.169</v>
      </c>
      <c r="P79" s="89">
        <v>15.801</v>
      </c>
      <c r="Q79" s="89">
        <v>13.74</v>
      </c>
      <c r="R79" s="89">
        <v>11.942</v>
      </c>
      <c r="S79" s="89">
        <v>10.372999999999999</v>
      </c>
      <c r="T79" s="89">
        <v>9.0109999999999992</v>
      </c>
      <c r="U79" s="89">
        <v>7.8289999999999997</v>
      </c>
      <c r="V79" s="89">
        <v>6.8049999999999997</v>
      </c>
      <c r="W79" s="89">
        <v>5.91</v>
      </c>
      <c r="X79" s="89">
        <v>5.15</v>
      </c>
      <c r="Y79" s="89">
        <v>4.4930000000000003</v>
      </c>
      <c r="Z79" s="89">
        <v>3.927</v>
      </c>
      <c r="AA79" s="89">
        <v>3.4380000000000002</v>
      </c>
      <c r="AB79" s="89">
        <v>3.0169999999999999</v>
      </c>
      <c r="AC79" s="89">
        <v>2.653</v>
      </c>
      <c r="AD79" s="89">
        <v>2.34</v>
      </c>
      <c r="AE79" s="89">
        <v>2.069</v>
      </c>
    </row>
    <row r="80" spans="1:31" x14ac:dyDescent="0.25">
      <c r="A80" s="97">
        <v>73</v>
      </c>
      <c r="B80" s="89">
        <v>119.389</v>
      </c>
      <c r="C80" s="89">
        <v>105.048</v>
      </c>
      <c r="D80" s="89">
        <v>92.221999999999994</v>
      </c>
      <c r="E80" s="89">
        <v>80.83</v>
      </c>
      <c r="F80" s="89">
        <v>70.73</v>
      </c>
      <c r="G80" s="89">
        <v>61.808</v>
      </c>
      <c r="H80" s="89">
        <v>53.948999999999998</v>
      </c>
      <c r="I80" s="89">
        <v>47.046999999999997</v>
      </c>
      <c r="J80" s="89">
        <v>40.993000000000002</v>
      </c>
      <c r="K80" s="89">
        <v>35.709000000000003</v>
      </c>
      <c r="L80" s="89">
        <v>31.087</v>
      </c>
      <c r="M80" s="89">
        <v>27.050999999999998</v>
      </c>
      <c r="N80" s="89">
        <v>23.529</v>
      </c>
      <c r="O80" s="89">
        <v>20.452999999999999</v>
      </c>
      <c r="P80" s="89">
        <v>17.77</v>
      </c>
      <c r="Q80" s="89">
        <v>15.436</v>
      </c>
      <c r="R80" s="89">
        <v>13.398999999999999</v>
      </c>
      <c r="S80" s="89">
        <v>11.62</v>
      </c>
      <c r="T80" s="89">
        <v>10.077</v>
      </c>
      <c r="U80" s="89">
        <v>8.7379999999999995</v>
      </c>
      <c r="V80" s="89">
        <v>7.5780000000000003</v>
      </c>
      <c r="W80" s="89">
        <v>6.5670000000000002</v>
      </c>
      <c r="X80" s="89">
        <v>5.7069999999999999</v>
      </c>
      <c r="Y80" s="89">
        <v>4.9669999999999996</v>
      </c>
      <c r="Z80" s="89">
        <v>4.33</v>
      </c>
      <c r="AA80" s="89">
        <v>3.7810000000000001</v>
      </c>
      <c r="AB80" s="89">
        <v>3.3090000000000002</v>
      </c>
      <c r="AC80" s="89">
        <v>2.903</v>
      </c>
      <c r="AD80" s="89">
        <v>2.5529999999999999</v>
      </c>
      <c r="AE80" s="89">
        <v>2.2519999999999998</v>
      </c>
    </row>
    <row r="81" spans="1:31" x14ac:dyDescent="0.25">
      <c r="A81" s="97">
        <v>74</v>
      </c>
      <c r="B81" s="89">
        <v>134.971</v>
      </c>
      <c r="C81" s="89">
        <v>118.79</v>
      </c>
      <c r="D81" s="89">
        <v>104.304</v>
      </c>
      <c r="E81" s="89">
        <v>91.43</v>
      </c>
      <c r="F81" s="89">
        <v>80.010000000000005</v>
      </c>
      <c r="G81" s="89">
        <v>69.915999999999997</v>
      </c>
      <c r="H81" s="89">
        <v>61.021999999999998</v>
      </c>
      <c r="I81" s="89">
        <v>53.21</v>
      </c>
      <c r="J81" s="89">
        <v>46.356000000000002</v>
      </c>
      <c r="K81" s="89">
        <v>40.372999999999998</v>
      </c>
      <c r="L81" s="89">
        <v>35.137999999999998</v>
      </c>
      <c r="M81" s="89">
        <v>30.565000000000001</v>
      </c>
      <c r="N81" s="89">
        <v>26.574000000000002</v>
      </c>
      <c r="O81" s="89">
        <v>23.085000000000001</v>
      </c>
      <c r="P81" s="89">
        <v>20.042000000000002</v>
      </c>
      <c r="Q81" s="89">
        <v>17.393000000000001</v>
      </c>
      <c r="R81" s="89">
        <v>15.08</v>
      </c>
      <c r="S81" s="89">
        <v>13.06</v>
      </c>
      <c r="T81" s="89">
        <v>11.307</v>
      </c>
      <c r="U81" s="89">
        <v>9.7859999999999996</v>
      </c>
      <c r="V81" s="89">
        <v>8.4710000000000001</v>
      </c>
      <c r="W81" s="89">
        <v>7.3230000000000004</v>
      </c>
      <c r="X81" s="89">
        <v>6.35</v>
      </c>
      <c r="Y81" s="89">
        <v>5.5129999999999999</v>
      </c>
      <c r="Z81" s="89">
        <v>4.7939999999999996</v>
      </c>
      <c r="AA81" s="89">
        <v>4.1749999999999998</v>
      </c>
      <c r="AB81" s="89">
        <v>3.6440000000000001</v>
      </c>
      <c r="AC81" s="89">
        <v>3.1880000000000002</v>
      </c>
      <c r="AD81" s="89">
        <v>2.7970000000000002</v>
      </c>
      <c r="AE81" s="89">
        <v>2.4609999999999999</v>
      </c>
    </row>
    <row r="82" spans="1:31" x14ac:dyDescent="0.25">
      <c r="A82" s="97">
        <v>75</v>
      </c>
      <c r="B82" s="89">
        <v>152.892</v>
      </c>
      <c r="C82" s="89">
        <v>134.59899999999999</v>
      </c>
      <c r="D82" s="89">
        <v>118.205</v>
      </c>
      <c r="E82" s="89">
        <v>103.627</v>
      </c>
      <c r="F82" s="89">
        <v>90.688000000000002</v>
      </c>
      <c r="G82" s="89">
        <v>79.248000000000005</v>
      </c>
      <c r="H82" s="89">
        <v>69.164000000000001</v>
      </c>
      <c r="I82" s="89">
        <v>60.305</v>
      </c>
      <c r="J82" s="89">
        <v>52.531999999999996</v>
      </c>
      <c r="K82" s="89">
        <v>45.746000000000002</v>
      </c>
      <c r="L82" s="89">
        <v>39.807000000000002</v>
      </c>
      <c r="M82" s="89">
        <v>34.619</v>
      </c>
      <c r="N82" s="89">
        <v>30.087</v>
      </c>
      <c r="O82" s="89">
        <v>26.125</v>
      </c>
      <c r="P82" s="89">
        <v>22.667000000000002</v>
      </c>
      <c r="Q82" s="89">
        <v>19.655999999999999</v>
      </c>
      <c r="R82" s="89">
        <v>17.024999999999999</v>
      </c>
      <c r="S82" s="89">
        <v>14.726000000000001</v>
      </c>
      <c r="T82" s="89">
        <v>12.73</v>
      </c>
      <c r="U82" s="89">
        <v>11</v>
      </c>
      <c r="V82" s="89">
        <v>9.5030000000000001</v>
      </c>
      <c r="W82" s="89">
        <v>8.1959999999999997</v>
      </c>
      <c r="X82" s="89">
        <v>7.0910000000000002</v>
      </c>
      <c r="Y82" s="89">
        <v>6.1420000000000003</v>
      </c>
      <c r="Z82" s="89">
        <v>5.327</v>
      </c>
      <c r="AA82" s="89">
        <v>4.6280000000000001</v>
      </c>
      <c r="AB82" s="89">
        <v>4.0279999999999996</v>
      </c>
      <c r="AC82" s="89">
        <v>3.516</v>
      </c>
      <c r="AD82" s="89">
        <v>3.0760000000000001</v>
      </c>
      <c r="AE82" s="89">
        <v>2.6989999999999998</v>
      </c>
    </row>
    <row r="83" spans="1:31" x14ac:dyDescent="0.25">
      <c r="A83" s="97">
        <v>76</v>
      </c>
      <c r="B83" s="89">
        <v>173.56700000000001</v>
      </c>
      <c r="C83" s="89">
        <v>152.84399999999999</v>
      </c>
      <c r="D83" s="89">
        <v>134.25</v>
      </c>
      <c r="E83" s="89">
        <v>117.706</v>
      </c>
      <c r="F83" s="89">
        <v>103.01300000000001</v>
      </c>
      <c r="G83" s="89">
        <v>90.019000000000005</v>
      </c>
      <c r="H83" s="89">
        <v>78.561999999999998</v>
      </c>
      <c r="I83" s="89">
        <v>68.497</v>
      </c>
      <c r="J83" s="89">
        <v>59.662999999999997</v>
      </c>
      <c r="K83" s="89">
        <v>51.953000000000003</v>
      </c>
      <c r="L83" s="89">
        <v>45.203000000000003</v>
      </c>
      <c r="M83" s="89">
        <v>39.305</v>
      </c>
      <c r="N83" s="89">
        <v>34.152999999999999</v>
      </c>
      <c r="O83" s="89">
        <v>29.645</v>
      </c>
      <c r="P83" s="89">
        <v>25.707999999999998</v>
      </c>
      <c r="Q83" s="89">
        <v>22.28</v>
      </c>
      <c r="R83" s="89">
        <v>19.280999999999999</v>
      </c>
      <c r="S83" s="89">
        <v>16.658999999999999</v>
      </c>
      <c r="T83" s="89">
        <v>14.382</v>
      </c>
      <c r="U83" s="89">
        <v>12.407</v>
      </c>
      <c r="V83" s="89">
        <v>10.7</v>
      </c>
      <c r="W83" s="89">
        <v>9.2089999999999996</v>
      </c>
      <c r="X83" s="89">
        <v>7.95</v>
      </c>
      <c r="Y83" s="89">
        <v>6.87</v>
      </c>
      <c r="Z83" s="89">
        <v>5.944</v>
      </c>
      <c r="AA83" s="89">
        <v>5.1509999999999998</v>
      </c>
      <c r="AB83" s="89">
        <v>4.4720000000000004</v>
      </c>
      <c r="AC83" s="89">
        <v>3.8929999999999998</v>
      </c>
      <c r="AD83" s="89">
        <v>3.3969999999999998</v>
      </c>
      <c r="AE83" s="89">
        <v>2.9729999999999999</v>
      </c>
    </row>
    <row r="84" spans="1:31" x14ac:dyDescent="0.25">
      <c r="A84" s="97">
        <v>77</v>
      </c>
      <c r="B84" s="89">
        <v>197.49</v>
      </c>
      <c r="C84" s="89">
        <v>173.96100000000001</v>
      </c>
      <c r="D84" s="89">
        <v>152.82400000000001</v>
      </c>
      <c r="E84" s="89">
        <v>134.005</v>
      </c>
      <c r="F84" s="89">
        <v>117.282</v>
      </c>
      <c r="G84" s="89">
        <v>102.48699999999999</v>
      </c>
      <c r="H84" s="89">
        <v>89.44</v>
      </c>
      <c r="I84" s="89">
        <v>77.977999999999994</v>
      </c>
      <c r="J84" s="89">
        <v>67.918000000000006</v>
      </c>
      <c r="K84" s="89">
        <v>59.14</v>
      </c>
      <c r="L84" s="89">
        <v>51.454000000000001</v>
      </c>
      <c r="M84" s="89">
        <v>44.738</v>
      </c>
      <c r="N84" s="89">
        <v>38.868000000000002</v>
      </c>
      <c r="O84" s="89">
        <v>33.729999999999997</v>
      </c>
      <c r="P84" s="89">
        <v>29.241</v>
      </c>
      <c r="Q84" s="89">
        <v>25.329000000000001</v>
      </c>
      <c r="R84" s="89">
        <v>21.905000000000001</v>
      </c>
      <c r="S84" s="89">
        <v>18.907</v>
      </c>
      <c r="T84" s="89">
        <v>16.303999999999998</v>
      </c>
      <c r="U84" s="89">
        <v>14.045</v>
      </c>
      <c r="V84" s="89">
        <v>12.090999999999999</v>
      </c>
      <c r="W84" s="89">
        <v>10.385</v>
      </c>
      <c r="X84" s="89">
        <v>8.9480000000000004</v>
      </c>
      <c r="Y84" s="89">
        <v>7.7149999999999999</v>
      </c>
      <c r="Z84" s="89">
        <v>6.66</v>
      </c>
      <c r="AA84" s="89">
        <v>5.7560000000000002</v>
      </c>
      <c r="AB84" s="89">
        <v>4.9850000000000003</v>
      </c>
      <c r="AC84" s="89">
        <v>4.3280000000000003</v>
      </c>
      <c r="AD84" s="89">
        <v>3.7669999999999999</v>
      </c>
      <c r="AE84" s="89">
        <v>3.2879999999999998</v>
      </c>
    </row>
    <row r="85" spans="1:31" x14ac:dyDescent="0.25">
      <c r="A85" s="97">
        <v>78</v>
      </c>
      <c r="B85" s="89">
        <v>225.209</v>
      </c>
      <c r="C85" s="89">
        <v>198.43799999999999</v>
      </c>
      <c r="D85" s="89">
        <v>174.35599999999999</v>
      </c>
      <c r="E85" s="89">
        <v>152.9</v>
      </c>
      <c r="F85" s="89">
        <v>133.82300000000001</v>
      </c>
      <c r="G85" s="89">
        <v>116.93899999999999</v>
      </c>
      <c r="H85" s="89">
        <v>102.048</v>
      </c>
      <c r="I85" s="89">
        <v>88.965999999999994</v>
      </c>
      <c r="J85" s="89">
        <v>77.483999999999995</v>
      </c>
      <c r="K85" s="89">
        <v>67.47</v>
      </c>
      <c r="L85" s="89">
        <v>58.701999999999998</v>
      </c>
      <c r="M85" s="89">
        <v>51.039000000000001</v>
      </c>
      <c r="N85" s="89">
        <v>44.341000000000001</v>
      </c>
      <c r="O85" s="89">
        <v>38.475000000000001</v>
      </c>
      <c r="P85" s="89">
        <v>33.345999999999997</v>
      </c>
      <c r="Q85" s="89">
        <v>28.876000000000001</v>
      </c>
      <c r="R85" s="89">
        <v>24.959</v>
      </c>
      <c r="S85" s="89">
        <v>21.524999999999999</v>
      </c>
      <c r="T85" s="89">
        <v>18.542000000000002</v>
      </c>
      <c r="U85" s="89">
        <v>15.952</v>
      </c>
      <c r="V85" s="89">
        <v>13.712</v>
      </c>
      <c r="W85" s="89">
        <v>11.755000000000001</v>
      </c>
      <c r="X85" s="89">
        <v>10.108000000000001</v>
      </c>
      <c r="Y85" s="89">
        <v>8.6969999999999992</v>
      </c>
      <c r="Z85" s="89">
        <v>7.49</v>
      </c>
      <c r="AA85" s="89">
        <v>6.4589999999999996</v>
      </c>
      <c r="AB85" s="89">
        <v>5.58</v>
      </c>
      <c r="AC85" s="89">
        <v>4.8319999999999999</v>
      </c>
      <c r="AD85" s="89">
        <v>4.1950000000000003</v>
      </c>
      <c r="AE85" s="89">
        <v>3.6520000000000001</v>
      </c>
    </row>
    <row r="86" spans="1:31" x14ac:dyDescent="0.25">
      <c r="A86" s="97">
        <v>79</v>
      </c>
      <c r="B86" s="89">
        <v>257.36200000000002</v>
      </c>
      <c r="C86" s="89">
        <v>226.84200000000001</v>
      </c>
      <c r="D86" s="89">
        <v>199.34800000000001</v>
      </c>
      <c r="E86" s="89">
        <v>174.833</v>
      </c>
      <c r="F86" s="89">
        <v>153.02099999999999</v>
      </c>
      <c r="G86" s="89">
        <v>133.71</v>
      </c>
      <c r="H86" s="89">
        <v>116.676</v>
      </c>
      <c r="I86" s="89">
        <v>101.71299999999999</v>
      </c>
      <c r="J86" s="89">
        <v>88.581000000000003</v>
      </c>
      <c r="K86" s="89">
        <v>77.134</v>
      </c>
      <c r="L86" s="89">
        <v>67.113</v>
      </c>
      <c r="M86" s="89">
        <v>58.353999999999999</v>
      </c>
      <c r="N86" s="89">
        <v>50.698</v>
      </c>
      <c r="O86" s="89">
        <v>43.988999999999997</v>
      </c>
      <c r="P86" s="89">
        <v>38.121000000000002</v>
      </c>
      <c r="Q86" s="89">
        <v>33.003999999999998</v>
      </c>
      <c r="R86" s="89">
        <v>28.515000000000001</v>
      </c>
      <c r="S86" s="89">
        <v>24.576000000000001</v>
      </c>
      <c r="T86" s="89">
        <v>21.151</v>
      </c>
      <c r="U86" s="89">
        <v>18.175000000000001</v>
      </c>
      <c r="V86" s="89">
        <v>15.602</v>
      </c>
      <c r="W86" s="89">
        <v>13.35</v>
      </c>
      <c r="X86" s="89">
        <v>11.458</v>
      </c>
      <c r="Y86" s="89">
        <v>9.8390000000000004</v>
      </c>
      <c r="Z86" s="89">
        <v>8.4550000000000001</v>
      </c>
      <c r="AA86" s="89">
        <v>7.2750000000000004</v>
      </c>
      <c r="AB86" s="89">
        <v>6.27</v>
      </c>
      <c r="AC86" s="89">
        <v>5.4160000000000004</v>
      </c>
      <c r="AD86" s="89">
        <v>4.6900000000000004</v>
      </c>
      <c r="AE86" s="89">
        <v>4.0730000000000004</v>
      </c>
    </row>
    <row r="87" spans="1:31" x14ac:dyDescent="0.25">
      <c r="A87" s="97">
        <v>80</v>
      </c>
      <c r="B87" s="89">
        <v>294.68</v>
      </c>
      <c r="C87" s="89">
        <v>259.82400000000001</v>
      </c>
      <c r="D87" s="89">
        <v>228.375</v>
      </c>
      <c r="E87" s="89">
        <v>200.309</v>
      </c>
      <c r="F87" s="89">
        <v>175.32</v>
      </c>
      <c r="G87" s="89">
        <v>153.18600000000001</v>
      </c>
      <c r="H87" s="89">
        <v>133.65899999999999</v>
      </c>
      <c r="I87" s="89">
        <v>116.508</v>
      </c>
      <c r="J87" s="89">
        <v>101.46</v>
      </c>
      <c r="K87" s="89">
        <v>88.35</v>
      </c>
      <c r="L87" s="89">
        <v>76.875</v>
      </c>
      <c r="M87" s="89">
        <v>66.846999999999994</v>
      </c>
      <c r="N87" s="89">
        <v>58.082999999999998</v>
      </c>
      <c r="O87" s="89">
        <v>50.399000000000001</v>
      </c>
      <c r="P87" s="89">
        <v>43.676000000000002</v>
      </c>
      <c r="Q87" s="89">
        <v>37.81</v>
      </c>
      <c r="R87" s="89">
        <v>32.658999999999999</v>
      </c>
      <c r="S87" s="89">
        <v>28.132000000000001</v>
      </c>
      <c r="T87" s="89">
        <v>24.193000000000001</v>
      </c>
      <c r="U87" s="89">
        <v>20.768000000000001</v>
      </c>
      <c r="V87" s="89">
        <v>17.803999999999998</v>
      </c>
      <c r="W87" s="89">
        <v>15.208</v>
      </c>
      <c r="X87" s="89">
        <v>13.031000000000001</v>
      </c>
      <c r="Y87" s="89">
        <v>11.167999999999999</v>
      </c>
      <c r="Z87" s="89">
        <v>9.5779999999999994</v>
      </c>
      <c r="AA87" s="89">
        <v>8.2219999999999995</v>
      </c>
      <c r="AB87" s="89">
        <v>7.07</v>
      </c>
      <c r="AC87" s="89">
        <v>6.0940000000000003</v>
      </c>
      <c r="AD87" s="89">
        <v>5.2640000000000002</v>
      </c>
      <c r="AE87" s="89">
        <v>4.5590000000000002</v>
      </c>
    </row>
    <row r="88" spans="1:31" x14ac:dyDescent="0.25">
      <c r="A88" s="97">
        <v>81</v>
      </c>
      <c r="B88" s="89">
        <v>337.94299999999998</v>
      </c>
      <c r="C88" s="89">
        <v>298.08199999999999</v>
      </c>
      <c r="D88" s="89">
        <v>262.05500000000001</v>
      </c>
      <c r="E88" s="89">
        <v>229.87299999999999</v>
      </c>
      <c r="F88" s="89">
        <v>201.19499999999999</v>
      </c>
      <c r="G88" s="89">
        <v>175.78200000000001</v>
      </c>
      <c r="H88" s="89">
        <v>153.357</v>
      </c>
      <c r="I88" s="89">
        <v>133.66399999999999</v>
      </c>
      <c r="J88" s="89">
        <v>116.389</v>
      </c>
      <c r="K88" s="89">
        <v>101.351</v>
      </c>
      <c r="L88" s="89">
        <v>88.191000000000003</v>
      </c>
      <c r="M88" s="89">
        <v>76.695999999999998</v>
      </c>
      <c r="N88" s="89">
        <v>66.649000000000001</v>
      </c>
      <c r="O88" s="89">
        <v>57.838999999999999</v>
      </c>
      <c r="P88" s="89">
        <v>50.127000000000002</v>
      </c>
      <c r="Q88" s="89">
        <v>43.396000000000001</v>
      </c>
      <c r="R88" s="89">
        <v>37.478999999999999</v>
      </c>
      <c r="S88" s="89">
        <v>32.271000000000001</v>
      </c>
      <c r="T88" s="89">
        <v>27.734999999999999</v>
      </c>
      <c r="U88" s="89">
        <v>23.786999999999999</v>
      </c>
      <c r="V88" s="89">
        <v>20.37</v>
      </c>
      <c r="W88" s="89">
        <v>17.370999999999999</v>
      </c>
      <c r="X88" s="89">
        <v>14.86</v>
      </c>
      <c r="Y88" s="89">
        <v>12.712999999999999</v>
      </c>
      <c r="Z88" s="89">
        <v>10.882</v>
      </c>
      <c r="AA88" s="89">
        <v>9.3219999999999992</v>
      </c>
      <c r="AB88" s="89">
        <v>7.9980000000000002</v>
      </c>
      <c r="AC88" s="89">
        <v>6.8780000000000001</v>
      </c>
      <c r="AD88" s="89">
        <v>5.9279999999999999</v>
      </c>
      <c r="AE88" s="89">
        <v>5.1219999999999999</v>
      </c>
    </row>
    <row r="89" spans="1:31" x14ac:dyDescent="0.25">
      <c r="A89" s="97">
        <v>82</v>
      </c>
      <c r="B89" s="89">
        <v>388.09</v>
      </c>
      <c r="C89" s="89">
        <v>342.45299999999997</v>
      </c>
      <c r="D89" s="89">
        <v>301.13099999999997</v>
      </c>
      <c r="E89" s="89">
        <v>264.18099999999998</v>
      </c>
      <c r="F89" s="89">
        <v>231.221</v>
      </c>
      <c r="G89" s="89">
        <v>201.99799999999999</v>
      </c>
      <c r="H89" s="89">
        <v>176.20500000000001</v>
      </c>
      <c r="I89" s="89">
        <v>153.55799999999999</v>
      </c>
      <c r="J89" s="89">
        <v>133.69499999999999</v>
      </c>
      <c r="K89" s="89">
        <v>116.419</v>
      </c>
      <c r="L89" s="89">
        <v>101.306</v>
      </c>
      <c r="M89" s="89">
        <v>88.111000000000004</v>
      </c>
      <c r="N89" s="89">
        <v>76.581999999999994</v>
      </c>
      <c r="O89" s="89">
        <v>66.47</v>
      </c>
      <c r="P89" s="89">
        <v>57.616</v>
      </c>
      <c r="Q89" s="89">
        <v>49.886000000000003</v>
      </c>
      <c r="R89" s="89">
        <v>43.082999999999998</v>
      </c>
      <c r="S89" s="89">
        <v>37.087000000000003</v>
      </c>
      <c r="T89" s="89">
        <v>31.856999999999999</v>
      </c>
      <c r="U89" s="89">
        <v>27.303000000000001</v>
      </c>
      <c r="V89" s="89">
        <v>23.356999999999999</v>
      </c>
      <c r="W89" s="89">
        <v>19.887</v>
      </c>
      <c r="X89" s="89">
        <v>16.988</v>
      </c>
      <c r="Y89" s="89">
        <v>14.509</v>
      </c>
      <c r="Z89" s="89">
        <v>12.397</v>
      </c>
      <c r="AA89" s="89">
        <v>10.599</v>
      </c>
      <c r="AB89" s="89">
        <v>9.0749999999999993</v>
      </c>
      <c r="AC89" s="89">
        <v>7.7869999999999999</v>
      </c>
      <c r="AD89" s="89">
        <v>6.6950000000000003</v>
      </c>
      <c r="AE89" s="89">
        <v>5.7720000000000002</v>
      </c>
    </row>
    <row r="90" spans="1:31" x14ac:dyDescent="0.25">
      <c r="A90" s="97">
        <v>83</v>
      </c>
      <c r="B90" s="89">
        <v>446.27699999999999</v>
      </c>
      <c r="C90" s="89">
        <v>393.971</v>
      </c>
      <c r="D90" s="89">
        <v>346.52</v>
      </c>
      <c r="E90" s="89">
        <v>304.041</v>
      </c>
      <c r="F90" s="89">
        <v>266.108</v>
      </c>
      <c r="G90" s="89">
        <v>232.45400000000001</v>
      </c>
      <c r="H90" s="89">
        <v>202.74100000000001</v>
      </c>
      <c r="I90" s="89">
        <v>176.654</v>
      </c>
      <c r="J90" s="89">
        <v>153.78</v>
      </c>
      <c r="K90" s="89">
        <v>133.90199999999999</v>
      </c>
      <c r="L90" s="89">
        <v>116.52200000000001</v>
      </c>
      <c r="M90" s="89">
        <v>101.35599999999999</v>
      </c>
      <c r="N90" s="89">
        <v>88.11</v>
      </c>
      <c r="O90" s="89">
        <v>76.491</v>
      </c>
      <c r="P90" s="89">
        <v>66.316000000000003</v>
      </c>
      <c r="Q90" s="89">
        <v>57.432000000000002</v>
      </c>
      <c r="R90" s="89">
        <v>49.603999999999999</v>
      </c>
      <c r="S90" s="89">
        <v>42.694000000000003</v>
      </c>
      <c r="T90" s="89">
        <v>36.659999999999997</v>
      </c>
      <c r="U90" s="89">
        <v>31.399000000000001</v>
      </c>
      <c r="V90" s="89">
        <v>26.837</v>
      </c>
      <c r="W90" s="89">
        <v>22.818999999999999</v>
      </c>
      <c r="X90" s="89">
        <v>19.466000000000001</v>
      </c>
      <c r="Y90" s="89">
        <v>16.599</v>
      </c>
      <c r="Z90" s="89">
        <v>14.159000000000001</v>
      </c>
      <c r="AA90" s="89">
        <v>12.082000000000001</v>
      </c>
      <c r="AB90" s="89">
        <v>10.324</v>
      </c>
      <c r="AC90" s="89">
        <v>8.84</v>
      </c>
      <c r="AD90" s="89">
        <v>7.585</v>
      </c>
      <c r="AE90" s="89">
        <v>6.524</v>
      </c>
    </row>
    <row r="91" spans="1:31" x14ac:dyDescent="0.25">
      <c r="A91" s="97">
        <v>84</v>
      </c>
      <c r="B91" s="89">
        <v>513.88699999999994</v>
      </c>
      <c r="C91" s="89">
        <v>453.87200000000001</v>
      </c>
      <c r="D91" s="89">
        <v>399.31900000000002</v>
      </c>
      <c r="E91" s="89">
        <v>350.423</v>
      </c>
      <c r="F91" s="89">
        <v>306.70800000000003</v>
      </c>
      <c r="G91" s="89">
        <v>267.89400000000001</v>
      </c>
      <c r="H91" s="89">
        <v>233.61</v>
      </c>
      <c r="I91" s="89">
        <v>203.51300000000001</v>
      </c>
      <c r="J91" s="89">
        <v>177.12700000000001</v>
      </c>
      <c r="K91" s="89">
        <v>154.21899999999999</v>
      </c>
      <c r="L91" s="89">
        <v>134.20099999999999</v>
      </c>
      <c r="M91" s="89">
        <v>116.745</v>
      </c>
      <c r="N91" s="89">
        <v>101.506</v>
      </c>
      <c r="O91" s="89">
        <v>88.141000000000005</v>
      </c>
      <c r="P91" s="89">
        <v>76.436000000000007</v>
      </c>
      <c r="Q91" s="89">
        <v>66.215000000000003</v>
      </c>
      <c r="R91" s="89">
        <v>57.201999999999998</v>
      </c>
      <c r="S91" s="89">
        <v>49.23</v>
      </c>
      <c r="T91" s="89">
        <v>42.262</v>
      </c>
      <c r="U91" s="89">
        <v>36.179000000000002</v>
      </c>
      <c r="V91" s="89">
        <v>30.899000000000001</v>
      </c>
      <c r="W91" s="89">
        <v>26.236999999999998</v>
      </c>
      <c r="X91" s="89">
        <v>22.353999999999999</v>
      </c>
      <c r="Y91" s="89">
        <v>19.035</v>
      </c>
      <c r="Z91" s="89">
        <v>16.21</v>
      </c>
      <c r="AA91" s="89">
        <v>13.808999999999999</v>
      </c>
      <c r="AB91" s="89">
        <v>11.776999999999999</v>
      </c>
      <c r="AC91" s="89">
        <v>10.065</v>
      </c>
      <c r="AD91" s="89">
        <v>8.6180000000000003</v>
      </c>
      <c r="AE91" s="89">
        <v>7.3959999999999999</v>
      </c>
    </row>
    <row r="92" spans="1:31" x14ac:dyDescent="0.25">
      <c r="A92" s="97">
        <v>85</v>
      </c>
      <c r="B92" s="89">
        <v>592.48199999999997</v>
      </c>
      <c r="C92" s="89">
        <v>523.55700000000002</v>
      </c>
      <c r="D92" s="89">
        <v>460.77199999999999</v>
      </c>
      <c r="E92" s="89">
        <v>404.42599999999999</v>
      </c>
      <c r="F92" s="89">
        <v>353.98700000000002</v>
      </c>
      <c r="G92" s="89">
        <v>309.16199999999998</v>
      </c>
      <c r="H92" s="89">
        <v>269.548</v>
      </c>
      <c r="I92" s="89">
        <v>234.77</v>
      </c>
      <c r="J92" s="89">
        <v>204.286</v>
      </c>
      <c r="K92" s="89">
        <v>177.846</v>
      </c>
      <c r="L92" s="89">
        <v>154.755</v>
      </c>
      <c r="M92" s="89">
        <v>134.63300000000001</v>
      </c>
      <c r="N92" s="89">
        <v>117.081</v>
      </c>
      <c r="O92" s="89">
        <v>101.688</v>
      </c>
      <c r="P92" s="89">
        <v>88.21</v>
      </c>
      <c r="Q92" s="89">
        <v>76.442999999999998</v>
      </c>
      <c r="R92" s="89">
        <v>66.055000000000007</v>
      </c>
      <c r="S92" s="89">
        <v>56.851999999999997</v>
      </c>
      <c r="T92" s="89">
        <v>48.798999999999999</v>
      </c>
      <c r="U92" s="89">
        <v>41.758000000000003</v>
      </c>
      <c r="V92" s="89">
        <v>35.642000000000003</v>
      </c>
      <c r="W92" s="89">
        <v>30.227</v>
      </c>
      <c r="X92" s="89">
        <v>25.724</v>
      </c>
      <c r="Y92" s="89">
        <v>21.875</v>
      </c>
      <c r="Z92" s="89">
        <v>18.600999999999999</v>
      </c>
      <c r="AA92" s="89">
        <v>15.819000000000001</v>
      </c>
      <c r="AB92" s="89">
        <v>13.468</v>
      </c>
      <c r="AC92" s="89">
        <v>11.489000000000001</v>
      </c>
      <c r="AD92" s="89">
        <v>9.8179999999999996</v>
      </c>
      <c r="AE92" s="89">
        <v>8.4090000000000007</v>
      </c>
    </row>
  </sheetData>
  <sheetProtection algorithmName="SHA-512" hashValue="WKk7BhEwD6oV3+GH8uT8eKQ4+Y+xhwGn+ihXsV9QWRUluswZ6FGU7CkiMt3Ra4I+sZnl956J0ZNa0eysEm0l9Q==" saltValue="lZZJArKLetBW2YZSPE5eLA==" spinCount="100000" sheet="1" objects="1" scenarios="1"/>
  <conditionalFormatting sqref="A6:A21">
    <cfRule type="expression" dxfId="137" priority="5" stopIfTrue="1">
      <formula>MOD(ROW(),2)=0</formula>
    </cfRule>
    <cfRule type="expression" dxfId="136" priority="6" stopIfTrue="1">
      <formula>MOD(ROW(),2)&lt;&gt;0</formula>
    </cfRule>
  </conditionalFormatting>
  <conditionalFormatting sqref="A27:A92">
    <cfRule type="expression" dxfId="135" priority="25" stopIfTrue="1">
      <formula>MOD(ROW(),2)=0</formula>
    </cfRule>
    <cfRule type="expression" dxfId="134" priority="26" stopIfTrue="1">
      <formula>MOD(ROW(),2)&lt;&gt;0</formula>
    </cfRule>
  </conditionalFormatting>
  <conditionalFormatting sqref="B17:B21">
    <cfRule type="expression" dxfId="133" priority="1" stopIfTrue="1">
      <formula>MOD(ROW(),2)=0</formula>
    </cfRule>
    <cfRule type="expression" dxfId="132" priority="2" stopIfTrue="1">
      <formula>MOD(ROW(),2)&lt;&gt;0</formula>
    </cfRule>
  </conditionalFormatting>
  <conditionalFormatting sqref="B6:AE21">
    <cfRule type="expression" dxfId="131" priority="35" stopIfTrue="1">
      <formula>MOD(ROW(),2)=0</formula>
    </cfRule>
    <cfRule type="expression" dxfId="130" priority="36" stopIfTrue="1">
      <formula>MOD(ROW(),2)&lt;&gt;0</formula>
    </cfRule>
  </conditionalFormatting>
  <conditionalFormatting sqref="B26:AE92">
    <cfRule type="expression" dxfId="129" priority="19" stopIfTrue="1">
      <formula>MOD(ROW(),2)=0</formula>
    </cfRule>
    <cfRule type="expression" dxfId="128" priority="20" stopIfTrue="1">
      <formula>MOD(ROW(),2)&lt;&gt;0</formula>
    </cfRule>
  </conditionalFormatting>
  <conditionalFormatting sqref="C6:AE21">
    <cfRule type="expression" dxfId="127" priority="3" stopIfTrue="1">
      <formula>MOD(ROW(),2)=0</formula>
    </cfRule>
    <cfRule type="expression" dxfId="126" priority="4" stopIfTrue="1">
      <formula>MOD(ROW(),2)&lt;&gt;0</formula>
    </cfRule>
  </conditionalFormatting>
  <hyperlinks>
    <hyperlink ref="B24" location="Sheet1!A1" display="Assumptions" xr:uid="{DB079894-7D13-4D48-BA76-A4F9108D235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30"/>
  <dimension ref="A1:AE92"/>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31" ht="21" x14ac:dyDescent="0.4">
      <c r="A1" s="39" t="s">
        <v>0</v>
      </c>
      <c r="B1" s="40"/>
      <c r="C1" s="40"/>
      <c r="D1" s="40"/>
      <c r="E1" s="40"/>
      <c r="F1" s="40"/>
      <c r="G1" s="40"/>
      <c r="H1" s="40"/>
      <c r="I1" s="40"/>
    </row>
    <row r="2" spans="1:31"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31" ht="15.6" x14ac:dyDescent="0.3">
      <c r="A3" s="43" t="str">
        <f>TABLE_FACTOR_TYPE_1&amp;" - x-"&amp;TABLE_SERIES_NUMBER_1</f>
        <v>Allocation - x-807</v>
      </c>
      <c r="B3" s="42"/>
      <c r="C3" s="42"/>
      <c r="D3" s="42"/>
      <c r="E3" s="42"/>
      <c r="F3" s="42"/>
      <c r="G3" s="42"/>
      <c r="H3" s="42"/>
      <c r="I3" s="42"/>
    </row>
    <row r="4" spans="1:31" x14ac:dyDescent="0.25">
      <c r="A4" s="44"/>
    </row>
    <row r="6" spans="1:31" x14ac:dyDescent="0.25">
      <c r="A6" s="87" t="s">
        <v>290</v>
      </c>
      <c r="B6" s="185" t="s">
        <v>291</v>
      </c>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row>
    <row r="7" spans="1:31" x14ac:dyDescent="0.25">
      <c r="A7" s="81" t="s">
        <v>804</v>
      </c>
      <c r="B7" s="185" t="s">
        <v>345</v>
      </c>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row>
    <row r="8" spans="1:31" x14ac:dyDescent="0.25">
      <c r="A8" s="81" t="s">
        <v>805</v>
      </c>
      <c r="B8" s="185" t="s">
        <v>643</v>
      </c>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row>
    <row r="9" spans="1:31" x14ac:dyDescent="0.25">
      <c r="A9" s="81" t="s">
        <v>296</v>
      </c>
      <c r="B9" s="185" t="s">
        <v>688</v>
      </c>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row>
    <row r="10" spans="1:31" x14ac:dyDescent="0.25">
      <c r="A10" s="81" t="s">
        <v>6</v>
      </c>
      <c r="B10" s="185" t="s">
        <v>708</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row>
    <row r="11" spans="1:31" x14ac:dyDescent="0.25">
      <c r="A11" s="81" t="s">
        <v>299</v>
      </c>
      <c r="B11" s="185" t="s">
        <v>404</v>
      </c>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row>
    <row r="12" spans="1:31" x14ac:dyDescent="0.25">
      <c r="A12" s="81" t="s">
        <v>301</v>
      </c>
      <c r="B12" s="185" t="s">
        <v>690</v>
      </c>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row>
    <row r="13" spans="1:31" x14ac:dyDescent="0.25">
      <c r="A13" s="81" t="s">
        <v>303</v>
      </c>
      <c r="B13" s="185">
        <v>1</v>
      </c>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row>
    <row r="14" spans="1:31" x14ac:dyDescent="0.25">
      <c r="A14" s="81" t="s">
        <v>305</v>
      </c>
      <c r="B14" s="185">
        <v>807</v>
      </c>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row>
    <row r="15" spans="1:31" x14ac:dyDescent="0.25">
      <c r="A15" s="81" t="s">
        <v>307</v>
      </c>
      <c r="B15" s="185" t="s">
        <v>709</v>
      </c>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row>
    <row r="16" spans="1:31" x14ac:dyDescent="0.25">
      <c r="A16" s="81" t="s">
        <v>309</v>
      </c>
      <c r="B16" s="185" t="s">
        <v>710</v>
      </c>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row>
    <row r="17" spans="1:31" x14ac:dyDescent="0.25">
      <c r="A17" s="81" t="s">
        <v>803</v>
      </c>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row>
    <row r="18" spans="1:31" x14ac:dyDescent="0.25">
      <c r="A18" s="81" t="s">
        <v>313</v>
      </c>
      <c r="B18" s="188">
        <v>45184</v>
      </c>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row>
    <row r="19" spans="1:31" x14ac:dyDescent="0.25">
      <c r="A19" s="81" t="s">
        <v>315</v>
      </c>
      <c r="B19" s="188"/>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row>
    <row r="20" spans="1:31" x14ac:dyDescent="0.25">
      <c r="A20" s="81" t="s">
        <v>317</v>
      </c>
      <c r="B20" s="185" t="s">
        <v>331</v>
      </c>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row>
    <row r="21" spans="1:31" x14ac:dyDescent="0.25">
      <c r="A21" s="77" t="s">
        <v>323</v>
      </c>
      <c r="B21" s="185" t="s">
        <v>332</v>
      </c>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row>
    <row r="23" spans="1:31" x14ac:dyDescent="0.25">
      <c r="B23" s="102" t="str">
        <f>HYPERLINK("#'Factor List'!A1","Back to Factor List")</f>
        <v>Back to Factor List</v>
      </c>
    </row>
    <row r="24" spans="1:31" x14ac:dyDescent="0.25">
      <c r="B24" s="102" t="s">
        <v>13</v>
      </c>
    </row>
    <row r="25" spans="1:31" x14ac:dyDescent="0.25">
      <c r="B25" s="102"/>
    </row>
    <row r="26" spans="1:31" x14ac:dyDescent="0.25">
      <c r="A26" s="178" t="s">
        <v>972</v>
      </c>
      <c r="B26" s="83">
        <v>50</v>
      </c>
      <c r="C26" s="83">
        <v>51</v>
      </c>
      <c r="D26" s="83">
        <v>52</v>
      </c>
      <c r="E26" s="83">
        <v>53</v>
      </c>
      <c r="F26" s="83">
        <v>54</v>
      </c>
      <c r="G26" s="83">
        <v>55</v>
      </c>
      <c r="H26" s="83">
        <v>56</v>
      </c>
      <c r="I26" s="83">
        <v>57</v>
      </c>
      <c r="J26" s="83">
        <v>58</v>
      </c>
      <c r="K26" s="83">
        <v>59</v>
      </c>
      <c r="L26" s="83">
        <v>60</v>
      </c>
      <c r="M26" s="83">
        <v>61</v>
      </c>
      <c r="N26" s="83">
        <v>62</v>
      </c>
      <c r="O26" s="83">
        <v>63</v>
      </c>
      <c r="P26" s="83">
        <v>64</v>
      </c>
      <c r="Q26" s="83">
        <v>65</v>
      </c>
      <c r="R26" s="83">
        <v>66</v>
      </c>
      <c r="S26" s="83">
        <v>67</v>
      </c>
      <c r="T26" s="83">
        <v>68</v>
      </c>
      <c r="U26" s="83">
        <v>69</v>
      </c>
      <c r="V26" s="83">
        <v>70</v>
      </c>
      <c r="W26" s="83">
        <v>71</v>
      </c>
      <c r="X26" s="83">
        <v>72</v>
      </c>
      <c r="Y26" s="83">
        <v>73</v>
      </c>
      <c r="Z26" s="83">
        <v>74</v>
      </c>
      <c r="AA26" s="83">
        <v>75</v>
      </c>
      <c r="AB26" s="83">
        <v>76</v>
      </c>
      <c r="AC26" s="83">
        <v>77</v>
      </c>
      <c r="AD26" s="83">
        <v>78</v>
      </c>
      <c r="AE26" s="83">
        <v>79</v>
      </c>
    </row>
    <row r="27" spans="1:31" x14ac:dyDescent="0.25">
      <c r="A27" s="97">
        <v>20</v>
      </c>
      <c r="B27" s="96">
        <v>2.052</v>
      </c>
      <c r="C27" s="96">
        <v>1.9339999999999999</v>
      </c>
      <c r="D27" s="96">
        <v>1.8240000000000001</v>
      </c>
      <c r="E27" s="96">
        <v>1.7190000000000001</v>
      </c>
      <c r="F27" s="96">
        <v>1.621</v>
      </c>
      <c r="G27" s="96">
        <v>1.528</v>
      </c>
      <c r="H27" s="96">
        <v>1.44</v>
      </c>
      <c r="I27" s="96">
        <v>1.3560000000000001</v>
      </c>
      <c r="J27" s="96">
        <v>1.278</v>
      </c>
      <c r="K27" s="96">
        <v>1.2030000000000001</v>
      </c>
      <c r="L27" s="96">
        <v>1.133</v>
      </c>
      <c r="M27" s="96">
        <v>1.0660000000000001</v>
      </c>
      <c r="N27" s="96">
        <v>1.002</v>
      </c>
      <c r="O27" s="96">
        <v>0.94199999999999995</v>
      </c>
      <c r="P27" s="96">
        <v>0.88500000000000001</v>
      </c>
      <c r="Q27" s="96">
        <v>0.83199999999999996</v>
      </c>
      <c r="R27" s="96">
        <v>0.78100000000000003</v>
      </c>
      <c r="S27" s="96">
        <v>0.73199999999999998</v>
      </c>
      <c r="T27" s="96">
        <v>0.68600000000000005</v>
      </c>
      <c r="U27" s="96">
        <v>0.64300000000000002</v>
      </c>
      <c r="V27" s="96">
        <v>0.60199999999999998</v>
      </c>
      <c r="W27" s="96">
        <v>0.56299999999999994</v>
      </c>
      <c r="X27" s="96">
        <v>0.52600000000000002</v>
      </c>
      <c r="Y27" s="96">
        <v>0.49099999999999999</v>
      </c>
      <c r="Z27" s="96">
        <v>0.45800000000000002</v>
      </c>
      <c r="AA27" s="96">
        <v>0.42799999999999999</v>
      </c>
      <c r="AB27" s="96">
        <v>0.39900000000000002</v>
      </c>
      <c r="AC27" s="96">
        <v>0.371</v>
      </c>
      <c r="AD27" s="96">
        <v>0.34599999999999997</v>
      </c>
      <c r="AE27" s="96">
        <v>0.32200000000000001</v>
      </c>
    </row>
    <row r="28" spans="1:31" x14ac:dyDescent="0.25">
      <c r="A28" s="97">
        <v>21</v>
      </c>
      <c r="B28" s="89">
        <v>2.1059999999999999</v>
      </c>
      <c r="C28" s="89">
        <v>1.9830000000000001</v>
      </c>
      <c r="D28" s="89">
        <v>1.8680000000000001</v>
      </c>
      <c r="E28" s="89">
        <v>1.76</v>
      </c>
      <c r="F28" s="89">
        <v>1.6579999999999999</v>
      </c>
      <c r="G28" s="89">
        <v>1.5620000000000001</v>
      </c>
      <c r="H28" s="89">
        <v>1.4710000000000001</v>
      </c>
      <c r="I28" s="89">
        <v>1.385</v>
      </c>
      <c r="J28" s="89">
        <v>1.304</v>
      </c>
      <c r="K28" s="89">
        <v>1.2270000000000001</v>
      </c>
      <c r="L28" s="89">
        <v>1.155</v>
      </c>
      <c r="M28" s="89">
        <v>1.0860000000000001</v>
      </c>
      <c r="N28" s="89">
        <v>1.0209999999999999</v>
      </c>
      <c r="O28" s="89">
        <v>0.95899999999999996</v>
      </c>
      <c r="P28" s="89">
        <v>0.90100000000000002</v>
      </c>
      <c r="Q28" s="89">
        <v>0.84599999999999997</v>
      </c>
      <c r="R28" s="89">
        <v>0.79300000000000004</v>
      </c>
      <c r="S28" s="89">
        <v>0.74399999999999999</v>
      </c>
      <c r="T28" s="89">
        <v>0.69699999999999995</v>
      </c>
      <c r="U28" s="89">
        <v>0.65300000000000002</v>
      </c>
      <c r="V28" s="89">
        <v>0.61099999999999999</v>
      </c>
      <c r="W28" s="89">
        <v>0.57099999999999995</v>
      </c>
      <c r="X28" s="89">
        <v>0.53400000000000003</v>
      </c>
      <c r="Y28" s="89">
        <v>0.498</v>
      </c>
      <c r="Z28" s="89">
        <v>0.46500000000000002</v>
      </c>
      <c r="AA28" s="89">
        <v>0.433</v>
      </c>
      <c r="AB28" s="89">
        <v>0.40400000000000003</v>
      </c>
      <c r="AC28" s="89">
        <v>0.376</v>
      </c>
      <c r="AD28" s="89">
        <v>0.35</v>
      </c>
      <c r="AE28" s="89">
        <v>0.32600000000000001</v>
      </c>
    </row>
    <row r="29" spans="1:31" x14ac:dyDescent="0.25">
      <c r="A29" s="97">
        <v>22</v>
      </c>
      <c r="B29" s="89">
        <v>2.1629999999999998</v>
      </c>
      <c r="C29" s="89">
        <v>2.036</v>
      </c>
      <c r="D29" s="89">
        <v>1.9159999999999999</v>
      </c>
      <c r="E29" s="89">
        <v>1.804</v>
      </c>
      <c r="F29" s="89">
        <v>1.698</v>
      </c>
      <c r="G29" s="89">
        <v>1.5980000000000001</v>
      </c>
      <c r="H29" s="89">
        <v>1.504</v>
      </c>
      <c r="I29" s="89">
        <v>1.415</v>
      </c>
      <c r="J29" s="89">
        <v>1.3320000000000001</v>
      </c>
      <c r="K29" s="89">
        <v>1.252</v>
      </c>
      <c r="L29" s="89">
        <v>1.1779999999999999</v>
      </c>
      <c r="M29" s="89">
        <v>1.107</v>
      </c>
      <c r="N29" s="89">
        <v>1.04</v>
      </c>
      <c r="O29" s="89">
        <v>0.97699999999999998</v>
      </c>
      <c r="P29" s="89">
        <v>0.91700000000000004</v>
      </c>
      <c r="Q29" s="89">
        <v>0.86</v>
      </c>
      <c r="R29" s="89">
        <v>0.80700000000000005</v>
      </c>
      <c r="S29" s="89">
        <v>0.75600000000000001</v>
      </c>
      <c r="T29" s="89">
        <v>0.70799999999999996</v>
      </c>
      <c r="U29" s="89">
        <v>0.66300000000000003</v>
      </c>
      <c r="V29" s="89">
        <v>0.62</v>
      </c>
      <c r="W29" s="89">
        <v>0.57999999999999996</v>
      </c>
      <c r="X29" s="89">
        <v>0.54100000000000004</v>
      </c>
      <c r="Y29" s="89">
        <v>0.505</v>
      </c>
      <c r="Z29" s="89">
        <v>0.47099999999999997</v>
      </c>
      <c r="AA29" s="89">
        <v>0.439</v>
      </c>
      <c r="AB29" s="89">
        <v>0.40899999999999997</v>
      </c>
      <c r="AC29" s="89">
        <v>0.38100000000000001</v>
      </c>
      <c r="AD29" s="89">
        <v>0.35499999999999998</v>
      </c>
      <c r="AE29" s="89">
        <v>0.33</v>
      </c>
    </row>
    <row r="30" spans="1:31" x14ac:dyDescent="0.25">
      <c r="A30" s="97">
        <v>23</v>
      </c>
      <c r="B30" s="89">
        <v>2.2240000000000002</v>
      </c>
      <c r="C30" s="89">
        <v>2.0910000000000002</v>
      </c>
      <c r="D30" s="89">
        <v>1.9670000000000001</v>
      </c>
      <c r="E30" s="89">
        <v>1.85</v>
      </c>
      <c r="F30" s="89">
        <v>1.74</v>
      </c>
      <c r="G30" s="89">
        <v>1.6359999999999999</v>
      </c>
      <c r="H30" s="89">
        <v>1.5389999999999999</v>
      </c>
      <c r="I30" s="89">
        <v>1.4470000000000001</v>
      </c>
      <c r="J30" s="89">
        <v>1.361</v>
      </c>
      <c r="K30" s="89">
        <v>1.2789999999999999</v>
      </c>
      <c r="L30" s="89">
        <v>1.202</v>
      </c>
      <c r="M30" s="89">
        <v>1.129</v>
      </c>
      <c r="N30" s="89">
        <v>1.06</v>
      </c>
      <c r="O30" s="89">
        <v>0.995</v>
      </c>
      <c r="P30" s="89">
        <v>0.93400000000000005</v>
      </c>
      <c r="Q30" s="89">
        <v>0.876</v>
      </c>
      <c r="R30" s="89">
        <v>0.82099999999999995</v>
      </c>
      <c r="S30" s="89">
        <v>0.76900000000000002</v>
      </c>
      <c r="T30" s="89">
        <v>0.72</v>
      </c>
      <c r="U30" s="89">
        <v>0.67400000000000004</v>
      </c>
      <c r="V30" s="89">
        <v>0.63</v>
      </c>
      <c r="W30" s="89">
        <v>0.58899999999999997</v>
      </c>
      <c r="X30" s="89">
        <v>0.55000000000000004</v>
      </c>
      <c r="Y30" s="89">
        <v>0.51300000000000001</v>
      </c>
      <c r="Z30" s="89">
        <v>0.47799999999999998</v>
      </c>
      <c r="AA30" s="89">
        <v>0.44500000000000001</v>
      </c>
      <c r="AB30" s="89">
        <v>0.41499999999999998</v>
      </c>
      <c r="AC30" s="89">
        <v>0.38600000000000001</v>
      </c>
      <c r="AD30" s="89">
        <v>0.35899999999999999</v>
      </c>
      <c r="AE30" s="89">
        <v>0.33400000000000002</v>
      </c>
    </row>
    <row r="31" spans="1:31" x14ac:dyDescent="0.25">
      <c r="A31" s="97">
        <v>24</v>
      </c>
      <c r="B31" s="89">
        <v>2.2890000000000001</v>
      </c>
      <c r="C31" s="89">
        <v>2.15</v>
      </c>
      <c r="D31" s="89">
        <v>2.02</v>
      </c>
      <c r="E31" s="89">
        <v>1.899</v>
      </c>
      <c r="F31" s="89">
        <v>1.784</v>
      </c>
      <c r="G31" s="89">
        <v>1.677</v>
      </c>
      <c r="H31" s="89">
        <v>1.5760000000000001</v>
      </c>
      <c r="I31" s="89">
        <v>1.4810000000000001</v>
      </c>
      <c r="J31" s="89">
        <v>1.3919999999999999</v>
      </c>
      <c r="K31" s="89">
        <v>1.3069999999999999</v>
      </c>
      <c r="L31" s="89">
        <v>1.228</v>
      </c>
      <c r="M31" s="89">
        <v>1.153</v>
      </c>
      <c r="N31" s="89">
        <v>1.0820000000000001</v>
      </c>
      <c r="O31" s="89">
        <v>1.0149999999999999</v>
      </c>
      <c r="P31" s="89">
        <v>0.95199999999999996</v>
      </c>
      <c r="Q31" s="89">
        <v>0.89200000000000002</v>
      </c>
      <c r="R31" s="89">
        <v>0.83599999999999997</v>
      </c>
      <c r="S31" s="89">
        <v>0.78300000000000003</v>
      </c>
      <c r="T31" s="89">
        <v>0.73299999999999998</v>
      </c>
      <c r="U31" s="89">
        <v>0.68500000000000005</v>
      </c>
      <c r="V31" s="89">
        <v>0.64</v>
      </c>
      <c r="W31" s="89">
        <v>0.59799999999999998</v>
      </c>
      <c r="X31" s="89">
        <v>0.55800000000000005</v>
      </c>
      <c r="Y31" s="89">
        <v>0.52100000000000002</v>
      </c>
      <c r="Z31" s="89">
        <v>0.48499999999999999</v>
      </c>
      <c r="AA31" s="89">
        <v>0.45200000000000001</v>
      </c>
      <c r="AB31" s="89">
        <v>0.42099999999999999</v>
      </c>
      <c r="AC31" s="89">
        <v>0.39200000000000002</v>
      </c>
      <c r="AD31" s="89">
        <v>0.36399999999999999</v>
      </c>
      <c r="AE31" s="89">
        <v>0.33900000000000002</v>
      </c>
    </row>
    <row r="32" spans="1:31" x14ac:dyDescent="0.25">
      <c r="A32" s="97">
        <v>25</v>
      </c>
      <c r="B32" s="89">
        <v>2.3580000000000001</v>
      </c>
      <c r="C32" s="89">
        <v>2.2130000000000001</v>
      </c>
      <c r="D32" s="89">
        <v>2.0779999999999998</v>
      </c>
      <c r="E32" s="89">
        <v>1.9510000000000001</v>
      </c>
      <c r="F32" s="89">
        <v>1.8320000000000001</v>
      </c>
      <c r="G32" s="89">
        <v>1.72</v>
      </c>
      <c r="H32" s="89">
        <v>1.6160000000000001</v>
      </c>
      <c r="I32" s="89">
        <v>1.5169999999999999</v>
      </c>
      <c r="J32" s="89">
        <v>1.4239999999999999</v>
      </c>
      <c r="K32" s="89">
        <v>1.337</v>
      </c>
      <c r="L32" s="89">
        <v>1.2549999999999999</v>
      </c>
      <c r="M32" s="89">
        <v>1.177</v>
      </c>
      <c r="N32" s="89">
        <v>1.1040000000000001</v>
      </c>
      <c r="O32" s="89">
        <v>1.0349999999999999</v>
      </c>
      <c r="P32" s="89">
        <v>0.97099999999999997</v>
      </c>
      <c r="Q32" s="89">
        <v>0.90900000000000003</v>
      </c>
      <c r="R32" s="89">
        <v>0.85199999999999998</v>
      </c>
      <c r="S32" s="89">
        <v>0.79700000000000004</v>
      </c>
      <c r="T32" s="89">
        <v>0.746</v>
      </c>
      <c r="U32" s="89">
        <v>0.69699999999999995</v>
      </c>
      <c r="V32" s="89">
        <v>0.65100000000000002</v>
      </c>
      <c r="W32" s="89">
        <v>0.60799999999999998</v>
      </c>
      <c r="X32" s="89">
        <v>0.56699999999999995</v>
      </c>
      <c r="Y32" s="89">
        <v>0.52900000000000003</v>
      </c>
      <c r="Z32" s="89">
        <v>0.49299999999999999</v>
      </c>
      <c r="AA32" s="89">
        <v>0.45900000000000002</v>
      </c>
      <c r="AB32" s="89">
        <v>0.42699999999999999</v>
      </c>
      <c r="AC32" s="89">
        <v>0.39700000000000002</v>
      </c>
      <c r="AD32" s="89">
        <v>0.36899999999999999</v>
      </c>
      <c r="AE32" s="89">
        <v>0.34399999999999997</v>
      </c>
    </row>
    <row r="33" spans="1:31" x14ac:dyDescent="0.25">
      <c r="A33" s="97">
        <v>26</v>
      </c>
      <c r="B33" s="89">
        <v>2.4329999999999998</v>
      </c>
      <c r="C33" s="89">
        <v>2.2810000000000001</v>
      </c>
      <c r="D33" s="89">
        <v>2.1389999999999998</v>
      </c>
      <c r="E33" s="89">
        <v>2.0070000000000001</v>
      </c>
      <c r="F33" s="89">
        <v>1.883</v>
      </c>
      <c r="G33" s="89">
        <v>1.766</v>
      </c>
      <c r="H33" s="89">
        <v>1.657</v>
      </c>
      <c r="I33" s="89">
        <v>1.5549999999999999</v>
      </c>
      <c r="J33" s="89">
        <v>1.4590000000000001</v>
      </c>
      <c r="K33" s="89">
        <v>1.369</v>
      </c>
      <c r="L33" s="89">
        <v>1.284</v>
      </c>
      <c r="M33" s="89">
        <v>1.204</v>
      </c>
      <c r="N33" s="89">
        <v>1.1279999999999999</v>
      </c>
      <c r="O33" s="89">
        <v>1.0569999999999999</v>
      </c>
      <c r="P33" s="89">
        <v>0.99</v>
      </c>
      <c r="Q33" s="89">
        <v>0.92700000000000005</v>
      </c>
      <c r="R33" s="89">
        <v>0.86799999999999999</v>
      </c>
      <c r="S33" s="89">
        <v>0.81200000000000006</v>
      </c>
      <c r="T33" s="89">
        <v>0.75900000000000001</v>
      </c>
      <c r="U33" s="89">
        <v>0.71</v>
      </c>
      <c r="V33" s="89">
        <v>0.66300000000000003</v>
      </c>
      <c r="W33" s="89">
        <v>0.61799999999999999</v>
      </c>
      <c r="X33" s="89">
        <v>0.57699999999999996</v>
      </c>
      <c r="Y33" s="89">
        <v>0.53700000000000003</v>
      </c>
      <c r="Z33" s="89">
        <v>0.501</v>
      </c>
      <c r="AA33" s="89">
        <v>0.46600000000000003</v>
      </c>
      <c r="AB33" s="89">
        <v>0.434</v>
      </c>
      <c r="AC33" s="89">
        <v>0.40300000000000002</v>
      </c>
      <c r="AD33" s="89">
        <v>0.375</v>
      </c>
      <c r="AE33" s="89">
        <v>0.34899999999999998</v>
      </c>
    </row>
    <row r="34" spans="1:31" x14ac:dyDescent="0.25">
      <c r="A34" s="97">
        <v>27</v>
      </c>
      <c r="B34" s="89">
        <v>2.5129999999999999</v>
      </c>
      <c r="C34" s="89">
        <v>2.3530000000000002</v>
      </c>
      <c r="D34" s="89">
        <v>2.2050000000000001</v>
      </c>
      <c r="E34" s="89">
        <v>2.0659999999999998</v>
      </c>
      <c r="F34" s="89">
        <v>1.9370000000000001</v>
      </c>
      <c r="G34" s="89">
        <v>1.8149999999999999</v>
      </c>
      <c r="H34" s="89">
        <v>1.702</v>
      </c>
      <c r="I34" s="89">
        <v>1.5960000000000001</v>
      </c>
      <c r="J34" s="89">
        <v>1.496</v>
      </c>
      <c r="K34" s="89">
        <v>1.4019999999999999</v>
      </c>
      <c r="L34" s="89">
        <v>1.3140000000000001</v>
      </c>
      <c r="M34" s="89">
        <v>1.2310000000000001</v>
      </c>
      <c r="N34" s="89">
        <v>1.153</v>
      </c>
      <c r="O34" s="89">
        <v>1.08</v>
      </c>
      <c r="P34" s="89">
        <v>1.0109999999999999</v>
      </c>
      <c r="Q34" s="89">
        <v>0.94599999999999995</v>
      </c>
      <c r="R34" s="89">
        <v>0.88500000000000001</v>
      </c>
      <c r="S34" s="89">
        <v>0.82799999999999996</v>
      </c>
      <c r="T34" s="89">
        <v>0.77400000000000002</v>
      </c>
      <c r="U34" s="89">
        <v>0.72299999999999998</v>
      </c>
      <c r="V34" s="89">
        <v>0.67400000000000004</v>
      </c>
      <c r="W34" s="89">
        <v>0.629</v>
      </c>
      <c r="X34" s="89">
        <v>0.58599999999999997</v>
      </c>
      <c r="Y34" s="89">
        <v>0.54600000000000004</v>
      </c>
      <c r="Z34" s="89">
        <v>0.50900000000000001</v>
      </c>
      <c r="AA34" s="89">
        <v>0.47299999999999998</v>
      </c>
      <c r="AB34" s="89">
        <v>0.44</v>
      </c>
      <c r="AC34" s="89">
        <v>0.40899999999999997</v>
      </c>
      <c r="AD34" s="89">
        <v>0.38100000000000001</v>
      </c>
      <c r="AE34" s="89">
        <v>0.35399999999999998</v>
      </c>
    </row>
    <row r="35" spans="1:31" x14ac:dyDescent="0.25">
      <c r="A35" s="97">
        <v>28</v>
      </c>
      <c r="B35" s="89">
        <v>2.5979999999999999</v>
      </c>
      <c r="C35" s="89">
        <v>2.431</v>
      </c>
      <c r="D35" s="89">
        <v>2.2749999999999999</v>
      </c>
      <c r="E35" s="89">
        <v>2.13</v>
      </c>
      <c r="F35" s="89">
        <v>1.994</v>
      </c>
      <c r="G35" s="89">
        <v>1.8680000000000001</v>
      </c>
      <c r="H35" s="89">
        <v>1.7490000000000001</v>
      </c>
      <c r="I35" s="89">
        <v>1.639</v>
      </c>
      <c r="J35" s="89">
        <v>1.5349999999999999</v>
      </c>
      <c r="K35" s="89">
        <v>1.4379999999999999</v>
      </c>
      <c r="L35" s="89">
        <v>1.3460000000000001</v>
      </c>
      <c r="M35" s="89">
        <v>1.2609999999999999</v>
      </c>
      <c r="N35" s="89">
        <v>1.18</v>
      </c>
      <c r="O35" s="89">
        <v>1.1040000000000001</v>
      </c>
      <c r="P35" s="89">
        <v>1.0329999999999999</v>
      </c>
      <c r="Q35" s="89">
        <v>0.96699999999999997</v>
      </c>
      <c r="R35" s="89">
        <v>0.90400000000000003</v>
      </c>
      <c r="S35" s="89">
        <v>0.84499999999999997</v>
      </c>
      <c r="T35" s="89">
        <v>0.78900000000000003</v>
      </c>
      <c r="U35" s="89">
        <v>0.73599999999999999</v>
      </c>
      <c r="V35" s="89">
        <v>0.68700000000000006</v>
      </c>
      <c r="W35" s="89">
        <v>0.64</v>
      </c>
      <c r="X35" s="89">
        <v>0.59699999999999998</v>
      </c>
      <c r="Y35" s="89">
        <v>0.55600000000000005</v>
      </c>
      <c r="Z35" s="89">
        <v>0.51700000000000002</v>
      </c>
      <c r="AA35" s="89">
        <v>0.48099999999999998</v>
      </c>
      <c r="AB35" s="89">
        <v>0.44700000000000001</v>
      </c>
      <c r="AC35" s="89">
        <v>0.41599999999999998</v>
      </c>
      <c r="AD35" s="89">
        <v>0.38600000000000001</v>
      </c>
      <c r="AE35" s="89">
        <v>0.35899999999999999</v>
      </c>
    </row>
    <row r="36" spans="1:31" x14ac:dyDescent="0.25">
      <c r="A36" s="97">
        <v>29</v>
      </c>
      <c r="B36" s="89">
        <v>2.69</v>
      </c>
      <c r="C36" s="89">
        <v>2.5139999999999998</v>
      </c>
      <c r="D36" s="89">
        <v>2.35</v>
      </c>
      <c r="E36" s="89">
        <v>2.198</v>
      </c>
      <c r="F36" s="89">
        <v>2.056</v>
      </c>
      <c r="G36" s="89">
        <v>1.9239999999999999</v>
      </c>
      <c r="H36" s="89">
        <v>1.8</v>
      </c>
      <c r="I36" s="89">
        <v>1.6839999999999999</v>
      </c>
      <c r="J36" s="89">
        <v>1.5760000000000001</v>
      </c>
      <c r="K36" s="89">
        <v>1.4750000000000001</v>
      </c>
      <c r="L36" s="89">
        <v>1.381</v>
      </c>
      <c r="M36" s="89">
        <v>1.292</v>
      </c>
      <c r="N36" s="89">
        <v>1.208</v>
      </c>
      <c r="O36" s="89">
        <v>1.1299999999999999</v>
      </c>
      <c r="P36" s="89">
        <v>1.0569999999999999</v>
      </c>
      <c r="Q36" s="89">
        <v>0.98799999999999999</v>
      </c>
      <c r="R36" s="89">
        <v>0.92300000000000004</v>
      </c>
      <c r="S36" s="89">
        <v>0.86199999999999999</v>
      </c>
      <c r="T36" s="89">
        <v>0.80500000000000005</v>
      </c>
      <c r="U36" s="89">
        <v>0.751</v>
      </c>
      <c r="V36" s="89">
        <v>0.7</v>
      </c>
      <c r="W36" s="89">
        <v>0.65200000000000002</v>
      </c>
      <c r="X36" s="89">
        <v>0.60799999999999998</v>
      </c>
      <c r="Y36" s="89">
        <v>0.56599999999999995</v>
      </c>
      <c r="Z36" s="89">
        <v>0.52600000000000002</v>
      </c>
      <c r="AA36" s="89">
        <v>0.48899999999999999</v>
      </c>
      <c r="AB36" s="89">
        <v>0.45500000000000002</v>
      </c>
      <c r="AC36" s="89">
        <v>0.42299999999999999</v>
      </c>
      <c r="AD36" s="89">
        <v>0.39300000000000002</v>
      </c>
      <c r="AE36" s="89">
        <v>0.36499999999999999</v>
      </c>
    </row>
    <row r="37" spans="1:31" x14ac:dyDescent="0.25">
      <c r="A37" s="97">
        <v>30</v>
      </c>
      <c r="B37" s="89">
        <v>2.7890000000000001</v>
      </c>
      <c r="C37" s="89">
        <v>2.6030000000000002</v>
      </c>
      <c r="D37" s="89">
        <v>2.431</v>
      </c>
      <c r="E37" s="89">
        <v>2.2709999999999999</v>
      </c>
      <c r="F37" s="89">
        <v>2.1219999999999999</v>
      </c>
      <c r="G37" s="89">
        <v>1.9830000000000001</v>
      </c>
      <c r="H37" s="89">
        <v>1.8540000000000001</v>
      </c>
      <c r="I37" s="89">
        <v>1.7330000000000001</v>
      </c>
      <c r="J37" s="89">
        <v>1.621</v>
      </c>
      <c r="K37" s="89">
        <v>1.5149999999999999</v>
      </c>
      <c r="L37" s="89">
        <v>1.417</v>
      </c>
      <c r="M37" s="89">
        <v>1.325</v>
      </c>
      <c r="N37" s="89">
        <v>1.238</v>
      </c>
      <c r="O37" s="89">
        <v>1.157</v>
      </c>
      <c r="P37" s="89">
        <v>1.081</v>
      </c>
      <c r="Q37" s="89">
        <v>1.01</v>
      </c>
      <c r="R37" s="89">
        <v>0.94299999999999995</v>
      </c>
      <c r="S37" s="89">
        <v>0.88100000000000001</v>
      </c>
      <c r="T37" s="89">
        <v>0.82199999999999995</v>
      </c>
      <c r="U37" s="89">
        <v>0.76600000000000001</v>
      </c>
      <c r="V37" s="89">
        <v>0.71399999999999997</v>
      </c>
      <c r="W37" s="89">
        <v>0.66500000000000004</v>
      </c>
      <c r="X37" s="89">
        <v>0.61899999999999999</v>
      </c>
      <c r="Y37" s="89">
        <v>0.57599999999999996</v>
      </c>
      <c r="Z37" s="89">
        <v>0.53600000000000003</v>
      </c>
      <c r="AA37" s="89">
        <v>0.498</v>
      </c>
      <c r="AB37" s="89">
        <v>0.46300000000000002</v>
      </c>
      <c r="AC37" s="89">
        <v>0.43</v>
      </c>
      <c r="AD37" s="89">
        <v>0.39900000000000002</v>
      </c>
      <c r="AE37" s="89">
        <v>0.371</v>
      </c>
    </row>
    <row r="38" spans="1:31" x14ac:dyDescent="0.25">
      <c r="A38" s="97">
        <v>31</v>
      </c>
      <c r="B38" s="89">
        <v>2.8959999999999999</v>
      </c>
      <c r="C38" s="89">
        <v>2.6989999999999998</v>
      </c>
      <c r="D38" s="89">
        <v>2.5179999999999998</v>
      </c>
      <c r="E38" s="89">
        <v>2.3490000000000002</v>
      </c>
      <c r="F38" s="89">
        <v>2.1920000000000002</v>
      </c>
      <c r="G38" s="89">
        <v>2.0470000000000002</v>
      </c>
      <c r="H38" s="89">
        <v>1.9119999999999999</v>
      </c>
      <c r="I38" s="89">
        <v>1.786</v>
      </c>
      <c r="J38" s="89">
        <v>1.6679999999999999</v>
      </c>
      <c r="K38" s="89">
        <v>1.5580000000000001</v>
      </c>
      <c r="L38" s="89">
        <v>1.456</v>
      </c>
      <c r="M38" s="89">
        <v>1.36</v>
      </c>
      <c r="N38" s="89">
        <v>1.27</v>
      </c>
      <c r="O38" s="89">
        <v>1.1859999999999999</v>
      </c>
      <c r="P38" s="89">
        <v>1.107</v>
      </c>
      <c r="Q38" s="89">
        <v>1.034</v>
      </c>
      <c r="R38" s="89">
        <v>0.96499999999999997</v>
      </c>
      <c r="S38" s="89">
        <v>0.9</v>
      </c>
      <c r="T38" s="89">
        <v>0.83899999999999997</v>
      </c>
      <c r="U38" s="89">
        <v>0.78200000000000003</v>
      </c>
      <c r="V38" s="89">
        <v>0.72899999999999998</v>
      </c>
      <c r="W38" s="89">
        <v>0.67800000000000005</v>
      </c>
      <c r="X38" s="89">
        <v>0.63100000000000001</v>
      </c>
      <c r="Y38" s="89">
        <v>0.58699999999999997</v>
      </c>
      <c r="Z38" s="89">
        <v>0.54600000000000004</v>
      </c>
      <c r="AA38" s="89">
        <v>0.50700000000000001</v>
      </c>
      <c r="AB38" s="89">
        <v>0.47099999999999997</v>
      </c>
      <c r="AC38" s="89">
        <v>0.437</v>
      </c>
      <c r="AD38" s="89">
        <v>0.40600000000000003</v>
      </c>
      <c r="AE38" s="89">
        <v>0.377</v>
      </c>
    </row>
    <row r="39" spans="1:31" x14ac:dyDescent="0.25">
      <c r="A39" s="97">
        <v>32</v>
      </c>
      <c r="B39" s="89">
        <v>3.0110000000000001</v>
      </c>
      <c r="C39" s="89">
        <v>2.8029999999999999</v>
      </c>
      <c r="D39" s="89">
        <v>2.6110000000000002</v>
      </c>
      <c r="E39" s="89">
        <v>2.4329999999999998</v>
      </c>
      <c r="F39" s="89">
        <v>2.2679999999999998</v>
      </c>
      <c r="G39" s="89">
        <v>2.1150000000000002</v>
      </c>
      <c r="H39" s="89">
        <v>1.9730000000000001</v>
      </c>
      <c r="I39" s="89">
        <v>1.841</v>
      </c>
      <c r="J39" s="89">
        <v>1.718</v>
      </c>
      <c r="K39" s="89">
        <v>1.6040000000000001</v>
      </c>
      <c r="L39" s="89">
        <v>1.4970000000000001</v>
      </c>
      <c r="M39" s="89">
        <v>1.397</v>
      </c>
      <c r="N39" s="89">
        <v>1.304</v>
      </c>
      <c r="O39" s="89">
        <v>1.216</v>
      </c>
      <c r="P39" s="89">
        <v>1.135</v>
      </c>
      <c r="Q39" s="89">
        <v>1.0589999999999999</v>
      </c>
      <c r="R39" s="89">
        <v>0.98699999999999999</v>
      </c>
      <c r="S39" s="89">
        <v>0.92100000000000004</v>
      </c>
      <c r="T39" s="89">
        <v>0.85799999999999998</v>
      </c>
      <c r="U39" s="89">
        <v>0.79900000000000004</v>
      </c>
      <c r="V39" s="89">
        <v>0.74399999999999999</v>
      </c>
      <c r="W39" s="89">
        <v>0.69199999999999995</v>
      </c>
      <c r="X39" s="89">
        <v>0.64400000000000002</v>
      </c>
      <c r="Y39" s="89">
        <v>0.59799999999999998</v>
      </c>
      <c r="Z39" s="89">
        <v>0.55600000000000005</v>
      </c>
      <c r="AA39" s="89">
        <v>0.51600000000000001</v>
      </c>
      <c r="AB39" s="89">
        <v>0.47899999999999998</v>
      </c>
      <c r="AC39" s="89">
        <v>0.44500000000000001</v>
      </c>
      <c r="AD39" s="89">
        <v>0.41299999999999998</v>
      </c>
      <c r="AE39" s="89">
        <v>0.38300000000000001</v>
      </c>
    </row>
    <row r="40" spans="1:31" x14ac:dyDescent="0.25">
      <c r="A40" s="97">
        <v>33</v>
      </c>
      <c r="B40" s="89">
        <v>3.1360000000000001</v>
      </c>
      <c r="C40" s="89">
        <v>2.915</v>
      </c>
      <c r="D40" s="89">
        <v>2.7120000000000002</v>
      </c>
      <c r="E40" s="89">
        <v>2.524</v>
      </c>
      <c r="F40" s="89">
        <v>2.35</v>
      </c>
      <c r="G40" s="89">
        <v>2.1890000000000001</v>
      </c>
      <c r="H40" s="89">
        <v>2.04</v>
      </c>
      <c r="I40" s="89">
        <v>1.901</v>
      </c>
      <c r="J40" s="89">
        <v>1.772</v>
      </c>
      <c r="K40" s="89">
        <v>1.6519999999999999</v>
      </c>
      <c r="L40" s="89">
        <v>1.5409999999999999</v>
      </c>
      <c r="M40" s="89">
        <v>1.4370000000000001</v>
      </c>
      <c r="N40" s="89">
        <v>1.34</v>
      </c>
      <c r="O40" s="89">
        <v>1.2490000000000001</v>
      </c>
      <c r="P40" s="89">
        <v>1.1639999999999999</v>
      </c>
      <c r="Q40" s="89">
        <v>1.085</v>
      </c>
      <c r="R40" s="89">
        <v>1.012</v>
      </c>
      <c r="S40" s="89">
        <v>0.94199999999999995</v>
      </c>
      <c r="T40" s="89">
        <v>0.878</v>
      </c>
      <c r="U40" s="89">
        <v>0.81699999999999995</v>
      </c>
      <c r="V40" s="89">
        <v>0.76</v>
      </c>
      <c r="W40" s="89">
        <v>0.70699999999999996</v>
      </c>
      <c r="X40" s="89">
        <v>0.65700000000000003</v>
      </c>
      <c r="Y40" s="89">
        <v>0.61</v>
      </c>
      <c r="Z40" s="89">
        <v>0.56699999999999995</v>
      </c>
      <c r="AA40" s="89">
        <v>0.52600000000000002</v>
      </c>
      <c r="AB40" s="89">
        <v>0.48799999999999999</v>
      </c>
      <c r="AC40" s="89">
        <v>0.45300000000000001</v>
      </c>
      <c r="AD40" s="89">
        <v>0.42</v>
      </c>
      <c r="AE40" s="89">
        <v>0.39</v>
      </c>
    </row>
    <row r="41" spans="1:31" x14ac:dyDescent="0.25">
      <c r="A41" s="97">
        <v>34</v>
      </c>
      <c r="B41" s="89">
        <v>3.2719999999999998</v>
      </c>
      <c r="C41" s="89">
        <v>3.0369999999999999</v>
      </c>
      <c r="D41" s="89">
        <v>2.8210000000000002</v>
      </c>
      <c r="E41" s="89">
        <v>2.6219999999999999</v>
      </c>
      <c r="F41" s="89">
        <v>2.4380000000000002</v>
      </c>
      <c r="G41" s="89">
        <v>2.2679999999999998</v>
      </c>
      <c r="H41" s="89">
        <v>2.1110000000000002</v>
      </c>
      <c r="I41" s="89">
        <v>1.9650000000000001</v>
      </c>
      <c r="J41" s="89">
        <v>1.83</v>
      </c>
      <c r="K41" s="89">
        <v>1.704</v>
      </c>
      <c r="L41" s="89">
        <v>1.5880000000000001</v>
      </c>
      <c r="M41" s="89">
        <v>1.4790000000000001</v>
      </c>
      <c r="N41" s="89">
        <v>1.3779999999999999</v>
      </c>
      <c r="O41" s="89">
        <v>1.2829999999999999</v>
      </c>
      <c r="P41" s="89">
        <v>1.196</v>
      </c>
      <c r="Q41" s="89">
        <v>1.1140000000000001</v>
      </c>
      <c r="R41" s="89">
        <v>1.0369999999999999</v>
      </c>
      <c r="S41" s="89">
        <v>0.96499999999999997</v>
      </c>
      <c r="T41" s="89">
        <v>0.89800000000000002</v>
      </c>
      <c r="U41" s="89">
        <v>0.83599999999999997</v>
      </c>
      <c r="V41" s="89">
        <v>0.77700000000000002</v>
      </c>
      <c r="W41" s="89">
        <v>0.72199999999999998</v>
      </c>
      <c r="X41" s="89">
        <v>0.67100000000000004</v>
      </c>
      <c r="Y41" s="89">
        <v>0.623</v>
      </c>
      <c r="Z41" s="89">
        <v>0.57799999999999996</v>
      </c>
      <c r="AA41" s="89">
        <v>0.53700000000000003</v>
      </c>
      <c r="AB41" s="89">
        <v>0.498</v>
      </c>
      <c r="AC41" s="89">
        <v>0.46200000000000002</v>
      </c>
      <c r="AD41" s="89">
        <v>0.42799999999999999</v>
      </c>
      <c r="AE41" s="89">
        <v>0.39700000000000002</v>
      </c>
    </row>
    <row r="42" spans="1:31" x14ac:dyDescent="0.25">
      <c r="A42" s="97">
        <v>35</v>
      </c>
      <c r="B42" s="89">
        <v>3.419</v>
      </c>
      <c r="C42" s="89">
        <v>3.1680000000000001</v>
      </c>
      <c r="D42" s="89">
        <v>2.9390000000000001</v>
      </c>
      <c r="E42" s="89">
        <v>2.7269999999999999</v>
      </c>
      <c r="F42" s="89">
        <v>2.5329999999999999</v>
      </c>
      <c r="G42" s="89">
        <v>2.3530000000000002</v>
      </c>
      <c r="H42" s="89">
        <v>2.1869999999999998</v>
      </c>
      <c r="I42" s="89">
        <v>2.0339999999999998</v>
      </c>
      <c r="J42" s="89">
        <v>1.8919999999999999</v>
      </c>
      <c r="K42" s="89">
        <v>1.76</v>
      </c>
      <c r="L42" s="89">
        <v>1.6379999999999999</v>
      </c>
      <c r="M42" s="89">
        <v>1.524</v>
      </c>
      <c r="N42" s="89">
        <v>1.419</v>
      </c>
      <c r="O42" s="89">
        <v>1.32</v>
      </c>
      <c r="P42" s="89">
        <v>1.2290000000000001</v>
      </c>
      <c r="Q42" s="89">
        <v>1.1439999999999999</v>
      </c>
      <c r="R42" s="89">
        <v>1.0640000000000001</v>
      </c>
      <c r="S42" s="89">
        <v>0.99</v>
      </c>
      <c r="T42" s="89">
        <v>0.92100000000000004</v>
      </c>
      <c r="U42" s="89">
        <v>0.85599999999999998</v>
      </c>
      <c r="V42" s="89">
        <v>0.79500000000000004</v>
      </c>
      <c r="W42" s="89">
        <v>0.73899999999999999</v>
      </c>
      <c r="X42" s="89">
        <v>0.68600000000000005</v>
      </c>
      <c r="Y42" s="89">
        <v>0.63700000000000001</v>
      </c>
      <c r="Z42" s="89">
        <v>0.59099999999999997</v>
      </c>
      <c r="AA42" s="89">
        <v>0.54800000000000004</v>
      </c>
      <c r="AB42" s="89">
        <v>0.50800000000000001</v>
      </c>
      <c r="AC42" s="89">
        <v>0.47099999999999997</v>
      </c>
      <c r="AD42" s="89">
        <v>0.436</v>
      </c>
      <c r="AE42" s="89">
        <v>0.40400000000000003</v>
      </c>
    </row>
    <row r="43" spans="1:31" x14ac:dyDescent="0.25">
      <c r="A43" s="97">
        <v>36</v>
      </c>
      <c r="B43" s="89">
        <v>3.5779999999999998</v>
      </c>
      <c r="C43" s="89">
        <v>3.3109999999999999</v>
      </c>
      <c r="D43" s="89">
        <v>3.0670000000000002</v>
      </c>
      <c r="E43" s="89">
        <v>2.8420000000000001</v>
      </c>
      <c r="F43" s="89">
        <v>2.6349999999999998</v>
      </c>
      <c r="G43" s="89">
        <v>2.4449999999999998</v>
      </c>
      <c r="H43" s="89">
        <v>2.27</v>
      </c>
      <c r="I43" s="89">
        <v>2.1080000000000001</v>
      </c>
      <c r="J43" s="89">
        <v>1.958</v>
      </c>
      <c r="K43" s="89">
        <v>1.82</v>
      </c>
      <c r="L43" s="89">
        <v>1.6919999999999999</v>
      </c>
      <c r="M43" s="89">
        <v>1.573</v>
      </c>
      <c r="N43" s="89">
        <v>1.462</v>
      </c>
      <c r="O43" s="89">
        <v>1.359</v>
      </c>
      <c r="P43" s="89">
        <v>1.264</v>
      </c>
      <c r="Q43" s="89">
        <v>1.175</v>
      </c>
      <c r="R43" s="89">
        <v>1.093</v>
      </c>
      <c r="S43" s="89">
        <v>1.016</v>
      </c>
      <c r="T43" s="89">
        <v>0.94399999999999995</v>
      </c>
      <c r="U43" s="89">
        <v>0.877</v>
      </c>
      <c r="V43" s="89">
        <v>0.81399999999999995</v>
      </c>
      <c r="W43" s="89">
        <v>0.75600000000000001</v>
      </c>
      <c r="X43" s="89">
        <v>0.70099999999999996</v>
      </c>
      <c r="Y43" s="89">
        <v>0.65100000000000002</v>
      </c>
      <c r="Z43" s="89">
        <v>0.60299999999999998</v>
      </c>
      <c r="AA43" s="89">
        <v>0.55900000000000005</v>
      </c>
      <c r="AB43" s="89">
        <v>0.51800000000000002</v>
      </c>
      <c r="AC43" s="89">
        <v>0.48</v>
      </c>
      <c r="AD43" s="89">
        <v>0.44500000000000001</v>
      </c>
      <c r="AE43" s="89">
        <v>0.41199999999999998</v>
      </c>
    </row>
    <row r="44" spans="1:31" x14ac:dyDescent="0.25">
      <c r="A44" s="97">
        <v>37</v>
      </c>
      <c r="B44" s="89">
        <v>3.7530000000000001</v>
      </c>
      <c r="C44" s="89">
        <v>3.4670000000000001</v>
      </c>
      <c r="D44" s="89">
        <v>3.206</v>
      </c>
      <c r="E44" s="89">
        <v>2.9660000000000002</v>
      </c>
      <c r="F44" s="89">
        <v>2.7469999999999999</v>
      </c>
      <c r="G44" s="89">
        <v>2.5449999999999999</v>
      </c>
      <c r="H44" s="89">
        <v>2.359</v>
      </c>
      <c r="I44" s="89">
        <v>2.1880000000000002</v>
      </c>
      <c r="J44" s="89">
        <v>2.0299999999999998</v>
      </c>
      <c r="K44" s="89">
        <v>1.8839999999999999</v>
      </c>
      <c r="L44" s="89">
        <v>1.7490000000000001</v>
      </c>
      <c r="M44" s="89">
        <v>1.625</v>
      </c>
      <c r="N44" s="89">
        <v>1.5089999999999999</v>
      </c>
      <c r="O44" s="89">
        <v>1.401</v>
      </c>
      <c r="P44" s="89">
        <v>1.302</v>
      </c>
      <c r="Q44" s="89">
        <v>1.2090000000000001</v>
      </c>
      <c r="R44" s="89">
        <v>1.123</v>
      </c>
      <c r="S44" s="89">
        <v>1.0429999999999999</v>
      </c>
      <c r="T44" s="89">
        <v>0.96899999999999997</v>
      </c>
      <c r="U44" s="89">
        <v>0.89900000000000002</v>
      </c>
      <c r="V44" s="89">
        <v>0.83499999999999996</v>
      </c>
      <c r="W44" s="89">
        <v>0.77400000000000002</v>
      </c>
      <c r="X44" s="89">
        <v>0.71799999999999997</v>
      </c>
      <c r="Y44" s="89">
        <v>0.66600000000000004</v>
      </c>
      <c r="Z44" s="89">
        <v>0.61699999999999999</v>
      </c>
      <c r="AA44" s="89">
        <v>0.57099999999999995</v>
      </c>
      <c r="AB44" s="89">
        <v>0.52900000000000003</v>
      </c>
      <c r="AC44" s="89">
        <v>0.49</v>
      </c>
      <c r="AD44" s="89">
        <v>0.45400000000000001</v>
      </c>
      <c r="AE44" s="89">
        <v>0.42</v>
      </c>
    </row>
    <row r="45" spans="1:31" x14ac:dyDescent="0.25">
      <c r="A45" s="97">
        <v>38</v>
      </c>
      <c r="B45" s="89">
        <v>3.9430000000000001</v>
      </c>
      <c r="C45" s="89">
        <v>3.637</v>
      </c>
      <c r="D45" s="89">
        <v>3.3570000000000002</v>
      </c>
      <c r="E45" s="89">
        <v>3.1019999999999999</v>
      </c>
      <c r="F45" s="89">
        <v>2.867</v>
      </c>
      <c r="G45" s="89">
        <v>2.653</v>
      </c>
      <c r="H45" s="89">
        <v>2.456</v>
      </c>
      <c r="I45" s="89">
        <v>2.274</v>
      </c>
      <c r="J45" s="89">
        <v>2.1080000000000001</v>
      </c>
      <c r="K45" s="89">
        <v>1.954</v>
      </c>
      <c r="L45" s="89">
        <v>1.8120000000000001</v>
      </c>
      <c r="M45" s="89">
        <v>1.68</v>
      </c>
      <c r="N45" s="89">
        <v>1.5589999999999999</v>
      </c>
      <c r="O45" s="89">
        <v>1.446</v>
      </c>
      <c r="P45" s="89">
        <v>1.3420000000000001</v>
      </c>
      <c r="Q45" s="89">
        <v>1.246</v>
      </c>
      <c r="R45" s="89">
        <v>1.1559999999999999</v>
      </c>
      <c r="S45" s="89">
        <v>1.073</v>
      </c>
      <c r="T45" s="89">
        <v>0.995</v>
      </c>
      <c r="U45" s="89">
        <v>0.92300000000000004</v>
      </c>
      <c r="V45" s="89">
        <v>0.85599999999999998</v>
      </c>
      <c r="W45" s="89">
        <v>0.79400000000000004</v>
      </c>
      <c r="X45" s="89">
        <v>0.73499999999999999</v>
      </c>
      <c r="Y45" s="89">
        <v>0.68100000000000005</v>
      </c>
      <c r="Z45" s="89">
        <v>0.63100000000000001</v>
      </c>
      <c r="AA45" s="89">
        <v>0.58399999999999996</v>
      </c>
      <c r="AB45" s="89">
        <v>0.54100000000000004</v>
      </c>
      <c r="AC45" s="89">
        <v>0.501</v>
      </c>
      <c r="AD45" s="89">
        <v>0.46300000000000002</v>
      </c>
      <c r="AE45" s="89">
        <v>0.42899999999999999</v>
      </c>
    </row>
    <row r="46" spans="1:31" x14ac:dyDescent="0.25">
      <c r="A46" s="97">
        <v>39</v>
      </c>
      <c r="B46" s="89">
        <v>4.1509999999999998</v>
      </c>
      <c r="C46" s="89">
        <v>3.8220000000000001</v>
      </c>
      <c r="D46" s="89">
        <v>3.5219999999999998</v>
      </c>
      <c r="E46" s="89">
        <v>3.2490000000000001</v>
      </c>
      <c r="F46" s="89">
        <v>2.9990000000000001</v>
      </c>
      <c r="G46" s="89">
        <v>2.77</v>
      </c>
      <c r="H46" s="89">
        <v>2.56</v>
      </c>
      <c r="I46" s="89">
        <v>2.3679999999999999</v>
      </c>
      <c r="J46" s="89">
        <v>2.1909999999999998</v>
      </c>
      <c r="K46" s="89">
        <v>2.028</v>
      </c>
      <c r="L46" s="89">
        <v>1.8779999999999999</v>
      </c>
      <c r="M46" s="89">
        <v>1.74</v>
      </c>
      <c r="N46" s="89">
        <v>1.6120000000000001</v>
      </c>
      <c r="O46" s="89">
        <v>1.4950000000000001</v>
      </c>
      <c r="P46" s="89">
        <v>1.385</v>
      </c>
      <c r="Q46" s="89">
        <v>1.2849999999999999</v>
      </c>
      <c r="R46" s="89">
        <v>1.1910000000000001</v>
      </c>
      <c r="S46" s="89">
        <v>1.1040000000000001</v>
      </c>
      <c r="T46" s="89">
        <v>1.024</v>
      </c>
      <c r="U46" s="89">
        <v>0.94899999999999995</v>
      </c>
      <c r="V46" s="89">
        <v>0.879</v>
      </c>
      <c r="W46" s="89">
        <v>0.81399999999999995</v>
      </c>
      <c r="X46" s="89">
        <v>0.754</v>
      </c>
      <c r="Y46" s="89">
        <v>0.69799999999999995</v>
      </c>
      <c r="Z46" s="89">
        <v>0.64600000000000002</v>
      </c>
      <c r="AA46" s="89">
        <v>0.59799999999999998</v>
      </c>
      <c r="AB46" s="89">
        <v>0.55300000000000005</v>
      </c>
      <c r="AC46" s="89">
        <v>0.51200000000000001</v>
      </c>
      <c r="AD46" s="89">
        <v>0.47299999999999998</v>
      </c>
      <c r="AE46" s="89">
        <v>0.438</v>
      </c>
    </row>
    <row r="47" spans="1:31" x14ac:dyDescent="0.25">
      <c r="A47" s="97">
        <v>40</v>
      </c>
      <c r="B47" s="89">
        <v>4.3789999999999996</v>
      </c>
      <c r="C47" s="89">
        <v>4.0250000000000004</v>
      </c>
      <c r="D47" s="89">
        <v>3.7029999999999998</v>
      </c>
      <c r="E47" s="89">
        <v>3.4089999999999998</v>
      </c>
      <c r="F47" s="89">
        <v>3.1419999999999999</v>
      </c>
      <c r="G47" s="89">
        <v>2.8969999999999998</v>
      </c>
      <c r="H47" s="89">
        <v>2.6739999999999999</v>
      </c>
      <c r="I47" s="89">
        <v>2.4689999999999999</v>
      </c>
      <c r="J47" s="89">
        <v>2.282</v>
      </c>
      <c r="K47" s="89">
        <v>2.109</v>
      </c>
      <c r="L47" s="89">
        <v>1.9510000000000001</v>
      </c>
      <c r="M47" s="89">
        <v>1.8049999999999999</v>
      </c>
      <c r="N47" s="89">
        <v>1.67</v>
      </c>
      <c r="O47" s="89">
        <v>1.546</v>
      </c>
      <c r="P47" s="89">
        <v>1.4319999999999999</v>
      </c>
      <c r="Q47" s="89">
        <v>1.3260000000000001</v>
      </c>
      <c r="R47" s="89">
        <v>1.228</v>
      </c>
      <c r="S47" s="89">
        <v>1.1379999999999999</v>
      </c>
      <c r="T47" s="89">
        <v>1.054</v>
      </c>
      <c r="U47" s="89">
        <v>0.97599999999999998</v>
      </c>
      <c r="V47" s="89">
        <v>0.90300000000000002</v>
      </c>
      <c r="W47" s="89">
        <v>0.83599999999999997</v>
      </c>
      <c r="X47" s="89">
        <v>0.77400000000000002</v>
      </c>
      <c r="Y47" s="89">
        <v>0.71599999999999997</v>
      </c>
      <c r="Z47" s="89">
        <v>0.66200000000000003</v>
      </c>
      <c r="AA47" s="89">
        <v>0.61199999999999999</v>
      </c>
      <c r="AB47" s="89">
        <v>0.56599999999999995</v>
      </c>
      <c r="AC47" s="89">
        <v>0.52300000000000002</v>
      </c>
      <c r="AD47" s="89">
        <v>0.48399999999999999</v>
      </c>
      <c r="AE47" s="89">
        <v>0.44700000000000001</v>
      </c>
    </row>
    <row r="48" spans="1:31" x14ac:dyDescent="0.25">
      <c r="A48" s="97">
        <v>41</v>
      </c>
      <c r="B48" s="89">
        <v>4.6289999999999996</v>
      </c>
      <c r="C48" s="89">
        <v>4.2469999999999999</v>
      </c>
      <c r="D48" s="89">
        <v>3.9</v>
      </c>
      <c r="E48" s="89">
        <v>3.585</v>
      </c>
      <c r="F48" s="89">
        <v>3.298</v>
      </c>
      <c r="G48" s="89">
        <v>3.036</v>
      </c>
      <c r="H48" s="89">
        <v>2.7970000000000002</v>
      </c>
      <c r="I48" s="89">
        <v>2.5790000000000002</v>
      </c>
      <c r="J48" s="89">
        <v>2.38</v>
      </c>
      <c r="K48" s="89">
        <v>2.1970000000000001</v>
      </c>
      <c r="L48" s="89">
        <v>2.0289999999999999</v>
      </c>
      <c r="M48" s="89">
        <v>1.8740000000000001</v>
      </c>
      <c r="N48" s="89">
        <v>1.732</v>
      </c>
      <c r="O48" s="89">
        <v>1.6020000000000001</v>
      </c>
      <c r="P48" s="89">
        <v>1.482</v>
      </c>
      <c r="Q48" s="89">
        <v>1.371</v>
      </c>
      <c r="R48" s="89">
        <v>1.268</v>
      </c>
      <c r="S48" s="89">
        <v>1.1739999999999999</v>
      </c>
      <c r="T48" s="89">
        <v>1.0860000000000001</v>
      </c>
      <c r="U48" s="89">
        <v>1.0049999999999999</v>
      </c>
      <c r="V48" s="89">
        <v>0.92900000000000005</v>
      </c>
      <c r="W48" s="89">
        <v>0.85899999999999999</v>
      </c>
      <c r="X48" s="89">
        <v>0.79400000000000004</v>
      </c>
      <c r="Y48" s="89">
        <v>0.73399999999999999</v>
      </c>
      <c r="Z48" s="89">
        <v>0.67900000000000005</v>
      </c>
      <c r="AA48" s="89">
        <v>0.627</v>
      </c>
      <c r="AB48" s="89">
        <v>0.57999999999999996</v>
      </c>
      <c r="AC48" s="89">
        <v>0.53600000000000003</v>
      </c>
      <c r="AD48" s="89">
        <v>0.495</v>
      </c>
      <c r="AE48" s="89">
        <v>0.45800000000000002</v>
      </c>
    </row>
    <row r="49" spans="1:31" x14ac:dyDescent="0.25">
      <c r="A49" s="97">
        <v>42</v>
      </c>
      <c r="B49" s="89">
        <v>4.9029999999999996</v>
      </c>
      <c r="C49" s="89">
        <v>4.49</v>
      </c>
      <c r="D49" s="89">
        <v>4.1159999999999997</v>
      </c>
      <c r="E49" s="89">
        <v>3.7770000000000001</v>
      </c>
      <c r="F49" s="89">
        <v>3.468</v>
      </c>
      <c r="G49" s="89">
        <v>3.1880000000000002</v>
      </c>
      <c r="H49" s="89">
        <v>2.9319999999999999</v>
      </c>
      <c r="I49" s="89">
        <v>2.6989999999999998</v>
      </c>
      <c r="J49" s="89">
        <v>2.4860000000000002</v>
      </c>
      <c r="K49" s="89">
        <v>2.2909999999999999</v>
      </c>
      <c r="L49" s="89">
        <v>2.113</v>
      </c>
      <c r="M49" s="89">
        <v>1.95</v>
      </c>
      <c r="N49" s="89">
        <v>1.8</v>
      </c>
      <c r="O49" s="89">
        <v>1.6619999999999999</v>
      </c>
      <c r="P49" s="89">
        <v>1.5349999999999999</v>
      </c>
      <c r="Q49" s="89">
        <v>1.419</v>
      </c>
      <c r="R49" s="89">
        <v>1.3109999999999999</v>
      </c>
      <c r="S49" s="89">
        <v>1.212</v>
      </c>
      <c r="T49" s="89">
        <v>1.1200000000000001</v>
      </c>
      <c r="U49" s="89">
        <v>1.0349999999999999</v>
      </c>
      <c r="V49" s="89">
        <v>0.95699999999999996</v>
      </c>
      <c r="W49" s="89">
        <v>0.88400000000000001</v>
      </c>
      <c r="X49" s="89">
        <v>0.81699999999999995</v>
      </c>
      <c r="Y49" s="89">
        <v>0.754</v>
      </c>
      <c r="Z49" s="89">
        <v>0.69699999999999995</v>
      </c>
      <c r="AA49" s="89">
        <v>0.64300000000000002</v>
      </c>
      <c r="AB49" s="89">
        <v>0.59399999999999997</v>
      </c>
      <c r="AC49" s="89">
        <v>0.54900000000000004</v>
      </c>
      <c r="AD49" s="89">
        <v>0.50700000000000001</v>
      </c>
      <c r="AE49" s="89">
        <v>0.46800000000000003</v>
      </c>
    </row>
    <row r="50" spans="1:31" x14ac:dyDescent="0.25">
      <c r="A50" s="97">
        <v>43</v>
      </c>
      <c r="B50" s="89">
        <v>5.2050000000000001</v>
      </c>
      <c r="C50" s="89">
        <v>4.758</v>
      </c>
      <c r="D50" s="89">
        <v>4.3540000000000001</v>
      </c>
      <c r="E50" s="89">
        <v>3.9870000000000001</v>
      </c>
      <c r="F50" s="89">
        <v>3.6549999999999998</v>
      </c>
      <c r="G50" s="89">
        <v>3.3530000000000002</v>
      </c>
      <c r="H50" s="89">
        <v>3.0790000000000002</v>
      </c>
      <c r="I50" s="89">
        <v>2.8290000000000002</v>
      </c>
      <c r="J50" s="89">
        <v>2.6019999999999999</v>
      </c>
      <c r="K50" s="89">
        <v>2.3940000000000001</v>
      </c>
      <c r="L50" s="89">
        <v>2.2050000000000001</v>
      </c>
      <c r="M50" s="89">
        <v>2.0310000000000001</v>
      </c>
      <c r="N50" s="89">
        <v>1.8720000000000001</v>
      </c>
      <c r="O50" s="89">
        <v>1.726</v>
      </c>
      <c r="P50" s="89">
        <v>1.593</v>
      </c>
      <c r="Q50" s="89">
        <v>1.47</v>
      </c>
      <c r="R50" s="89">
        <v>1.357</v>
      </c>
      <c r="S50" s="89">
        <v>1.2529999999999999</v>
      </c>
      <c r="T50" s="89">
        <v>1.157</v>
      </c>
      <c r="U50" s="89">
        <v>1.0680000000000001</v>
      </c>
      <c r="V50" s="89">
        <v>0.98599999999999999</v>
      </c>
      <c r="W50" s="89">
        <v>0.91</v>
      </c>
      <c r="X50" s="89">
        <v>0.84</v>
      </c>
      <c r="Y50" s="89">
        <v>0.77600000000000002</v>
      </c>
      <c r="Z50" s="89">
        <v>0.71599999999999997</v>
      </c>
      <c r="AA50" s="89">
        <v>0.66100000000000003</v>
      </c>
      <c r="AB50" s="89">
        <v>0.61</v>
      </c>
      <c r="AC50" s="89">
        <v>0.56200000000000006</v>
      </c>
      <c r="AD50" s="89">
        <v>0.51900000000000002</v>
      </c>
      <c r="AE50" s="89">
        <v>0.47899999999999998</v>
      </c>
    </row>
    <row r="51" spans="1:31" x14ac:dyDescent="0.25">
      <c r="A51" s="97">
        <v>44</v>
      </c>
      <c r="B51" s="89">
        <v>5.5369999999999999</v>
      </c>
      <c r="C51" s="89">
        <v>5.0529999999999999</v>
      </c>
      <c r="D51" s="89">
        <v>4.6150000000000002</v>
      </c>
      <c r="E51" s="89">
        <v>4.2190000000000003</v>
      </c>
      <c r="F51" s="89">
        <v>3.86</v>
      </c>
      <c r="G51" s="89">
        <v>3.5350000000000001</v>
      </c>
      <c r="H51" s="89">
        <v>3.24</v>
      </c>
      <c r="I51" s="89">
        <v>2.972</v>
      </c>
      <c r="J51" s="89">
        <v>2.7280000000000002</v>
      </c>
      <c r="K51" s="89">
        <v>2.5059999999999998</v>
      </c>
      <c r="L51" s="89">
        <v>2.3039999999999998</v>
      </c>
      <c r="M51" s="89">
        <v>2.12</v>
      </c>
      <c r="N51" s="89">
        <v>1.9510000000000001</v>
      </c>
      <c r="O51" s="89">
        <v>1.796</v>
      </c>
      <c r="P51" s="89">
        <v>1.655</v>
      </c>
      <c r="Q51" s="89">
        <v>1.526</v>
      </c>
      <c r="R51" s="89">
        <v>1.407</v>
      </c>
      <c r="S51" s="89">
        <v>1.2969999999999999</v>
      </c>
      <c r="T51" s="89">
        <v>1.196</v>
      </c>
      <c r="U51" s="89">
        <v>1.1040000000000001</v>
      </c>
      <c r="V51" s="89">
        <v>1.018</v>
      </c>
      <c r="W51" s="89">
        <v>0.93899999999999995</v>
      </c>
      <c r="X51" s="89">
        <v>0.86599999999999999</v>
      </c>
      <c r="Y51" s="89">
        <v>0.79800000000000004</v>
      </c>
      <c r="Z51" s="89">
        <v>0.73599999999999999</v>
      </c>
      <c r="AA51" s="89">
        <v>0.67900000000000005</v>
      </c>
      <c r="AB51" s="89">
        <v>0.626</v>
      </c>
      <c r="AC51" s="89">
        <v>0.57699999999999996</v>
      </c>
      <c r="AD51" s="89">
        <v>0.53200000000000003</v>
      </c>
      <c r="AE51" s="89">
        <v>0.49099999999999999</v>
      </c>
    </row>
    <row r="52" spans="1:31" x14ac:dyDescent="0.25">
      <c r="A52" s="97">
        <v>45</v>
      </c>
      <c r="B52" s="89">
        <v>5.9029999999999996</v>
      </c>
      <c r="C52" s="89">
        <v>5.3769999999999998</v>
      </c>
      <c r="D52" s="89">
        <v>4.9020000000000001</v>
      </c>
      <c r="E52" s="89">
        <v>4.4729999999999999</v>
      </c>
      <c r="F52" s="89">
        <v>4.085</v>
      </c>
      <c r="G52" s="89">
        <v>3.734</v>
      </c>
      <c r="H52" s="89">
        <v>3.4159999999999999</v>
      </c>
      <c r="I52" s="89">
        <v>3.1280000000000001</v>
      </c>
      <c r="J52" s="89">
        <v>2.867</v>
      </c>
      <c r="K52" s="89">
        <v>2.629</v>
      </c>
      <c r="L52" s="89">
        <v>2.4129999999999998</v>
      </c>
      <c r="M52" s="89">
        <v>2.2160000000000002</v>
      </c>
      <c r="N52" s="89">
        <v>2.036</v>
      </c>
      <c r="O52" s="89">
        <v>1.8720000000000001</v>
      </c>
      <c r="P52" s="89">
        <v>1.7230000000000001</v>
      </c>
      <c r="Q52" s="89">
        <v>1.5860000000000001</v>
      </c>
      <c r="R52" s="89">
        <v>1.46</v>
      </c>
      <c r="S52" s="89">
        <v>1.345</v>
      </c>
      <c r="T52" s="89">
        <v>1.2390000000000001</v>
      </c>
      <c r="U52" s="89">
        <v>1.141</v>
      </c>
      <c r="V52" s="89">
        <v>1.052</v>
      </c>
      <c r="W52" s="89">
        <v>0.96899999999999997</v>
      </c>
      <c r="X52" s="89">
        <v>0.89300000000000002</v>
      </c>
      <c r="Y52" s="89">
        <v>0.82199999999999995</v>
      </c>
      <c r="Z52" s="89">
        <v>0.75800000000000001</v>
      </c>
      <c r="AA52" s="89">
        <v>0.69799999999999995</v>
      </c>
      <c r="AB52" s="89">
        <v>0.64300000000000002</v>
      </c>
      <c r="AC52" s="89">
        <v>0.59299999999999997</v>
      </c>
      <c r="AD52" s="89">
        <v>0.54600000000000004</v>
      </c>
      <c r="AE52" s="89">
        <v>0.504</v>
      </c>
    </row>
    <row r="53" spans="1:31" x14ac:dyDescent="0.25">
      <c r="A53" s="97">
        <v>46</v>
      </c>
      <c r="B53" s="89">
        <v>6.3079999999999998</v>
      </c>
      <c r="C53" s="89">
        <v>5.7359999999999998</v>
      </c>
      <c r="D53" s="89">
        <v>5.22</v>
      </c>
      <c r="E53" s="89">
        <v>4.7539999999999996</v>
      </c>
      <c r="F53" s="89">
        <v>4.3330000000000002</v>
      </c>
      <c r="G53" s="89">
        <v>3.9540000000000002</v>
      </c>
      <c r="H53" s="89">
        <v>3.61</v>
      </c>
      <c r="I53" s="89">
        <v>3.2989999999999999</v>
      </c>
      <c r="J53" s="89">
        <v>3.0179999999999998</v>
      </c>
      <c r="K53" s="89">
        <v>2.7629999999999999</v>
      </c>
      <c r="L53" s="89">
        <v>2.5310000000000001</v>
      </c>
      <c r="M53" s="89">
        <v>2.3210000000000002</v>
      </c>
      <c r="N53" s="89">
        <v>2.129</v>
      </c>
      <c r="O53" s="89">
        <v>1.9550000000000001</v>
      </c>
      <c r="P53" s="89">
        <v>1.796</v>
      </c>
      <c r="Q53" s="89">
        <v>1.651</v>
      </c>
      <c r="R53" s="89">
        <v>1.518</v>
      </c>
      <c r="S53" s="89">
        <v>1.3959999999999999</v>
      </c>
      <c r="T53" s="89">
        <v>1.2849999999999999</v>
      </c>
      <c r="U53" s="89">
        <v>1.1819999999999999</v>
      </c>
      <c r="V53" s="89">
        <v>1.0880000000000001</v>
      </c>
      <c r="W53" s="89">
        <v>1.0009999999999999</v>
      </c>
      <c r="X53" s="89">
        <v>0.92200000000000004</v>
      </c>
      <c r="Y53" s="89">
        <v>0.84799999999999998</v>
      </c>
      <c r="Z53" s="89">
        <v>0.78100000000000003</v>
      </c>
      <c r="AA53" s="89">
        <v>0.71899999999999997</v>
      </c>
      <c r="AB53" s="89">
        <v>0.66200000000000003</v>
      </c>
      <c r="AC53" s="89">
        <v>0.60899999999999999</v>
      </c>
      <c r="AD53" s="89">
        <v>0.56100000000000005</v>
      </c>
      <c r="AE53" s="89">
        <v>0.51700000000000002</v>
      </c>
    </row>
    <row r="54" spans="1:31" x14ac:dyDescent="0.25">
      <c r="A54" s="97">
        <v>47</v>
      </c>
      <c r="B54" s="89">
        <v>6.7549999999999999</v>
      </c>
      <c r="C54" s="89">
        <v>6.1319999999999997</v>
      </c>
      <c r="D54" s="89">
        <v>5.57</v>
      </c>
      <c r="E54" s="89">
        <v>5.0640000000000001</v>
      </c>
      <c r="F54" s="89">
        <v>4.6070000000000002</v>
      </c>
      <c r="G54" s="89">
        <v>4.1950000000000003</v>
      </c>
      <c r="H54" s="89">
        <v>3.8239999999999998</v>
      </c>
      <c r="I54" s="89">
        <v>3.488</v>
      </c>
      <c r="J54" s="89">
        <v>3.1840000000000002</v>
      </c>
      <c r="K54" s="89">
        <v>2.91</v>
      </c>
      <c r="L54" s="89">
        <v>2.661</v>
      </c>
      <c r="M54" s="89">
        <v>2.4350000000000001</v>
      </c>
      <c r="N54" s="89">
        <v>2.2309999999999999</v>
      </c>
      <c r="O54" s="89">
        <v>2.0449999999999999</v>
      </c>
      <c r="P54" s="89">
        <v>1.875</v>
      </c>
      <c r="Q54" s="89">
        <v>1.7210000000000001</v>
      </c>
      <c r="R54" s="89">
        <v>1.58</v>
      </c>
      <c r="S54" s="89">
        <v>1.452</v>
      </c>
      <c r="T54" s="89">
        <v>1.3340000000000001</v>
      </c>
      <c r="U54" s="89">
        <v>1.226</v>
      </c>
      <c r="V54" s="89">
        <v>1.127</v>
      </c>
      <c r="W54" s="89">
        <v>1.036</v>
      </c>
      <c r="X54" s="89">
        <v>0.95299999999999996</v>
      </c>
      <c r="Y54" s="89">
        <v>0.876</v>
      </c>
      <c r="Z54" s="89">
        <v>0.80600000000000005</v>
      </c>
      <c r="AA54" s="89">
        <v>0.74099999999999999</v>
      </c>
      <c r="AB54" s="89">
        <v>0.68200000000000005</v>
      </c>
      <c r="AC54" s="89">
        <v>0.627</v>
      </c>
      <c r="AD54" s="89">
        <v>0.57699999999999996</v>
      </c>
      <c r="AE54" s="89">
        <v>0.53100000000000003</v>
      </c>
    </row>
    <row r="55" spans="1:31" x14ac:dyDescent="0.25">
      <c r="A55" s="97">
        <v>48</v>
      </c>
      <c r="B55" s="89">
        <v>7.25</v>
      </c>
      <c r="C55" s="89">
        <v>6.57</v>
      </c>
      <c r="D55" s="89">
        <v>5.9580000000000002</v>
      </c>
      <c r="E55" s="89">
        <v>5.407</v>
      </c>
      <c r="F55" s="89">
        <v>4.91</v>
      </c>
      <c r="G55" s="89">
        <v>4.4619999999999997</v>
      </c>
      <c r="H55" s="89">
        <v>4.0590000000000002</v>
      </c>
      <c r="I55" s="89">
        <v>3.6949999999999998</v>
      </c>
      <c r="J55" s="89">
        <v>3.367</v>
      </c>
      <c r="K55" s="89">
        <v>3.0710000000000002</v>
      </c>
      <c r="L55" s="89">
        <v>2.8029999999999999</v>
      </c>
      <c r="M55" s="89">
        <v>2.5609999999999999</v>
      </c>
      <c r="N55" s="89">
        <v>2.3420000000000001</v>
      </c>
      <c r="O55" s="89">
        <v>2.1429999999999998</v>
      </c>
      <c r="P55" s="89">
        <v>1.962</v>
      </c>
      <c r="Q55" s="89">
        <v>1.798</v>
      </c>
      <c r="R55" s="89">
        <v>1.6479999999999999</v>
      </c>
      <c r="S55" s="89">
        <v>1.512</v>
      </c>
      <c r="T55" s="89">
        <v>1.3879999999999999</v>
      </c>
      <c r="U55" s="89">
        <v>1.274</v>
      </c>
      <c r="V55" s="89">
        <v>1.169</v>
      </c>
      <c r="W55" s="89">
        <v>1.0740000000000001</v>
      </c>
      <c r="X55" s="89">
        <v>0.98599999999999999</v>
      </c>
      <c r="Y55" s="89">
        <v>0.90600000000000003</v>
      </c>
      <c r="Z55" s="89">
        <v>0.83199999999999996</v>
      </c>
      <c r="AA55" s="89">
        <v>0.76500000000000001</v>
      </c>
      <c r="AB55" s="89">
        <v>0.70299999999999996</v>
      </c>
      <c r="AC55" s="89">
        <v>0.64600000000000002</v>
      </c>
      <c r="AD55" s="89">
        <v>0.59399999999999997</v>
      </c>
      <c r="AE55" s="89">
        <v>0.54700000000000004</v>
      </c>
    </row>
    <row r="56" spans="1:31" x14ac:dyDescent="0.25">
      <c r="A56" s="97">
        <v>49</v>
      </c>
      <c r="B56" s="89">
        <v>7.7969999999999997</v>
      </c>
      <c r="C56" s="89">
        <v>7.0549999999999997</v>
      </c>
      <c r="D56" s="89">
        <v>6.3869999999999996</v>
      </c>
      <c r="E56" s="89">
        <v>5.7859999999999996</v>
      </c>
      <c r="F56" s="89">
        <v>5.2450000000000001</v>
      </c>
      <c r="G56" s="89">
        <v>4.758</v>
      </c>
      <c r="H56" s="89">
        <v>4.319</v>
      </c>
      <c r="I56" s="89">
        <v>3.9239999999999999</v>
      </c>
      <c r="J56" s="89">
        <v>3.569</v>
      </c>
      <c r="K56" s="89">
        <v>3.2490000000000001</v>
      </c>
      <c r="L56" s="89">
        <v>2.96</v>
      </c>
      <c r="M56" s="89">
        <v>2.6989999999999998</v>
      </c>
      <c r="N56" s="89">
        <v>2.4630000000000001</v>
      </c>
      <c r="O56" s="89">
        <v>2.25</v>
      </c>
      <c r="P56" s="89">
        <v>2.0569999999999999</v>
      </c>
      <c r="Q56" s="89">
        <v>1.881</v>
      </c>
      <c r="R56" s="89">
        <v>1.722</v>
      </c>
      <c r="S56" s="89">
        <v>1.5780000000000001</v>
      </c>
      <c r="T56" s="89">
        <v>1.446</v>
      </c>
      <c r="U56" s="89">
        <v>1.325</v>
      </c>
      <c r="V56" s="89">
        <v>1.2150000000000001</v>
      </c>
      <c r="W56" s="89">
        <v>1.1140000000000001</v>
      </c>
      <c r="X56" s="89">
        <v>1.022</v>
      </c>
      <c r="Y56" s="89">
        <v>0.93799999999999994</v>
      </c>
      <c r="Z56" s="89">
        <v>0.86099999999999999</v>
      </c>
      <c r="AA56" s="89">
        <v>0.79</v>
      </c>
      <c r="AB56" s="89">
        <v>0.72499999999999998</v>
      </c>
      <c r="AC56" s="89">
        <v>0.66600000000000004</v>
      </c>
      <c r="AD56" s="89">
        <v>0.61199999999999999</v>
      </c>
      <c r="AE56" s="89">
        <v>0.56299999999999994</v>
      </c>
    </row>
    <row r="57" spans="1:31" x14ac:dyDescent="0.25">
      <c r="A57" s="97">
        <v>50</v>
      </c>
      <c r="B57" s="89">
        <v>8.4030000000000005</v>
      </c>
      <c r="C57" s="89">
        <v>7.593</v>
      </c>
      <c r="D57" s="89">
        <v>6.8630000000000004</v>
      </c>
      <c r="E57" s="89">
        <v>6.2060000000000004</v>
      </c>
      <c r="F57" s="89">
        <v>5.6159999999999997</v>
      </c>
      <c r="G57" s="89">
        <v>5.0839999999999996</v>
      </c>
      <c r="H57" s="89">
        <v>4.6070000000000002</v>
      </c>
      <c r="I57" s="89">
        <v>4.1779999999999999</v>
      </c>
      <c r="J57" s="89">
        <v>3.7919999999999998</v>
      </c>
      <c r="K57" s="89">
        <v>3.4449999999999998</v>
      </c>
      <c r="L57" s="89">
        <v>3.1320000000000001</v>
      </c>
      <c r="M57" s="89">
        <v>2.851</v>
      </c>
      <c r="N57" s="89">
        <v>2.597</v>
      </c>
      <c r="O57" s="89">
        <v>2.367</v>
      </c>
      <c r="P57" s="89">
        <v>2.16</v>
      </c>
      <c r="Q57" s="89">
        <v>1.9730000000000001</v>
      </c>
      <c r="R57" s="89">
        <v>1.8029999999999999</v>
      </c>
      <c r="S57" s="89">
        <v>1.649</v>
      </c>
      <c r="T57" s="89">
        <v>1.5089999999999999</v>
      </c>
      <c r="U57" s="89">
        <v>1.381</v>
      </c>
      <c r="V57" s="89">
        <v>1.264</v>
      </c>
      <c r="W57" s="89">
        <v>1.1579999999999999</v>
      </c>
      <c r="X57" s="89">
        <v>1.0609999999999999</v>
      </c>
      <c r="Y57" s="89">
        <v>0.97199999999999998</v>
      </c>
      <c r="Z57" s="89">
        <v>0.89100000000000001</v>
      </c>
      <c r="AA57" s="89">
        <v>0.81699999999999995</v>
      </c>
      <c r="AB57" s="89">
        <v>0.75</v>
      </c>
      <c r="AC57" s="89">
        <v>0.68799999999999994</v>
      </c>
      <c r="AD57" s="89">
        <v>0.63200000000000001</v>
      </c>
      <c r="AE57" s="89">
        <v>0.57999999999999996</v>
      </c>
    </row>
    <row r="58" spans="1:31" x14ac:dyDescent="0.25">
      <c r="A58" s="97">
        <v>51</v>
      </c>
      <c r="B58" s="89">
        <v>9.0749999999999993</v>
      </c>
      <c r="C58" s="89">
        <v>8.19</v>
      </c>
      <c r="D58" s="89">
        <v>7.391</v>
      </c>
      <c r="E58" s="89">
        <v>6.673</v>
      </c>
      <c r="F58" s="89">
        <v>6.0270000000000001</v>
      </c>
      <c r="G58" s="89">
        <v>5.4470000000000001</v>
      </c>
      <c r="H58" s="89">
        <v>4.9260000000000002</v>
      </c>
      <c r="I58" s="89">
        <v>4.4589999999999996</v>
      </c>
      <c r="J58" s="89">
        <v>4.0389999999999997</v>
      </c>
      <c r="K58" s="89">
        <v>3.6619999999999999</v>
      </c>
      <c r="L58" s="89">
        <v>3.323</v>
      </c>
      <c r="M58" s="89">
        <v>3.0179999999999998</v>
      </c>
      <c r="N58" s="89">
        <v>2.7440000000000002</v>
      </c>
      <c r="O58" s="89">
        <v>2.4969999999999999</v>
      </c>
      <c r="P58" s="89">
        <v>2.274</v>
      </c>
      <c r="Q58" s="89">
        <v>2.073</v>
      </c>
      <c r="R58" s="89">
        <v>1.891</v>
      </c>
      <c r="S58" s="89">
        <v>1.7270000000000001</v>
      </c>
      <c r="T58" s="89">
        <v>1.577</v>
      </c>
      <c r="U58" s="89">
        <v>1.4419999999999999</v>
      </c>
      <c r="V58" s="89">
        <v>1.3180000000000001</v>
      </c>
      <c r="W58" s="89">
        <v>1.2050000000000001</v>
      </c>
      <c r="X58" s="89">
        <v>1.103</v>
      </c>
      <c r="Y58" s="89">
        <v>1.01</v>
      </c>
      <c r="Z58" s="89">
        <v>0.92400000000000004</v>
      </c>
      <c r="AA58" s="89">
        <v>0.84699999999999998</v>
      </c>
      <c r="AB58" s="89">
        <v>0.77600000000000002</v>
      </c>
      <c r="AC58" s="89">
        <v>0.71099999999999997</v>
      </c>
      <c r="AD58" s="89">
        <v>0.65200000000000002</v>
      </c>
      <c r="AE58" s="89">
        <v>0.59899999999999998</v>
      </c>
    </row>
    <row r="59" spans="1:31" x14ac:dyDescent="0.25">
      <c r="A59" s="97">
        <v>52</v>
      </c>
      <c r="B59" s="89">
        <v>9.82</v>
      </c>
      <c r="C59" s="89">
        <v>8.8520000000000003</v>
      </c>
      <c r="D59" s="89">
        <v>7.9779999999999998</v>
      </c>
      <c r="E59" s="89">
        <v>7.1920000000000002</v>
      </c>
      <c r="F59" s="89">
        <v>6.4850000000000003</v>
      </c>
      <c r="G59" s="89">
        <v>5.85</v>
      </c>
      <c r="H59" s="89">
        <v>5.2809999999999997</v>
      </c>
      <c r="I59" s="89">
        <v>4.7699999999999996</v>
      </c>
      <c r="J59" s="89">
        <v>4.3120000000000003</v>
      </c>
      <c r="K59" s="89">
        <v>3.9020000000000001</v>
      </c>
      <c r="L59" s="89">
        <v>3.5329999999999999</v>
      </c>
      <c r="M59" s="89">
        <v>3.2029999999999998</v>
      </c>
      <c r="N59" s="89">
        <v>2.9060000000000001</v>
      </c>
      <c r="O59" s="89">
        <v>2.6389999999999998</v>
      </c>
      <c r="P59" s="89">
        <v>2.399</v>
      </c>
      <c r="Q59" s="89">
        <v>2.1829999999999998</v>
      </c>
      <c r="R59" s="89">
        <v>1.988</v>
      </c>
      <c r="S59" s="89">
        <v>1.8120000000000001</v>
      </c>
      <c r="T59" s="89">
        <v>1.653</v>
      </c>
      <c r="U59" s="89">
        <v>1.508</v>
      </c>
      <c r="V59" s="89">
        <v>1.377</v>
      </c>
      <c r="W59" s="89">
        <v>1.2569999999999999</v>
      </c>
      <c r="X59" s="89">
        <v>1.149</v>
      </c>
      <c r="Y59" s="89">
        <v>1.05</v>
      </c>
      <c r="Z59" s="89">
        <v>0.96</v>
      </c>
      <c r="AA59" s="89">
        <v>0.878</v>
      </c>
      <c r="AB59" s="89">
        <v>0.80400000000000005</v>
      </c>
      <c r="AC59" s="89">
        <v>0.73599999999999999</v>
      </c>
      <c r="AD59" s="89">
        <v>0.67500000000000004</v>
      </c>
      <c r="AE59" s="89">
        <v>0.61899999999999999</v>
      </c>
    </row>
    <row r="60" spans="1:31" x14ac:dyDescent="0.25">
      <c r="A60" s="97">
        <v>53</v>
      </c>
      <c r="B60" s="89">
        <v>10.647</v>
      </c>
      <c r="C60" s="89">
        <v>9.5869999999999997</v>
      </c>
      <c r="D60" s="89">
        <v>8.6300000000000008</v>
      </c>
      <c r="E60" s="89">
        <v>7.7690000000000001</v>
      </c>
      <c r="F60" s="89">
        <v>6.9939999999999998</v>
      </c>
      <c r="G60" s="89">
        <v>6.2990000000000004</v>
      </c>
      <c r="H60" s="89">
        <v>5.6760000000000002</v>
      </c>
      <c r="I60" s="89">
        <v>5.117</v>
      </c>
      <c r="J60" s="89">
        <v>4.617</v>
      </c>
      <c r="K60" s="89">
        <v>4.1680000000000001</v>
      </c>
      <c r="L60" s="89">
        <v>3.7669999999999999</v>
      </c>
      <c r="M60" s="89">
        <v>3.4079999999999999</v>
      </c>
      <c r="N60" s="89">
        <v>3.085</v>
      </c>
      <c r="O60" s="89">
        <v>2.7959999999999998</v>
      </c>
      <c r="P60" s="89">
        <v>2.5369999999999999</v>
      </c>
      <c r="Q60" s="89">
        <v>2.3039999999999998</v>
      </c>
      <c r="R60" s="89">
        <v>2.0950000000000002</v>
      </c>
      <c r="S60" s="89">
        <v>1.9059999999999999</v>
      </c>
      <c r="T60" s="89">
        <v>1.7350000000000001</v>
      </c>
      <c r="U60" s="89">
        <v>1.58</v>
      </c>
      <c r="V60" s="89">
        <v>1.44</v>
      </c>
      <c r="W60" s="89">
        <v>1.3129999999999999</v>
      </c>
      <c r="X60" s="89">
        <v>1.198</v>
      </c>
      <c r="Y60" s="89">
        <v>1.0940000000000001</v>
      </c>
      <c r="Z60" s="89">
        <v>0.999</v>
      </c>
      <c r="AA60" s="89">
        <v>0.91300000000000003</v>
      </c>
      <c r="AB60" s="89">
        <v>0.83499999999999996</v>
      </c>
      <c r="AC60" s="89">
        <v>0.76300000000000001</v>
      </c>
      <c r="AD60" s="89">
        <v>0.69899999999999995</v>
      </c>
      <c r="AE60" s="89">
        <v>0.64</v>
      </c>
    </row>
    <row r="61" spans="1:31" x14ac:dyDescent="0.25">
      <c r="A61" s="97">
        <v>54</v>
      </c>
      <c r="B61" s="89">
        <v>11.564</v>
      </c>
      <c r="C61" s="89">
        <v>10.404</v>
      </c>
      <c r="D61" s="89">
        <v>9.3550000000000004</v>
      </c>
      <c r="E61" s="89">
        <v>8.4109999999999996</v>
      </c>
      <c r="F61" s="89">
        <v>7.5609999999999999</v>
      </c>
      <c r="G61" s="89">
        <v>6.7990000000000004</v>
      </c>
      <c r="H61" s="89">
        <v>6.1150000000000002</v>
      </c>
      <c r="I61" s="89">
        <v>5.5030000000000001</v>
      </c>
      <c r="J61" s="89">
        <v>4.9550000000000001</v>
      </c>
      <c r="K61" s="89">
        <v>4.4649999999999999</v>
      </c>
      <c r="L61" s="89">
        <v>4.0270000000000001</v>
      </c>
      <c r="M61" s="89">
        <v>3.6349999999999998</v>
      </c>
      <c r="N61" s="89">
        <v>3.2839999999999998</v>
      </c>
      <c r="O61" s="89">
        <v>2.9710000000000001</v>
      </c>
      <c r="P61" s="89">
        <v>2.69</v>
      </c>
      <c r="Q61" s="89">
        <v>2.4380000000000002</v>
      </c>
      <c r="R61" s="89">
        <v>2.2120000000000002</v>
      </c>
      <c r="S61" s="89">
        <v>2.0089999999999999</v>
      </c>
      <c r="T61" s="89">
        <v>1.825</v>
      </c>
      <c r="U61" s="89">
        <v>1.66</v>
      </c>
      <c r="V61" s="89">
        <v>1.51</v>
      </c>
      <c r="W61" s="89">
        <v>1.375</v>
      </c>
      <c r="X61" s="89">
        <v>1.2529999999999999</v>
      </c>
      <c r="Y61" s="89">
        <v>1.1419999999999999</v>
      </c>
      <c r="Z61" s="89">
        <v>1.0409999999999999</v>
      </c>
      <c r="AA61" s="89">
        <v>0.95</v>
      </c>
      <c r="AB61" s="89">
        <v>0.86799999999999999</v>
      </c>
      <c r="AC61" s="89">
        <v>0.79300000000000004</v>
      </c>
      <c r="AD61" s="89">
        <v>0.72499999999999998</v>
      </c>
      <c r="AE61" s="89">
        <v>0.66300000000000003</v>
      </c>
    </row>
    <row r="62" spans="1:31" x14ac:dyDescent="0.25">
      <c r="A62" s="97">
        <v>55</v>
      </c>
      <c r="B62" s="89">
        <v>12.583</v>
      </c>
      <c r="C62" s="89">
        <v>11.311999999999999</v>
      </c>
      <c r="D62" s="89">
        <v>10.163</v>
      </c>
      <c r="E62" s="89">
        <v>9.1259999999999994</v>
      </c>
      <c r="F62" s="89">
        <v>8.1940000000000008</v>
      </c>
      <c r="G62" s="89">
        <v>7.3559999999999999</v>
      </c>
      <c r="H62" s="89">
        <v>6.6050000000000004</v>
      </c>
      <c r="I62" s="89">
        <v>5.9329999999999998</v>
      </c>
      <c r="J62" s="89">
        <v>5.3330000000000002</v>
      </c>
      <c r="K62" s="89">
        <v>4.7960000000000003</v>
      </c>
      <c r="L62" s="89">
        <v>4.3159999999999998</v>
      </c>
      <c r="M62" s="89">
        <v>3.8879999999999999</v>
      </c>
      <c r="N62" s="89">
        <v>3.5059999999999998</v>
      </c>
      <c r="O62" s="89">
        <v>3.1640000000000001</v>
      </c>
      <c r="P62" s="89">
        <v>2.859</v>
      </c>
      <c r="Q62" s="89">
        <v>2.5859999999999999</v>
      </c>
      <c r="R62" s="89">
        <v>2.3420000000000001</v>
      </c>
      <c r="S62" s="89">
        <v>2.1219999999999999</v>
      </c>
      <c r="T62" s="89">
        <v>1.925</v>
      </c>
      <c r="U62" s="89">
        <v>1.7470000000000001</v>
      </c>
      <c r="V62" s="89">
        <v>1.587</v>
      </c>
      <c r="W62" s="89">
        <v>1.4419999999999999</v>
      </c>
      <c r="X62" s="89">
        <v>1.3120000000000001</v>
      </c>
      <c r="Y62" s="89">
        <v>1.194</v>
      </c>
      <c r="Z62" s="89">
        <v>1.087</v>
      </c>
      <c r="AA62" s="89">
        <v>0.99099999999999999</v>
      </c>
      <c r="AB62" s="89">
        <v>0.90400000000000003</v>
      </c>
      <c r="AC62" s="89">
        <v>0.82499999999999996</v>
      </c>
      <c r="AD62" s="89">
        <v>0.753</v>
      </c>
      <c r="AE62" s="89">
        <v>0.68799999999999994</v>
      </c>
    </row>
    <row r="63" spans="1:31" x14ac:dyDescent="0.25">
      <c r="A63" s="97">
        <v>56</v>
      </c>
      <c r="B63" s="89">
        <v>13.712999999999999</v>
      </c>
      <c r="C63" s="89">
        <v>12.321</v>
      </c>
      <c r="D63" s="89">
        <v>11.061</v>
      </c>
      <c r="E63" s="89">
        <v>9.923</v>
      </c>
      <c r="F63" s="89">
        <v>8.8989999999999991</v>
      </c>
      <c r="G63" s="89">
        <v>7.9779999999999998</v>
      </c>
      <c r="H63" s="89">
        <v>7.1529999999999996</v>
      </c>
      <c r="I63" s="89">
        <v>6.4139999999999997</v>
      </c>
      <c r="J63" s="89">
        <v>5.7539999999999996</v>
      </c>
      <c r="K63" s="89">
        <v>5.165</v>
      </c>
      <c r="L63" s="89">
        <v>4.6390000000000002</v>
      </c>
      <c r="M63" s="89">
        <v>4.17</v>
      </c>
      <c r="N63" s="89">
        <v>3.7519999999999998</v>
      </c>
      <c r="O63" s="89">
        <v>3.379</v>
      </c>
      <c r="P63" s="89">
        <v>3.0470000000000002</v>
      </c>
      <c r="Q63" s="89">
        <v>2.75</v>
      </c>
      <c r="R63" s="89">
        <v>2.4849999999999999</v>
      </c>
      <c r="S63" s="89">
        <v>2.2480000000000002</v>
      </c>
      <c r="T63" s="89">
        <v>2.0350000000000001</v>
      </c>
      <c r="U63" s="89">
        <v>1.843</v>
      </c>
      <c r="V63" s="89">
        <v>1.671</v>
      </c>
      <c r="W63" s="89">
        <v>1.516</v>
      </c>
      <c r="X63" s="89">
        <v>1.377</v>
      </c>
      <c r="Y63" s="89">
        <v>1.2509999999999999</v>
      </c>
      <c r="Z63" s="89">
        <v>1.1379999999999999</v>
      </c>
      <c r="AA63" s="89">
        <v>1.0349999999999999</v>
      </c>
      <c r="AB63" s="89">
        <v>0.94299999999999995</v>
      </c>
      <c r="AC63" s="89">
        <v>0.85899999999999999</v>
      </c>
      <c r="AD63" s="89">
        <v>0.78400000000000003</v>
      </c>
      <c r="AE63" s="89">
        <v>0.71599999999999997</v>
      </c>
    </row>
    <row r="64" spans="1:31" x14ac:dyDescent="0.25">
      <c r="A64" s="97">
        <v>57</v>
      </c>
      <c r="B64" s="89">
        <v>14.968999999999999</v>
      </c>
      <c r="C64" s="89">
        <v>13.444000000000001</v>
      </c>
      <c r="D64" s="89">
        <v>12.061999999999999</v>
      </c>
      <c r="E64" s="89">
        <v>10.811999999999999</v>
      </c>
      <c r="F64" s="89">
        <v>9.6859999999999999</v>
      </c>
      <c r="G64" s="89">
        <v>8.673</v>
      </c>
      <c r="H64" s="89">
        <v>7.7640000000000002</v>
      </c>
      <c r="I64" s="89">
        <v>6.9509999999999996</v>
      </c>
      <c r="J64" s="89">
        <v>6.2249999999999996</v>
      </c>
      <c r="K64" s="89">
        <v>5.577</v>
      </c>
      <c r="L64" s="89">
        <v>4.9989999999999997</v>
      </c>
      <c r="M64" s="89">
        <v>4.4850000000000003</v>
      </c>
      <c r="N64" s="89">
        <v>4.0259999999999998</v>
      </c>
      <c r="O64" s="89">
        <v>3.6190000000000002</v>
      </c>
      <c r="P64" s="89">
        <v>3.2559999999999998</v>
      </c>
      <c r="Q64" s="89">
        <v>2.9329999999999998</v>
      </c>
      <c r="R64" s="89">
        <v>2.6440000000000001</v>
      </c>
      <c r="S64" s="89">
        <v>2.387</v>
      </c>
      <c r="T64" s="89">
        <v>2.1560000000000001</v>
      </c>
      <c r="U64" s="89">
        <v>1.95</v>
      </c>
      <c r="V64" s="89">
        <v>1.764</v>
      </c>
      <c r="W64" s="89">
        <v>1.5980000000000001</v>
      </c>
      <c r="X64" s="89">
        <v>1.448</v>
      </c>
      <c r="Y64" s="89">
        <v>1.3140000000000001</v>
      </c>
      <c r="Z64" s="89">
        <v>1.1930000000000001</v>
      </c>
      <c r="AA64" s="89">
        <v>1.083</v>
      </c>
      <c r="AB64" s="89">
        <v>0.98499999999999999</v>
      </c>
      <c r="AC64" s="89">
        <v>0.89700000000000002</v>
      </c>
      <c r="AD64" s="89">
        <v>0.81699999999999995</v>
      </c>
      <c r="AE64" s="89">
        <v>0.745</v>
      </c>
    </row>
    <row r="65" spans="1:31" x14ac:dyDescent="0.25">
      <c r="A65" s="97">
        <v>58</v>
      </c>
      <c r="B65" s="89">
        <v>16.363</v>
      </c>
      <c r="C65" s="89">
        <v>14.694000000000001</v>
      </c>
      <c r="D65" s="89">
        <v>13.177</v>
      </c>
      <c r="E65" s="89">
        <v>11.804</v>
      </c>
      <c r="F65" s="89">
        <v>10.565</v>
      </c>
      <c r="G65" s="89">
        <v>9.4499999999999993</v>
      </c>
      <c r="H65" s="89">
        <v>8.4489999999999998</v>
      </c>
      <c r="I65" s="89">
        <v>7.5529999999999999</v>
      </c>
      <c r="J65" s="89">
        <v>6.7519999999999998</v>
      </c>
      <c r="K65" s="89">
        <v>6.0380000000000003</v>
      </c>
      <c r="L65" s="89">
        <v>5.4029999999999996</v>
      </c>
      <c r="M65" s="89">
        <v>4.8369999999999997</v>
      </c>
      <c r="N65" s="89">
        <v>4.3330000000000002</v>
      </c>
      <c r="O65" s="89">
        <v>3.8860000000000001</v>
      </c>
      <c r="P65" s="89">
        <v>3.4889999999999999</v>
      </c>
      <c r="Q65" s="89">
        <v>3.1360000000000001</v>
      </c>
      <c r="R65" s="89">
        <v>2.8210000000000002</v>
      </c>
      <c r="S65" s="89">
        <v>2.5409999999999999</v>
      </c>
      <c r="T65" s="89">
        <v>2.2909999999999999</v>
      </c>
      <c r="U65" s="89">
        <v>2.0670000000000002</v>
      </c>
      <c r="V65" s="89">
        <v>1.867</v>
      </c>
      <c r="W65" s="89">
        <v>1.6870000000000001</v>
      </c>
      <c r="X65" s="89">
        <v>1.526</v>
      </c>
      <c r="Y65" s="89">
        <v>1.3819999999999999</v>
      </c>
      <c r="Z65" s="89">
        <v>1.2529999999999999</v>
      </c>
      <c r="AA65" s="89">
        <v>1.1359999999999999</v>
      </c>
      <c r="AB65" s="89">
        <v>1.032</v>
      </c>
      <c r="AC65" s="89">
        <v>0.93799999999999994</v>
      </c>
      <c r="AD65" s="89">
        <v>0.85299999999999998</v>
      </c>
      <c r="AE65" s="89">
        <v>0.77700000000000002</v>
      </c>
    </row>
    <row r="66" spans="1:31" x14ac:dyDescent="0.25">
      <c r="A66" s="97">
        <v>59</v>
      </c>
      <c r="B66" s="89">
        <v>17.913</v>
      </c>
      <c r="C66" s="89">
        <v>16.084</v>
      </c>
      <c r="D66" s="89">
        <v>14.42</v>
      </c>
      <c r="E66" s="89">
        <v>12.911</v>
      </c>
      <c r="F66" s="89">
        <v>11.547000000000001</v>
      </c>
      <c r="G66" s="89">
        <v>10.318</v>
      </c>
      <c r="H66" s="89">
        <v>9.2149999999999999</v>
      </c>
      <c r="I66" s="89">
        <v>8.2260000000000009</v>
      </c>
      <c r="J66" s="89">
        <v>7.343</v>
      </c>
      <c r="K66" s="89">
        <v>6.5549999999999997</v>
      </c>
      <c r="L66" s="89">
        <v>5.8540000000000001</v>
      </c>
      <c r="M66" s="89">
        <v>5.2309999999999999</v>
      </c>
      <c r="N66" s="89">
        <v>4.6769999999999996</v>
      </c>
      <c r="O66" s="89">
        <v>4.1849999999999996</v>
      </c>
      <c r="P66" s="89">
        <v>3.7490000000000001</v>
      </c>
      <c r="Q66" s="89">
        <v>3.3620000000000001</v>
      </c>
      <c r="R66" s="89">
        <v>3.0190000000000001</v>
      </c>
      <c r="S66" s="89">
        <v>2.7130000000000001</v>
      </c>
      <c r="T66" s="89">
        <v>2.4409999999999998</v>
      </c>
      <c r="U66" s="89">
        <v>2.198</v>
      </c>
      <c r="V66" s="89">
        <v>1.9810000000000001</v>
      </c>
      <c r="W66" s="89">
        <v>1.786</v>
      </c>
      <c r="X66" s="89">
        <v>1.613</v>
      </c>
      <c r="Y66" s="89">
        <v>1.458</v>
      </c>
      <c r="Z66" s="89">
        <v>1.319</v>
      </c>
      <c r="AA66" s="89">
        <v>1.194</v>
      </c>
      <c r="AB66" s="89">
        <v>1.083</v>
      </c>
      <c r="AC66" s="89">
        <v>0.98199999999999998</v>
      </c>
      <c r="AD66" s="89">
        <v>0.89200000000000002</v>
      </c>
      <c r="AE66" s="89">
        <v>0.81200000000000006</v>
      </c>
    </row>
    <row r="67" spans="1:31" x14ac:dyDescent="0.25">
      <c r="A67" s="97">
        <v>60</v>
      </c>
      <c r="B67" s="89">
        <v>19.635000000000002</v>
      </c>
      <c r="C67" s="89">
        <v>17.632000000000001</v>
      </c>
      <c r="D67" s="89">
        <v>15.805999999999999</v>
      </c>
      <c r="E67" s="89">
        <v>14.147</v>
      </c>
      <c r="F67" s="89">
        <v>12.645</v>
      </c>
      <c r="G67" s="89">
        <v>11.291</v>
      </c>
      <c r="H67" s="89">
        <v>10.073</v>
      </c>
      <c r="I67" s="89">
        <v>8.9809999999999999</v>
      </c>
      <c r="J67" s="89">
        <v>8.0050000000000008</v>
      </c>
      <c r="K67" s="89">
        <v>7.1349999999999998</v>
      </c>
      <c r="L67" s="89">
        <v>6.3609999999999998</v>
      </c>
      <c r="M67" s="89">
        <v>5.673</v>
      </c>
      <c r="N67" s="89">
        <v>5.0620000000000003</v>
      </c>
      <c r="O67" s="89">
        <v>4.5199999999999996</v>
      </c>
      <c r="P67" s="89">
        <v>4.0410000000000004</v>
      </c>
      <c r="Q67" s="89">
        <v>3.6160000000000001</v>
      </c>
      <c r="R67" s="89">
        <v>3.2389999999999999</v>
      </c>
      <c r="S67" s="89">
        <v>2.9049999999999998</v>
      </c>
      <c r="T67" s="89">
        <v>2.6070000000000002</v>
      </c>
      <c r="U67" s="89">
        <v>2.343</v>
      </c>
      <c r="V67" s="89">
        <v>2.1070000000000002</v>
      </c>
      <c r="W67" s="89">
        <v>1.8959999999999999</v>
      </c>
      <c r="X67" s="89">
        <v>1.7090000000000001</v>
      </c>
      <c r="Y67" s="89">
        <v>1.542</v>
      </c>
      <c r="Z67" s="89">
        <v>1.3919999999999999</v>
      </c>
      <c r="AA67" s="89">
        <v>1.258</v>
      </c>
      <c r="AB67" s="89">
        <v>1.139</v>
      </c>
      <c r="AC67" s="89">
        <v>1.0309999999999999</v>
      </c>
      <c r="AD67" s="89">
        <v>0.93500000000000005</v>
      </c>
      <c r="AE67" s="89">
        <v>0.85</v>
      </c>
    </row>
    <row r="68" spans="1:31" x14ac:dyDescent="0.25">
      <c r="A68" s="97">
        <v>61</v>
      </c>
      <c r="B68" s="89">
        <v>21.548999999999999</v>
      </c>
      <c r="C68" s="89">
        <v>19.355</v>
      </c>
      <c r="D68" s="89">
        <v>17.350999999999999</v>
      </c>
      <c r="E68" s="89">
        <v>15.526999999999999</v>
      </c>
      <c r="F68" s="89">
        <v>13.872999999999999</v>
      </c>
      <c r="G68" s="89">
        <v>12.379</v>
      </c>
      <c r="H68" s="89">
        <v>11.034000000000001</v>
      </c>
      <c r="I68" s="89">
        <v>9.8279999999999994</v>
      </c>
      <c r="J68" s="89">
        <v>8.7490000000000006</v>
      </c>
      <c r="K68" s="89">
        <v>7.7869999999999999</v>
      </c>
      <c r="L68" s="89">
        <v>6.93</v>
      </c>
      <c r="M68" s="89">
        <v>6.1689999999999996</v>
      </c>
      <c r="N68" s="89">
        <v>5.4939999999999998</v>
      </c>
      <c r="O68" s="89">
        <v>4.8959999999999999</v>
      </c>
      <c r="P68" s="89">
        <v>4.3680000000000003</v>
      </c>
      <c r="Q68" s="89">
        <v>3.9</v>
      </c>
      <c r="R68" s="89">
        <v>3.4860000000000002</v>
      </c>
      <c r="S68" s="89">
        <v>3.1190000000000002</v>
      </c>
      <c r="T68" s="89">
        <v>2.7930000000000001</v>
      </c>
      <c r="U68" s="89">
        <v>2.504</v>
      </c>
      <c r="V68" s="89">
        <v>2.2469999999999999</v>
      </c>
      <c r="W68" s="89">
        <v>2.0179999999999998</v>
      </c>
      <c r="X68" s="89">
        <v>1.8149999999999999</v>
      </c>
      <c r="Y68" s="89">
        <v>1.6339999999999999</v>
      </c>
      <c r="Z68" s="89">
        <v>1.4730000000000001</v>
      </c>
      <c r="AA68" s="89">
        <v>1.3280000000000001</v>
      </c>
      <c r="AB68" s="89">
        <v>1.2</v>
      </c>
      <c r="AC68" s="89">
        <v>1.085</v>
      </c>
      <c r="AD68" s="89">
        <v>0.98299999999999998</v>
      </c>
      <c r="AE68" s="89">
        <v>0.89100000000000001</v>
      </c>
    </row>
    <row r="69" spans="1:31" x14ac:dyDescent="0.25">
      <c r="A69" s="97">
        <v>62</v>
      </c>
      <c r="B69" s="89">
        <v>23.678000000000001</v>
      </c>
      <c r="C69" s="89">
        <v>21.274999999999999</v>
      </c>
      <c r="D69" s="89">
        <v>19.076000000000001</v>
      </c>
      <c r="E69" s="89">
        <v>17.07</v>
      </c>
      <c r="F69" s="89">
        <v>15.247999999999999</v>
      </c>
      <c r="G69" s="89">
        <v>13.599</v>
      </c>
      <c r="H69" s="89">
        <v>12.113</v>
      </c>
      <c r="I69" s="89">
        <v>10.779</v>
      </c>
      <c r="J69" s="89">
        <v>9.5850000000000009</v>
      </c>
      <c r="K69" s="89">
        <v>8.5190000000000001</v>
      </c>
      <c r="L69" s="89">
        <v>7.57</v>
      </c>
      <c r="M69" s="89">
        <v>6.7270000000000003</v>
      </c>
      <c r="N69" s="89">
        <v>5.98</v>
      </c>
      <c r="O69" s="89">
        <v>5.319</v>
      </c>
      <c r="P69" s="89">
        <v>4.7350000000000003</v>
      </c>
      <c r="Q69" s="89">
        <v>4.218</v>
      </c>
      <c r="R69" s="89">
        <v>3.762</v>
      </c>
      <c r="S69" s="89">
        <v>3.359</v>
      </c>
      <c r="T69" s="89">
        <v>3.0009999999999999</v>
      </c>
      <c r="U69" s="89">
        <v>2.6850000000000001</v>
      </c>
      <c r="V69" s="89">
        <v>2.4039999999999999</v>
      </c>
      <c r="W69" s="89">
        <v>2.1539999999999999</v>
      </c>
      <c r="X69" s="89">
        <v>1.9330000000000001</v>
      </c>
      <c r="Y69" s="89">
        <v>1.736</v>
      </c>
      <c r="Z69" s="89">
        <v>1.5620000000000001</v>
      </c>
      <c r="AA69" s="89">
        <v>1.4059999999999999</v>
      </c>
      <c r="AB69" s="89">
        <v>1.268</v>
      </c>
      <c r="AC69" s="89">
        <v>1.1439999999999999</v>
      </c>
      <c r="AD69" s="89">
        <v>1.0349999999999999</v>
      </c>
      <c r="AE69" s="89">
        <v>0.93700000000000006</v>
      </c>
    </row>
    <row r="70" spans="1:31" x14ac:dyDescent="0.25">
      <c r="A70" s="97">
        <v>63</v>
      </c>
      <c r="B70" s="89">
        <v>26.047000000000001</v>
      </c>
      <c r="C70" s="89">
        <v>23.414999999999999</v>
      </c>
      <c r="D70" s="89">
        <v>21.001000000000001</v>
      </c>
      <c r="E70" s="89">
        <v>18.794</v>
      </c>
      <c r="F70" s="89">
        <v>16.786000000000001</v>
      </c>
      <c r="G70" s="89">
        <v>14.967000000000001</v>
      </c>
      <c r="H70" s="89">
        <v>13.324</v>
      </c>
      <c r="I70" s="89">
        <v>11.847</v>
      </c>
      <c r="J70" s="89">
        <v>10.523999999999999</v>
      </c>
      <c r="K70" s="89">
        <v>9.3420000000000005</v>
      </c>
      <c r="L70" s="89">
        <v>8.2899999999999991</v>
      </c>
      <c r="M70" s="89">
        <v>7.3550000000000004</v>
      </c>
      <c r="N70" s="89">
        <v>6.5270000000000001</v>
      </c>
      <c r="O70" s="89">
        <v>5.7939999999999996</v>
      </c>
      <c r="P70" s="89">
        <v>5.1470000000000002</v>
      </c>
      <c r="Q70" s="89">
        <v>4.577</v>
      </c>
      <c r="R70" s="89">
        <v>4.0730000000000004</v>
      </c>
      <c r="S70" s="89">
        <v>3.6280000000000001</v>
      </c>
      <c r="T70" s="89">
        <v>3.2349999999999999</v>
      </c>
      <c r="U70" s="89">
        <v>2.887</v>
      </c>
      <c r="V70" s="89">
        <v>2.5779999999999998</v>
      </c>
      <c r="W70" s="89">
        <v>2.3050000000000002</v>
      </c>
      <c r="X70" s="89">
        <v>2.0640000000000001</v>
      </c>
      <c r="Y70" s="89">
        <v>1.85</v>
      </c>
      <c r="Z70" s="89">
        <v>1.661</v>
      </c>
      <c r="AA70" s="89">
        <v>1.492</v>
      </c>
      <c r="AB70" s="89">
        <v>1.343</v>
      </c>
      <c r="AC70" s="89">
        <v>1.21</v>
      </c>
      <c r="AD70" s="89">
        <v>1.0920000000000001</v>
      </c>
      <c r="AE70" s="89">
        <v>0.98699999999999999</v>
      </c>
    </row>
    <row r="71" spans="1:31" x14ac:dyDescent="0.25">
      <c r="A71" s="97">
        <v>64</v>
      </c>
      <c r="B71" s="89">
        <v>28.684000000000001</v>
      </c>
      <c r="C71" s="89">
        <v>25.800999999999998</v>
      </c>
      <c r="D71" s="89">
        <v>23.151</v>
      </c>
      <c r="E71" s="89">
        <v>20.722999999999999</v>
      </c>
      <c r="F71" s="89">
        <v>18.510000000000002</v>
      </c>
      <c r="G71" s="89">
        <v>16.5</v>
      </c>
      <c r="H71" s="89">
        <v>14.683</v>
      </c>
      <c r="I71" s="89">
        <v>13.047000000000001</v>
      </c>
      <c r="J71" s="89">
        <v>11.581</v>
      </c>
      <c r="K71" s="89">
        <v>10.27</v>
      </c>
      <c r="L71" s="89">
        <v>9.1020000000000003</v>
      </c>
      <c r="M71" s="89">
        <v>8.0630000000000006</v>
      </c>
      <c r="N71" s="89">
        <v>7.1429999999999998</v>
      </c>
      <c r="O71" s="89">
        <v>6.33</v>
      </c>
      <c r="P71" s="89">
        <v>5.6120000000000001</v>
      </c>
      <c r="Q71" s="89">
        <v>4.9800000000000004</v>
      </c>
      <c r="R71" s="89">
        <v>4.4219999999999997</v>
      </c>
      <c r="S71" s="89">
        <v>3.93</v>
      </c>
      <c r="T71" s="89">
        <v>3.496</v>
      </c>
      <c r="U71" s="89">
        <v>3.113</v>
      </c>
      <c r="V71" s="89">
        <v>2.774</v>
      </c>
      <c r="W71" s="89">
        <v>2.4750000000000001</v>
      </c>
      <c r="X71" s="89">
        <v>2.21</v>
      </c>
      <c r="Y71" s="89">
        <v>1.9770000000000001</v>
      </c>
      <c r="Z71" s="89">
        <v>1.77</v>
      </c>
      <c r="AA71" s="89">
        <v>1.587</v>
      </c>
      <c r="AB71" s="89">
        <v>1.4259999999999999</v>
      </c>
      <c r="AC71" s="89">
        <v>1.282</v>
      </c>
      <c r="AD71" s="89">
        <v>1.1539999999999999</v>
      </c>
      <c r="AE71" s="89">
        <v>1.042</v>
      </c>
    </row>
    <row r="72" spans="1:31" x14ac:dyDescent="0.25">
      <c r="A72" s="97">
        <v>65</v>
      </c>
      <c r="B72" s="89">
        <v>31.623999999999999</v>
      </c>
      <c r="C72" s="89">
        <v>28.465</v>
      </c>
      <c r="D72" s="89">
        <v>25.553999999999998</v>
      </c>
      <c r="E72" s="89">
        <v>22.884</v>
      </c>
      <c r="F72" s="89">
        <v>20.443000000000001</v>
      </c>
      <c r="G72" s="89">
        <v>18.222999999999999</v>
      </c>
      <c r="H72" s="89">
        <v>16.212</v>
      </c>
      <c r="I72" s="89">
        <v>14.398999999999999</v>
      </c>
      <c r="J72" s="89">
        <v>12.771000000000001</v>
      </c>
      <c r="K72" s="89">
        <v>11.315</v>
      </c>
      <c r="L72" s="89">
        <v>10.016999999999999</v>
      </c>
      <c r="M72" s="89">
        <v>8.8620000000000001</v>
      </c>
      <c r="N72" s="89">
        <v>7.8390000000000004</v>
      </c>
      <c r="O72" s="89">
        <v>6.9349999999999996</v>
      </c>
      <c r="P72" s="89">
        <v>6.1369999999999996</v>
      </c>
      <c r="Q72" s="89">
        <v>5.4349999999999996</v>
      </c>
      <c r="R72" s="89">
        <v>4.8170000000000002</v>
      </c>
      <c r="S72" s="89">
        <v>4.2720000000000002</v>
      </c>
      <c r="T72" s="89">
        <v>3.7909999999999999</v>
      </c>
      <c r="U72" s="89">
        <v>3.3679999999999999</v>
      </c>
      <c r="V72" s="89">
        <v>2.9940000000000002</v>
      </c>
      <c r="W72" s="89">
        <v>2.665</v>
      </c>
      <c r="X72" s="89">
        <v>2.3740000000000001</v>
      </c>
      <c r="Y72" s="89">
        <v>2.1190000000000002</v>
      </c>
      <c r="Z72" s="89">
        <v>1.893</v>
      </c>
      <c r="AA72" s="89">
        <v>1.694</v>
      </c>
      <c r="AB72" s="89">
        <v>1.518</v>
      </c>
      <c r="AC72" s="89">
        <v>1.3620000000000001</v>
      </c>
      <c r="AD72" s="89">
        <v>1.224</v>
      </c>
      <c r="AE72" s="89">
        <v>1.103</v>
      </c>
    </row>
    <row r="73" spans="1:31" x14ac:dyDescent="0.25">
      <c r="A73" s="97">
        <v>66</v>
      </c>
      <c r="B73" s="89">
        <v>34.906999999999996</v>
      </c>
      <c r="C73" s="89">
        <v>31.443999999999999</v>
      </c>
      <c r="D73" s="89">
        <v>28.245999999999999</v>
      </c>
      <c r="E73" s="89">
        <v>25.306000000000001</v>
      </c>
      <c r="F73" s="89">
        <v>22.613</v>
      </c>
      <c r="G73" s="89">
        <v>20.16</v>
      </c>
      <c r="H73" s="89">
        <v>17.933</v>
      </c>
      <c r="I73" s="89">
        <v>15.922000000000001</v>
      </c>
      <c r="J73" s="89">
        <v>14.115</v>
      </c>
      <c r="K73" s="89">
        <v>12.496</v>
      </c>
      <c r="L73" s="89">
        <v>11.051</v>
      </c>
      <c r="M73" s="89">
        <v>9.766</v>
      </c>
      <c r="N73" s="89">
        <v>8.6259999999999994</v>
      </c>
      <c r="O73" s="89">
        <v>7.6189999999999998</v>
      </c>
      <c r="P73" s="89">
        <v>6.7309999999999999</v>
      </c>
      <c r="Q73" s="89">
        <v>5.95</v>
      </c>
      <c r="R73" s="89">
        <v>5.2619999999999996</v>
      </c>
      <c r="S73" s="89">
        <v>4.657</v>
      </c>
      <c r="T73" s="89">
        <v>4.1239999999999997</v>
      </c>
      <c r="U73" s="89">
        <v>3.6549999999999998</v>
      </c>
      <c r="V73" s="89">
        <v>3.242</v>
      </c>
      <c r="W73" s="89">
        <v>2.8780000000000001</v>
      </c>
      <c r="X73" s="89">
        <v>2.5590000000000002</v>
      </c>
      <c r="Y73" s="89">
        <v>2.278</v>
      </c>
      <c r="Z73" s="89">
        <v>2.0299999999999998</v>
      </c>
      <c r="AA73" s="89">
        <v>1.8120000000000001</v>
      </c>
      <c r="AB73" s="89">
        <v>1.62</v>
      </c>
      <c r="AC73" s="89">
        <v>1.4510000000000001</v>
      </c>
      <c r="AD73" s="89">
        <v>1.3009999999999999</v>
      </c>
      <c r="AE73" s="89">
        <v>1.17</v>
      </c>
    </row>
    <row r="74" spans="1:31" x14ac:dyDescent="0.25">
      <c r="A74" s="97">
        <v>67</v>
      </c>
      <c r="B74" s="89">
        <v>38.576999999999998</v>
      </c>
      <c r="C74" s="89">
        <v>34.779000000000003</v>
      </c>
      <c r="D74" s="89">
        <v>31.265000000000001</v>
      </c>
      <c r="E74" s="89">
        <v>28.026</v>
      </c>
      <c r="F74" s="89">
        <v>25.053999999999998</v>
      </c>
      <c r="G74" s="89">
        <v>22.341000000000001</v>
      </c>
      <c r="H74" s="89">
        <v>19.873000000000001</v>
      </c>
      <c r="I74" s="89">
        <v>17.641999999999999</v>
      </c>
      <c r="J74" s="89">
        <v>15.632999999999999</v>
      </c>
      <c r="K74" s="89">
        <v>13.831</v>
      </c>
      <c r="L74" s="89">
        <v>12.222</v>
      </c>
      <c r="M74" s="89">
        <v>10.789</v>
      </c>
      <c r="N74" s="89">
        <v>9.5180000000000007</v>
      </c>
      <c r="O74" s="89">
        <v>8.3949999999999996</v>
      </c>
      <c r="P74" s="89">
        <v>7.4050000000000002</v>
      </c>
      <c r="Q74" s="89">
        <v>6.5330000000000004</v>
      </c>
      <c r="R74" s="89">
        <v>5.7670000000000003</v>
      </c>
      <c r="S74" s="89">
        <v>5.093</v>
      </c>
      <c r="T74" s="89">
        <v>4.5010000000000003</v>
      </c>
      <c r="U74" s="89">
        <v>3.98</v>
      </c>
      <c r="V74" s="89">
        <v>3.5219999999999998</v>
      </c>
      <c r="W74" s="89">
        <v>3.1190000000000002</v>
      </c>
      <c r="X74" s="89">
        <v>2.766</v>
      </c>
      <c r="Y74" s="89">
        <v>2.4569999999999999</v>
      </c>
      <c r="Z74" s="89">
        <v>2.1840000000000002</v>
      </c>
      <c r="AA74" s="89">
        <v>1.9450000000000001</v>
      </c>
      <c r="AB74" s="89">
        <v>1.7350000000000001</v>
      </c>
      <c r="AC74" s="89">
        <v>1.55</v>
      </c>
      <c r="AD74" s="89">
        <v>1.387</v>
      </c>
      <c r="AE74" s="89">
        <v>1.2450000000000001</v>
      </c>
    </row>
    <row r="75" spans="1:31" x14ac:dyDescent="0.25">
      <c r="A75" s="97">
        <v>68</v>
      </c>
      <c r="B75" s="89">
        <v>42.689</v>
      </c>
      <c r="C75" s="89">
        <v>38.520000000000003</v>
      </c>
      <c r="D75" s="89">
        <v>34.655000000000001</v>
      </c>
      <c r="E75" s="89">
        <v>31.085999999999999</v>
      </c>
      <c r="F75" s="89">
        <v>27.803000000000001</v>
      </c>
      <c r="G75" s="89">
        <v>24.8</v>
      </c>
      <c r="H75" s="89">
        <v>22.064</v>
      </c>
      <c r="I75" s="89">
        <v>19.585000000000001</v>
      </c>
      <c r="J75" s="89">
        <v>17.350000000000001</v>
      </c>
      <c r="K75" s="89">
        <v>15.343</v>
      </c>
      <c r="L75" s="89">
        <v>13.548999999999999</v>
      </c>
      <c r="M75" s="89">
        <v>11.949</v>
      </c>
      <c r="N75" s="89">
        <v>10.53</v>
      </c>
      <c r="O75" s="89">
        <v>9.2750000000000004</v>
      </c>
      <c r="P75" s="89">
        <v>8.1690000000000005</v>
      </c>
      <c r="Q75" s="89">
        <v>7.1959999999999997</v>
      </c>
      <c r="R75" s="89">
        <v>6.3410000000000002</v>
      </c>
      <c r="S75" s="89">
        <v>5.5890000000000004</v>
      </c>
      <c r="T75" s="89">
        <v>4.9279999999999999</v>
      </c>
      <c r="U75" s="89">
        <v>4.3479999999999999</v>
      </c>
      <c r="V75" s="89">
        <v>3.839</v>
      </c>
      <c r="W75" s="89">
        <v>3.3919999999999999</v>
      </c>
      <c r="X75" s="89">
        <v>3.0009999999999999</v>
      </c>
      <c r="Y75" s="89">
        <v>2.6579999999999999</v>
      </c>
      <c r="Z75" s="89">
        <v>2.3580000000000001</v>
      </c>
      <c r="AA75" s="89">
        <v>2.0939999999999999</v>
      </c>
      <c r="AB75" s="89">
        <v>1.8640000000000001</v>
      </c>
      <c r="AC75" s="89">
        <v>1.661</v>
      </c>
      <c r="AD75" s="89">
        <v>1.484</v>
      </c>
      <c r="AE75" s="89">
        <v>1.3280000000000001</v>
      </c>
    </row>
    <row r="76" spans="1:31" x14ac:dyDescent="0.25">
      <c r="A76" s="97">
        <v>69</v>
      </c>
      <c r="B76" s="89">
        <v>47.305999999999997</v>
      </c>
      <c r="C76" s="89">
        <v>42.726999999999997</v>
      </c>
      <c r="D76" s="89">
        <v>38.472000000000001</v>
      </c>
      <c r="E76" s="89">
        <v>34.534999999999997</v>
      </c>
      <c r="F76" s="89">
        <v>30.905000000000001</v>
      </c>
      <c r="G76" s="89">
        <v>27.579000000000001</v>
      </c>
      <c r="H76" s="89">
        <v>24.542000000000002</v>
      </c>
      <c r="I76" s="89">
        <v>21.786000000000001</v>
      </c>
      <c r="J76" s="89">
        <v>19.297999999999998</v>
      </c>
      <c r="K76" s="89">
        <v>17.059000000000001</v>
      </c>
      <c r="L76" s="89">
        <v>15.055999999999999</v>
      </c>
      <c r="M76" s="89">
        <v>13.268000000000001</v>
      </c>
      <c r="N76" s="89">
        <v>11.680999999999999</v>
      </c>
      <c r="O76" s="89">
        <v>10.276999999999999</v>
      </c>
      <c r="P76" s="89">
        <v>9.0389999999999997</v>
      </c>
      <c r="Q76" s="89">
        <v>7.95</v>
      </c>
      <c r="R76" s="89">
        <v>6.9939999999999998</v>
      </c>
      <c r="S76" s="89">
        <v>6.1529999999999996</v>
      </c>
      <c r="T76" s="89">
        <v>5.415</v>
      </c>
      <c r="U76" s="89">
        <v>4.7670000000000003</v>
      </c>
      <c r="V76" s="89">
        <v>4.1989999999999998</v>
      </c>
      <c r="W76" s="89">
        <v>3.702</v>
      </c>
      <c r="X76" s="89">
        <v>3.2669999999999999</v>
      </c>
      <c r="Y76" s="89">
        <v>2.887</v>
      </c>
      <c r="Z76" s="89">
        <v>2.5539999999999998</v>
      </c>
      <c r="AA76" s="89">
        <v>2.2629999999999999</v>
      </c>
      <c r="AB76" s="89">
        <v>2.0089999999999999</v>
      </c>
      <c r="AC76" s="89">
        <v>1.786</v>
      </c>
      <c r="AD76" s="89">
        <v>1.5920000000000001</v>
      </c>
      <c r="AE76" s="89">
        <v>1.4219999999999999</v>
      </c>
    </row>
    <row r="77" spans="1:31" x14ac:dyDescent="0.25">
      <c r="A77" s="97">
        <v>70</v>
      </c>
      <c r="B77" s="89">
        <v>52.499000000000002</v>
      </c>
      <c r="C77" s="89">
        <v>47.462000000000003</v>
      </c>
      <c r="D77" s="89">
        <v>42.774000000000001</v>
      </c>
      <c r="E77" s="89">
        <v>38.426000000000002</v>
      </c>
      <c r="F77" s="89">
        <v>34.409999999999997</v>
      </c>
      <c r="G77" s="89">
        <v>30.722000000000001</v>
      </c>
      <c r="H77" s="89">
        <v>27.349</v>
      </c>
      <c r="I77" s="89">
        <v>24.282</v>
      </c>
      <c r="J77" s="89">
        <v>21.507999999999999</v>
      </c>
      <c r="K77" s="89">
        <v>19.009</v>
      </c>
      <c r="L77" s="89">
        <v>16.77</v>
      </c>
      <c r="M77" s="89">
        <v>14.769</v>
      </c>
      <c r="N77" s="89">
        <v>12.991</v>
      </c>
      <c r="O77" s="89">
        <v>11.417999999999999</v>
      </c>
      <c r="P77" s="89">
        <v>10.031000000000001</v>
      </c>
      <c r="Q77" s="89">
        <v>8.81</v>
      </c>
      <c r="R77" s="89">
        <v>7.7380000000000004</v>
      </c>
      <c r="S77" s="89">
        <v>6.7960000000000003</v>
      </c>
      <c r="T77" s="89">
        <v>5.9690000000000003</v>
      </c>
      <c r="U77" s="89">
        <v>5.2450000000000001</v>
      </c>
      <c r="V77" s="89">
        <v>4.6100000000000003</v>
      </c>
      <c r="W77" s="89">
        <v>4.0540000000000003</v>
      </c>
      <c r="X77" s="89">
        <v>3.569</v>
      </c>
      <c r="Y77" s="89">
        <v>3.1459999999999999</v>
      </c>
      <c r="Z77" s="89">
        <v>2.7759999999999998</v>
      </c>
      <c r="AA77" s="89">
        <v>2.4540000000000002</v>
      </c>
      <c r="AB77" s="89">
        <v>2.173</v>
      </c>
      <c r="AC77" s="89">
        <v>1.927</v>
      </c>
      <c r="AD77" s="89">
        <v>1.7130000000000001</v>
      </c>
      <c r="AE77" s="89">
        <v>1.5269999999999999</v>
      </c>
    </row>
    <row r="78" spans="1:31" x14ac:dyDescent="0.25">
      <c r="A78" s="97">
        <v>71</v>
      </c>
      <c r="B78" s="89">
        <v>58.344000000000001</v>
      </c>
      <c r="C78" s="89">
        <v>52.798999999999999</v>
      </c>
      <c r="D78" s="89">
        <v>47.627000000000002</v>
      </c>
      <c r="E78" s="89">
        <v>42.822000000000003</v>
      </c>
      <c r="F78" s="89">
        <v>38.374000000000002</v>
      </c>
      <c r="G78" s="89">
        <v>34.280999999999999</v>
      </c>
      <c r="H78" s="89">
        <v>30.53</v>
      </c>
      <c r="I78" s="89">
        <v>27.114000000000001</v>
      </c>
      <c r="J78" s="89">
        <v>24.018000000000001</v>
      </c>
      <c r="K78" s="89">
        <v>21.225000000000001</v>
      </c>
      <c r="L78" s="89">
        <v>18.719000000000001</v>
      </c>
      <c r="M78" s="89">
        <v>16.478000000000002</v>
      </c>
      <c r="N78" s="89">
        <v>14.484</v>
      </c>
      <c r="O78" s="89">
        <v>12.718999999999999</v>
      </c>
      <c r="P78" s="89">
        <v>11.162000000000001</v>
      </c>
      <c r="Q78" s="89">
        <v>9.7910000000000004</v>
      </c>
      <c r="R78" s="89">
        <v>8.5869999999999997</v>
      </c>
      <c r="S78" s="89">
        <v>7.53</v>
      </c>
      <c r="T78" s="89">
        <v>6.6020000000000003</v>
      </c>
      <c r="U78" s="89">
        <v>5.7889999999999997</v>
      </c>
      <c r="V78" s="89">
        <v>5.077</v>
      </c>
      <c r="W78" s="89">
        <v>4.4550000000000001</v>
      </c>
      <c r="X78" s="89">
        <v>3.9119999999999999</v>
      </c>
      <c r="Y78" s="89">
        <v>3.44</v>
      </c>
      <c r="Z78" s="89">
        <v>3.0289999999999999</v>
      </c>
      <c r="AA78" s="89">
        <v>2.67</v>
      </c>
      <c r="AB78" s="89">
        <v>2.3580000000000001</v>
      </c>
      <c r="AC78" s="89">
        <v>2.0870000000000002</v>
      </c>
      <c r="AD78" s="89">
        <v>1.85</v>
      </c>
      <c r="AE78" s="89">
        <v>1.645</v>
      </c>
    </row>
    <row r="79" spans="1:31" x14ac:dyDescent="0.25">
      <c r="A79" s="97">
        <v>72</v>
      </c>
      <c r="B79" s="89">
        <v>64.938000000000002</v>
      </c>
      <c r="C79" s="89">
        <v>58.823999999999998</v>
      </c>
      <c r="D79" s="89">
        <v>53.113</v>
      </c>
      <c r="E79" s="89">
        <v>47.795000000000002</v>
      </c>
      <c r="F79" s="89">
        <v>42.863</v>
      </c>
      <c r="G79" s="89">
        <v>38.317</v>
      </c>
      <c r="H79" s="89">
        <v>34.140999999999998</v>
      </c>
      <c r="I79" s="89">
        <v>30.331</v>
      </c>
      <c r="J79" s="89">
        <v>26.873000000000001</v>
      </c>
      <c r="K79" s="89">
        <v>23.748999999999999</v>
      </c>
      <c r="L79" s="89">
        <v>20.940999999999999</v>
      </c>
      <c r="M79" s="89">
        <v>18.427</v>
      </c>
      <c r="N79" s="89">
        <v>16.187999999999999</v>
      </c>
      <c r="O79" s="89">
        <v>14.205</v>
      </c>
      <c r="P79" s="89">
        <v>12.454000000000001</v>
      </c>
      <c r="Q79" s="89">
        <v>10.913</v>
      </c>
      <c r="R79" s="89">
        <v>9.5579999999999998</v>
      </c>
      <c r="S79" s="89">
        <v>8.3689999999999998</v>
      </c>
      <c r="T79" s="89">
        <v>7.3250000000000002</v>
      </c>
      <c r="U79" s="89">
        <v>6.4119999999999999</v>
      </c>
      <c r="V79" s="89">
        <v>5.6120000000000001</v>
      </c>
      <c r="W79" s="89">
        <v>4.9130000000000003</v>
      </c>
      <c r="X79" s="89">
        <v>4.3049999999999997</v>
      </c>
      <c r="Y79" s="89">
        <v>3.7759999999999998</v>
      </c>
      <c r="Z79" s="89">
        <v>3.3159999999999998</v>
      </c>
      <c r="AA79" s="89">
        <v>2.9159999999999999</v>
      </c>
      <c r="AB79" s="89">
        <v>2.569</v>
      </c>
      <c r="AC79" s="89">
        <v>2.2669999999999999</v>
      </c>
      <c r="AD79" s="89">
        <v>2.0049999999999999</v>
      </c>
      <c r="AE79" s="89">
        <v>1.778</v>
      </c>
    </row>
    <row r="80" spans="1:31" x14ac:dyDescent="0.25">
      <c r="A80" s="97">
        <v>73</v>
      </c>
      <c r="B80" s="89">
        <v>72.397999999999996</v>
      </c>
      <c r="C80" s="89">
        <v>65.647999999999996</v>
      </c>
      <c r="D80" s="89">
        <v>59.331000000000003</v>
      </c>
      <c r="E80" s="89">
        <v>53.439</v>
      </c>
      <c r="F80" s="89">
        <v>47.963000000000001</v>
      </c>
      <c r="G80" s="89">
        <v>42.905000000000001</v>
      </c>
      <c r="H80" s="89">
        <v>38.250999999999998</v>
      </c>
      <c r="I80" s="89">
        <v>33.996000000000002</v>
      </c>
      <c r="J80" s="89">
        <v>30.128</v>
      </c>
      <c r="K80" s="89">
        <v>26.628</v>
      </c>
      <c r="L80" s="89">
        <v>23.478999999999999</v>
      </c>
      <c r="M80" s="89">
        <v>20.654</v>
      </c>
      <c r="N80" s="89">
        <v>18.137</v>
      </c>
      <c r="O80" s="89">
        <v>15.904999999999999</v>
      </c>
      <c r="P80" s="89">
        <v>13.933</v>
      </c>
      <c r="Q80" s="89">
        <v>12.196999999999999</v>
      </c>
      <c r="R80" s="89">
        <v>10.672000000000001</v>
      </c>
      <c r="S80" s="89">
        <v>9.3309999999999995</v>
      </c>
      <c r="T80" s="89">
        <v>8.1549999999999994</v>
      </c>
      <c r="U80" s="89">
        <v>7.125</v>
      </c>
      <c r="V80" s="89">
        <v>6.2240000000000002</v>
      </c>
      <c r="W80" s="89">
        <v>5.4370000000000003</v>
      </c>
      <c r="X80" s="89">
        <v>4.7530000000000001</v>
      </c>
      <c r="Y80" s="89">
        <v>4.16</v>
      </c>
      <c r="Z80" s="89">
        <v>3.6440000000000001</v>
      </c>
      <c r="AA80" s="89">
        <v>3.1960000000000002</v>
      </c>
      <c r="AB80" s="89">
        <v>2.8090000000000002</v>
      </c>
      <c r="AC80" s="89">
        <v>2.472</v>
      </c>
      <c r="AD80" s="89">
        <v>2.181</v>
      </c>
      <c r="AE80" s="89">
        <v>1.929</v>
      </c>
    </row>
    <row r="81" spans="1:31" x14ac:dyDescent="0.25">
      <c r="A81" s="97">
        <v>74</v>
      </c>
      <c r="B81" s="89">
        <v>80.87</v>
      </c>
      <c r="C81" s="89">
        <v>73.403999999999996</v>
      </c>
      <c r="D81" s="89">
        <v>66.405000000000001</v>
      </c>
      <c r="E81" s="89">
        <v>59.865000000000002</v>
      </c>
      <c r="F81" s="89">
        <v>53.774999999999999</v>
      </c>
      <c r="G81" s="89">
        <v>48.14</v>
      </c>
      <c r="H81" s="89">
        <v>42.944000000000003</v>
      </c>
      <c r="I81" s="89">
        <v>38.185000000000002</v>
      </c>
      <c r="J81" s="89">
        <v>33.853000000000002</v>
      </c>
      <c r="K81" s="89">
        <v>29.925999999999998</v>
      </c>
      <c r="L81" s="89">
        <v>26.385999999999999</v>
      </c>
      <c r="M81" s="89">
        <v>23.209</v>
      </c>
      <c r="N81" s="89">
        <v>20.373000000000001</v>
      </c>
      <c r="O81" s="89">
        <v>17.856999999999999</v>
      </c>
      <c r="P81" s="89">
        <v>15.632999999999999</v>
      </c>
      <c r="Q81" s="89">
        <v>13.673999999999999</v>
      </c>
      <c r="R81" s="89">
        <v>11.952</v>
      </c>
      <c r="S81" s="89">
        <v>10.436999999999999</v>
      </c>
      <c r="T81" s="89">
        <v>9.109</v>
      </c>
      <c r="U81" s="89">
        <v>7.9459999999999997</v>
      </c>
      <c r="V81" s="89">
        <v>6.9290000000000003</v>
      </c>
      <c r="W81" s="89">
        <v>6.0410000000000004</v>
      </c>
      <c r="X81" s="89">
        <v>5.2690000000000001</v>
      </c>
      <c r="Y81" s="89">
        <v>4.5999999999999996</v>
      </c>
      <c r="Z81" s="89">
        <v>4.0199999999999996</v>
      </c>
      <c r="AA81" s="89">
        <v>3.5169999999999999</v>
      </c>
      <c r="AB81" s="89">
        <v>3.0830000000000002</v>
      </c>
      <c r="AC81" s="89">
        <v>2.7069999999999999</v>
      </c>
      <c r="AD81" s="89">
        <v>2.3820000000000001</v>
      </c>
      <c r="AE81" s="89">
        <v>2.101</v>
      </c>
    </row>
    <row r="82" spans="1:31" x14ac:dyDescent="0.25">
      <c r="A82" s="97">
        <v>75</v>
      </c>
      <c r="B82" s="89">
        <v>90.513999999999996</v>
      </c>
      <c r="C82" s="89">
        <v>82.239000000000004</v>
      </c>
      <c r="D82" s="89">
        <v>74.47</v>
      </c>
      <c r="E82" s="89">
        <v>67.198999999999998</v>
      </c>
      <c r="F82" s="89">
        <v>60.414000000000001</v>
      </c>
      <c r="G82" s="89">
        <v>54.124000000000002</v>
      </c>
      <c r="H82" s="89">
        <v>48.314</v>
      </c>
      <c r="I82" s="89">
        <v>42.982999999999997</v>
      </c>
      <c r="J82" s="89">
        <v>38.121000000000002</v>
      </c>
      <c r="K82" s="89">
        <v>33.707999999999998</v>
      </c>
      <c r="L82" s="89">
        <v>29.725000000000001</v>
      </c>
      <c r="M82" s="89">
        <v>26.143000000000001</v>
      </c>
      <c r="N82" s="89">
        <v>22.943999999999999</v>
      </c>
      <c r="O82" s="89">
        <v>20.103000000000002</v>
      </c>
      <c r="P82" s="89">
        <v>17.59</v>
      </c>
      <c r="Q82" s="89">
        <v>15.375</v>
      </c>
      <c r="R82" s="89">
        <v>13.427</v>
      </c>
      <c r="S82" s="89">
        <v>11.712999999999999</v>
      </c>
      <c r="T82" s="89">
        <v>10.210000000000001</v>
      </c>
      <c r="U82" s="89">
        <v>8.8930000000000007</v>
      </c>
      <c r="V82" s="89">
        <v>7.7409999999999997</v>
      </c>
      <c r="W82" s="89">
        <v>6.7359999999999998</v>
      </c>
      <c r="X82" s="89">
        <v>5.8630000000000004</v>
      </c>
      <c r="Y82" s="89">
        <v>5.1070000000000002</v>
      </c>
      <c r="Z82" s="89">
        <v>4.452</v>
      </c>
      <c r="AA82" s="89">
        <v>3.8860000000000001</v>
      </c>
      <c r="AB82" s="89">
        <v>3.3969999999999998</v>
      </c>
      <c r="AC82" s="89">
        <v>2.9750000000000001</v>
      </c>
      <c r="AD82" s="89">
        <v>2.6110000000000002</v>
      </c>
      <c r="AE82" s="89">
        <v>2.298</v>
      </c>
    </row>
    <row r="83" spans="1:31" x14ac:dyDescent="0.25">
      <c r="A83" s="97">
        <v>76</v>
      </c>
      <c r="B83" s="89">
        <v>101.52800000000001</v>
      </c>
      <c r="C83" s="89">
        <v>92.337999999999994</v>
      </c>
      <c r="D83" s="89">
        <v>83.695999999999998</v>
      </c>
      <c r="E83" s="89">
        <v>75.593999999999994</v>
      </c>
      <c r="F83" s="89">
        <v>68.021000000000001</v>
      </c>
      <c r="G83" s="89">
        <v>60.987000000000002</v>
      </c>
      <c r="H83" s="89">
        <v>54.476999999999997</v>
      </c>
      <c r="I83" s="89">
        <v>48.494</v>
      </c>
      <c r="J83" s="89">
        <v>43.027999999999999</v>
      </c>
      <c r="K83" s="89">
        <v>38.058999999999997</v>
      </c>
      <c r="L83" s="89">
        <v>33.567999999999998</v>
      </c>
      <c r="M83" s="89">
        <v>29.523</v>
      </c>
      <c r="N83" s="89">
        <v>25.907</v>
      </c>
      <c r="O83" s="89">
        <v>22.693000000000001</v>
      </c>
      <c r="P83" s="89">
        <v>19.847999999999999</v>
      </c>
      <c r="Q83" s="89">
        <v>17.338999999999999</v>
      </c>
      <c r="R83" s="89">
        <v>15.131</v>
      </c>
      <c r="S83" s="89">
        <v>13.186999999999999</v>
      </c>
      <c r="T83" s="89">
        <v>11.481999999999999</v>
      </c>
      <c r="U83" s="89">
        <v>9.9879999999999995</v>
      </c>
      <c r="V83" s="89">
        <v>8.68</v>
      </c>
      <c r="W83" s="89">
        <v>7.5389999999999997</v>
      </c>
      <c r="X83" s="89">
        <v>6.5490000000000004</v>
      </c>
      <c r="Y83" s="89">
        <v>5.6920000000000002</v>
      </c>
      <c r="Z83" s="89">
        <v>4.9509999999999996</v>
      </c>
      <c r="AA83" s="89">
        <v>4.3099999999999996</v>
      </c>
      <c r="AB83" s="89">
        <v>3.7589999999999999</v>
      </c>
      <c r="AC83" s="89">
        <v>3.2839999999999998</v>
      </c>
      <c r="AD83" s="89">
        <v>2.8740000000000001</v>
      </c>
      <c r="AE83" s="89">
        <v>2.5230000000000001</v>
      </c>
    </row>
    <row r="84" spans="1:31" x14ac:dyDescent="0.25">
      <c r="A84" s="97">
        <v>77</v>
      </c>
      <c r="B84" s="89">
        <v>114.14700000000001</v>
      </c>
      <c r="C84" s="89">
        <v>103.916</v>
      </c>
      <c r="D84" s="89">
        <v>94.281999999999996</v>
      </c>
      <c r="E84" s="89">
        <v>85.234999999999999</v>
      </c>
      <c r="F84" s="89">
        <v>76.763000000000005</v>
      </c>
      <c r="G84" s="89">
        <v>68.88</v>
      </c>
      <c r="H84" s="89">
        <v>61.572000000000003</v>
      </c>
      <c r="I84" s="89">
        <v>54.841999999999999</v>
      </c>
      <c r="J84" s="89">
        <v>48.685000000000002</v>
      </c>
      <c r="K84" s="89">
        <v>43.078000000000003</v>
      </c>
      <c r="L84" s="89">
        <v>38.003</v>
      </c>
      <c r="M84" s="89">
        <v>33.427999999999997</v>
      </c>
      <c r="N84" s="89">
        <v>29.332000000000001</v>
      </c>
      <c r="O84" s="89">
        <v>25.687999999999999</v>
      </c>
      <c r="P84" s="89">
        <v>22.46</v>
      </c>
      <c r="Q84" s="89">
        <v>19.613</v>
      </c>
      <c r="R84" s="89">
        <v>17.105</v>
      </c>
      <c r="S84" s="89">
        <v>14.896000000000001</v>
      </c>
      <c r="T84" s="89">
        <v>12.957000000000001</v>
      </c>
      <c r="U84" s="89">
        <v>11.257</v>
      </c>
      <c r="V84" s="89">
        <v>9.7690000000000001</v>
      </c>
      <c r="W84" s="89">
        <v>8.4700000000000006</v>
      </c>
      <c r="X84" s="89">
        <v>7.3440000000000003</v>
      </c>
      <c r="Y84" s="89">
        <v>6.37</v>
      </c>
      <c r="Z84" s="89">
        <v>5.5279999999999996</v>
      </c>
      <c r="AA84" s="89">
        <v>4.8010000000000002</v>
      </c>
      <c r="AB84" s="89">
        <v>4.1769999999999996</v>
      </c>
      <c r="AC84" s="89">
        <v>3.64</v>
      </c>
      <c r="AD84" s="89">
        <v>3.1779999999999999</v>
      </c>
      <c r="AE84" s="89">
        <v>2.782</v>
      </c>
    </row>
    <row r="85" spans="1:31" x14ac:dyDescent="0.25">
      <c r="A85" s="97">
        <v>78</v>
      </c>
      <c r="B85" s="89">
        <v>128.62700000000001</v>
      </c>
      <c r="C85" s="89">
        <v>117.21</v>
      </c>
      <c r="D85" s="89">
        <v>106.446</v>
      </c>
      <c r="E85" s="89">
        <v>96.320999999999998</v>
      </c>
      <c r="F85" s="89">
        <v>86.822999999999993</v>
      </c>
      <c r="G85" s="89">
        <v>77.971000000000004</v>
      </c>
      <c r="H85" s="89">
        <v>69.748000000000005</v>
      </c>
      <c r="I85" s="89">
        <v>62.162999999999997</v>
      </c>
      <c r="J85" s="89">
        <v>55.213000000000001</v>
      </c>
      <c r="K85" s="89">
        <v>48.874000000000002</v>
      </c>
      <c r="L85" s="89">
        <v>43.128999999999998</v>
      </c>
      <c r="M85" s="89">
        <v>37.942</v>
      </c>
      <c r="N85" s="89">
        <v>33.293999999999997</v>
      </c>
      <c r="O85" s="89">
        <v>29.155000000000001</v>
      </c>
      <c r="P85" s="89">
        <v>25.486000000000001</v>
      </c>
      <c r="Q85" s="89">
        <v>22.247</v>
      </c>
      <c r="R85" s="89">
        <v>19.393999999999998</v>
      </c>
      <c r="S85" s="89">
        <v>16.879000000000001</v>
      </c>
      <c r="T85" s="89">
        <v>14.669</v>
      </c>
      <c r="U85" s="89">
        <v>12.731</v>
      </c>
      <c r="V85" s="89">
        <v>11.032999999999999</v>
      </c>
      <c r="W85" s="89">
        <v>9.5519999999999996</v>
      </c>
      <c r="X85" s="89">
        <v>8.266</v>
      </c>
      <c r="Y85" s="89">
        <v>7.1559999999999997</v>
      </c>
      <c r="Z85" s="89">
        <v>6.1959999999999997</v>
      </c>
      <c r="AA85" s="89">
        <v>5.37</v>
      </c>
      <c r="AB85" s="89">
        <v>4.6609999999999996</v>
      </c>
      <c r="AC85" s="89">
        <v>4.0510000000000002</v>
      </c>
      <c r="AD85" s="89">
        <v>3.528</v>
      </c>
      <c r="AE85" s="89">
        <v>3.08</v>
      </c>
    </row>
    <row r="86" spans="1:31" x14ac:dyDescent="0.25">
      <c r="A86" s="97">
        <v>79</v>
      </c>
      <c r="B86" s="89">
        <v>145.26499999999999</v>
      </c>
      <c r="C86" s="89">
        <v>132.495</v>
      </c>
      <c r="D86" s="89">
        <v>120.44</v>
      </c>
      <c r="E86" s="89">
        <v>109.086</v>
      </c>
      <c r="F86" s="89">
        <v>98.415000000000006</v>
      </c>
      <c r="G86" s="89">
        <v>88.453000000000003</v>
      </c>
      <c r="H86" s="89">
        <v>79.182000000000002</v>
      </c>
      <c r="I86" s="89">
        <v>70.617000000000004</v>
      </c>
      <c r="J86" s="89">
        <v>62.756</v>
      </c>
      <c r="K86" s="89">
        <v>55.575000000000003</v>
      </c>
      <c r="L86" s="89">
        <v>49.058999999999997</v>
      </c>
      <c r="M86" s="89">
        <v>43.167000000000002</v>
      </c>
      <c r="N86" s="89">
        <v>37.881</v>
      </c>
      <c r="O86" s="89">
        <v>33.170999999999999</v>
      </c>
      <c r="P86" s="89">
        <v>28.994</v>
      </c>
      <c r="Q86" s="89">
        <v>25.303000000000001</v>
      </c>
      <c r="R86" s="89">
        <v>22.05</v>
      </c>
      <c r="S86" s="89">
        <v>19.18</v>
      </c>
      <c r="T86" s="89">
        <v>16.658000000000001</v>
      </c>
      <c r="U86" s="89">
        <v>14.443</v>
      </c>
      <c r="V86" s="89">
        <v>12.503</v>
      </c>
      <c r="W86" s="89">
        <v>10.808</v>
      </c>
      <c r="X86" s="89">
        <v>9.3379999999999992</v>
      </c>
      <c r="Y86" s="89">
        <v>8.0679999999999996</v>
      </c>
      <c r="Z86" s="89">
        <v>6.9720000000000004</v>
      </c>
      <c r="AA86" s="89">
        <v>6.0279999999999996</v>
      </c>
      <c r="AB86" s="89">
        <v>5.22</v>
      </c>
      <c r="AC86" s="89">
        <v>4.5259999999999998</v>
      </c>
      <c r="AD86" s="89">
        <v>3.9319999999999999</v>
      </c>
      <c r="AE86" s="89">
        <v>3.4239999999999999</v>
      </c>
    </row>
    <row r="87" spans="1:31" x14ac:dyDescent="0.25">
      <c r="A87" s="97">
        <v>80</v>
      </c>
      <c r="B87" s="89">
        <v>164.398</v>
      </c>
      <c r="C87" s="89">
        <v>150.083</v>
      </c>
      <c r="D87" s="89">
        <v>136.55500000000001</v>
      </c>
      <c r="E87" s="89">
        <v>123.794</v>
      </c>
      <c r="F87" s="89">
        <v>111.782</v>
      </c>
      <c r="G87" s="89">
        <v>100.54900000000001</v>
      </c>
      <c r="H87" s="89">
        <v>90.075999999999993</v>
      </c>
      <c r="I87" s="89">
        <v>80.384</v>
      </c>
      <c r="J87" s="89">
        <v>71.475999999999999</v>
      </c>
      <c r="K87" s="89">
        <v>63.326000000000001</v>
      </c>
      <c r="L87" s="89">
        <v>55.920999999999999</v>
      </c>
      <c r="M87" s="89">
        <v>49.216000000000001</v>
      </c>
      <c r="N87" s="89">
        <v>43.195</v>
      </c>
      <c r="O87" s="89">
        <v>37.826000000000001</v>
      </c>
      <c r="P87" s="89">
        <v>33.06</v>
      </c>
      <c r="Q87" s="89">
        <v>28.847999999999999</v>
      </c>
      <c r="R87" s="89">
        <v>25.132999999999999</v>
      </c>
      <c r="S87" s="89">
        <v>21.853999999999999</v>
      </c>
      <c r="T87" s="89">
        <v>18.968</v>
      </c>
      <c r="U87" s="89">
        <v>16.433</v>
      </c>
      <c r="V87" s="89">
        <v>14.21</v>
      </c>
      <c r="W87" s="89">
        <v>12.268000000000001</v>
      </c>
      <c r="X87" s="89">
        <v>10.583</v>
      </c>
      <c r="Y87" s="89">
        <v>9.1280000000000001</v>
      </c>
      <c r="Z87" s="89">
        <v>7.8719999999999999</v>
      </c>
      <c r="AA87" s="89">
        <v>6.7919999999999998</v>
      </c>
      <c r="AB87" s="89">
        <v>5.8689999999999998</v>
      </c>
      <c r="AC87" s="89">
        <v>5.077</v>
      </c>
      <c r="AD87" s="89">
        <v>4.399</v>
      </c>
      <c r="AE87" s="89">
        <v>3.8210000000000002</v>
      </c>
    </row>
    <row r="88" spans="1:31" x14ac:dyDescent="0.25">
      <c r="A88" s="97">
        <v>81</v>
      </c>
      <c r="B88" s="89">
        <v>186.38399999999999</v>
      </c>
      <c r="C88" s="89">
        <v>170.303</v>
      </c>
      <c r="D88" s="89">
        <v>155.09200000000001</v>
      </c>
      <c r="E88" s="89">
        <v>140.726</v>
      </c>
      <c r="F88" s="89">
        <v>127.18</v>
      </c>
      <c r="G88" s="89">
        <v>114.492</v>
      </c>
      <c r="H88" s="89">
        <v>102.643</v>
      </c>
      <c r="I88" s="89">
        <v>91.658000000000001</v>
      </c>
      <c r="J88" s="89">
        <v>81.546000000000006</v>
      </c>
      <c r="K88" s="89">
        <v>72.281999999999996</v>
      </c>
      <c r="L88" s="89">
        <v>63.851999999999997</v>
      </c>
      <c r="M88" s="89">
        <v>56.210999999999999</v>
      </c>
      <c r="N88" s="89">
        <v>49.341999999999999</v>
      </c>
      <c r="O88" s="89">
        <v>43.212000000000003</v>
      </c>
      <c r="P88" s="89">
        <v>37.768000000000001</v>
      </c>
      <c r="Q88" s="89">
        <v>32.954999999999998</v>
      </c>
      <c r="R88" s="89">
        <v>28.707000000000001</v>
      </c>
      <c r="S88" s="89">
        <v>24.954000000000001</v>
      </c>
      <c r="T88" s="89">
        <v>21.649000000000001</v>
      </c>
      <c r="U88" s="89">
        <v>18.744</v>
      </c>
      <c r="V88" s="89">
        <v>16.193000000000001</v>
      </c>
      <c r="W88" s="89">
        <v>13.962999999999999</v>
      </c>
      <c r="X88" s="89">
        <v>12.026999999999999</v>
      </c>
      <c r="Y88" s="89">
        <v>10.356999999999999</v>
      </c>
      <c r="Z88" s="89">
        <v>8.9160000000000004</v>
      </c>
      <c r="AA88" s="89">
        <v>7.6769999999999996</v>
      </c>
      <c r="AB88" s="89">
        <v>6.62</v>
      </c>
      <c r="AC88" s="89">
        <v>5.7130000000000001</v>
      </c>
      <c r="AD88" s="89">
        <v>4.9400000000000004</v>
      </c>
      <c r="AE88" s="89">
        <v>4.28</v>
      </c>
    </row>
    <row r="89" spans="1:31" x14ac:dyDescent="0.25">
      <c r="A89" s="97">
        <v>82</v>
      </c>
      <c r="B89" s="89">
        <v>211.649</v>
      </c>
      <c r="C89" s="89">
        <v>193.55199999999999</v>
      </c>
      <c r="D89" s="89">
        <v>176.41900000000001</v>
      </c>
      <c r="E89" s="89">
        <v>160.21899999999999</v>
      </c>
      <c r="F89" s="89">
        <v>144.91900000000001</v>
      </c>
      <c r="G89" s="89">
        <v>130.56700000000001</v>
      </c>
      <c r="H89" s="89">
        <v>117.139</v>
      </c>
      <c r="I89" s="89">
        <v>104.67</v>
      </c>
      <c r="J89" s="89">
        <v>93.174999999999997</v>
      </c>
      <c r="K89" s="89">
        <v>82.629000000000005</v>
      </c>
      <c r="L89" s="89">
        <v>73.021000000000001</v>
      </c>
      <c r="M89" s="89">
        <v>64.299000000000007</v>
      </c>
      <c r="N89" s="89">
        <v>56.451000000000001</v>
      </c>
      <c r="O89" s="89">
        <v>49.444000000000003</v>
      </c>
      <c r="P89" s="89">
        <v>43.218000000000004</v>
      </c>
      <c r="Q89" s="89">
        <v>37.710999999999999</v>
      </c>
      <c r="R89" s="89">
        <v>32.847999999999999</v>
      </c>
      <c r="S89" s="89">
        <v>28.548999999999999</v>
      </c>
      <c r="T89" s="89">
        <v>24.759</v>
      </c>
      <c r="U89" s="89">
        <v>21.423999999999999</v>
      </c>
      <c r="V89" s="89">
        <v>18.495000000000001</v>
      </c>
      <c r="W89" s="89">
        <v>15.93</v>
      </c>
      <c r="X89" s="89">
        <v>13.704000000000001</v>
      </c>
      <c r="Y89" s="89">
        <v>11.782</v>
      </c>
      <c r="Z89" s="89">
        <v>10.125999999999999</v>
      </c>
      <c r="AA89" s="89">
        <v>8.7029999999999994</v>
      </c>
      <c r="AB89" s="89">
        <v>7.4889999999999999</v>
      </c>
      <c r="AC89" s="89">
        <v>6.45</v>
      </c>
      <c r="AD89" s="89">
        <v>5.5640000000000001</v>
      </c>
      <c r="AE89" s="89">
        <v>4.8090000000000002</v>
      </c>
    </row>
    <row r="90" spans="1:31" x14ac:dyDescent="0.25">
      <c r="A90" s="97">
        <v>83</v>
      </c>
      <c r="B90" s="89">
        <v>240.73</v>
      </c>
      <c r="C90" s="89">
        <v>220.322</v>
      </c>
      <c r="D90" s="89">
        <v>200.99100000000001</v>
      </c>
      <c r="E90" s="89">
        <v>182.691</v>
      </c>
      <c r="F90" s="89">
        <v>165.38300000000001</v>
      </c>
      <c r="G90" s="89">
        <v>149.124</v>
      </c>
      <c r="H90" s="89">
        <v>133.88300000000001</v>
      </c>
      <c r="I90" s="89">
        <v>119.71</v>
      </c>
      <c r="J90" s="89">
        <v>106.623</v>
      </c>
      <c r="K90" s="89">
        <v>94.599000000000004</v>
      </c>
      <c r="L90" s="89">
        <v>83.631</v>
      </c>
      <c r="M90" s="89">
        <v>73.662000000000006</v>
      </c>
      <c r="N90" s="89">
        <v>64.683999999999997</v>
      </c>
      <c r="O90" s="89">
        <v>56.662999999999997</v>
      </c>
      <c r="P90" s="89">
        <v>49.531999999999996</v>
      </c>
      <c r="Q90" s="89">
        <v>43.223999999999997</v>
      </c>
      <c r="R90" s="89">
        <v>37.651000000000003</v>
      </c>
      <c r="S90" s="89">
        <v>32.72</v>
      </c>
      <c r="T90" s="89">
        <v>28.370999999999999</v>
      </c>
      <c r="U90" s="89">
        <v>24.539000000000001</v>
      </c>
      <c r="V90" s="89">
        <v>21.169</v>
      </c>
      <c r="W90" s="89">
        <v>18.216000000000001</v>
      </c>
      <c r="X90" s="89">
        <v>15.651</v>
      </c>
      <c r="Y90" s="89">
        <v>13.438000000000001</v>
      </c>
      <c r="Z90" s="89">
        <v>11.53</v>
      </c>
      <c r="AA90" s="89">
        <v>9.8919999999999995</v>
      </c>
      <c r="AB90" s="89">
        <v>8.4969999999999999</v>
      </c>
      <c r="AC90" s="89">
        <v>7.3019999999999996</v>
      </c>
      <c r="AD90" s="89">
        <v>6.2859999999999996</v>
      </c>
      <c r="AE90" s="89">
        <v>5.4210000000000003</v>
      </c>
    </row>
    <row r="91" spans="1:31" x14ac:dyDescent="0.25">
      <c r="A91" s="97">
        <v>84</v>
      </c>
      <c r="B91" s="89">
        <v>274.26299999999998</v>
      </c>
      <c r="C91" s="89">
        <v>251.20400000000001</v>
      </c>
      <c r="D91" s="89">
        <v>229.35</v>
      </c>
      <c r="E91" s="89">
        <v>208.64400000000001</v>
      </c>
      <c r="F91" s="89">
        <v>189.03200000000001</v>
      </c>
      <c r="G91" s="89">
        <v>170.58199999999999</v>
      </c>
      <c r="H91" s="89">
        <v>153.25800000000001</v>
      </c>
      <c r="I91" s="89">
        <v>137.12100000000001</v>
      </c>
      <c r="J91" s="89">
        <v>122.2</v>
      </c>
      <c r="K91" s="89">
        <v>108.47</v>
      </c>
      <c r="L91" s="89">
        <v>95.930999999999997</v>
      </c>
      <c r="M91" s="89">
        <v>84.518000000000001</v>
      </c>
      <c r="N91" s="89">
        <v>74.230999999999995</v>
      </c>
      <c r="O91" s="89">
        <v>65.036000000000001</v>
      </c>
      <c r="P91" s="89">
        <v>56.859000000000002</v>
      </c>
      <c r="Q91" s="89">
        <v>49.622999999999998</v>
      </c>
      <c r="R91" s="89">
        <v>43.228999999999999</v>
      </c>
      <c r="S91" s="89">
        <v>37.567999999999998</v>
      </c>
      <c r="T91" s="89">
        <v>32.57</v>
      </c>
      <c r="U91" s="89">
        <v>28.161000000000001</v>
      </c>
      <c r="V91" s="89">
        <v>24.280999999999999</v>
      </c>
      <c r="W91" s="89">
        <v>20.876000000000001</v>
      </c>
      <c r="X91" s="89">
        <v>17.917000000000002</v>
      </c>
      <c r="Y91" s="89">
        <v>15.363</v>
      </c>
      <c r="Z91" s="89">
        <v>13.162000000000001</v>
      </c>
      <c r="AA91" s="89">
        <v>11.273</v>
      </c>
      <c r="AB91" s="89">
        <v>9.6660000000000004</v>
      </c>
      <c r="AC91" s="89">
        <v>8.2919999999999998</v>
      </c>
      <c r="AD91" s="89">
        <v>7.1230000000000002</v>
      </c>
      <c r="AE91" s="89">
        <v>6.13</v>
      </c>
    </row>
    <row r="92" spans="1:31" x14ac:dyDescent="0.25">
      <c r="A92" s="97">
        <v>85</v>
      </c>
      <c r="B92" s="89">
        <v>312.97000000000003</v>
      </c>
      <c r="C92" s="89">
        <v>286.86200000000002</v>
      </c>
      <c r="D92" s="89">
        <v>262.11099999999999</v>
      </c>
      <c r="E92" s="89">
        <v>238.64099999999999</v>
      </c>
      <c r="F92" s="89">
        <v>216.38200000000001</v>
      </c>
      <c r="G92" s="89">
        <v>195.41399999999999</v>
      </c>
      <c r="H92" s="89">
        <v>175.69200000000001</v>
      </c>
      <c r="I92" s="89">
        <v>157.29300000000001</v>
      </c>
      <c r="J92" s="89">
        <v>140.255</v>
      </c>
      <c r="K92" s="89">
        <v>124.55500000000001</v>
      </c>
      <c r="L92" s="89">
        <v>110.19799999999999</v>
      </c>
      <c r="M92" s="89">
        <v>97.114000000000004</v>
      </c>
      <c r="N92" s="89">
        <v>85.31</v>
      </c>
      <c r="O92" s="89">
        <v>74.754000000000005</v>
      </c>
      <c r="P92" s="89">
        <v>65.364999999999995</v>
      </c>
      <c r="Q92" s="89">
        <v>57.055</v>
      </c>
      <c r="R92" s="89">
        <v>49.710999999999999</v>
      </c>
      <c r="S92" s="89">
        <v>43.204000000000001</v>
      </c>
      <c r="T92" s="89">
        <v>37.454000000000001</v>
      </c>
      <c r="U92" s="89">
        <v>32.377000000000002</v>
      </c>
      <c r="V92" s="89">
        <v>27.902999999999999</v>
      </c>
      <c r="W92" s="89">
        <v>23.972000000000001</v>
      </c>
      <c r="X92" s="89">
        <v>20.553999999999998</v>
      </c>
      <c r="Y92" s="89">
        <v>17.603000000000002</v>
      </c>
      <c r="Z92" s="89">
        <v>15.06</v>
      </c>
      <c r="AA92" s="89">
        <v>12.879</v>
      </c>
      <c r="AB92" s="89">
        <v>11.025</v>
      </c>
      <c r="AC92" s="89">
        <v>9.44</v>
      </c>
      <c r="AD92" s="89">
        <v>8.0939999999999994</v>
      </c>
      <c r="AE92" s="89">
        <v>6.9509999999999996</v>
      </c>
    </row>
  </sheetData>
  <sheetProtection algorithmName="SHA-512" hashValue="Bq1CXbAUTnBqrVX6q1lZFmChq0RilZh7+L+jpL0BQsc0BNhqxyDXOQutRv7AIjZ+h4Z5ezHqR+i9gtFZwaLSyQ==" saltValue="XQPKn4sNYZt7yz4ohmvUIQ==" spinCount="100000" sheet="1" objects="1" scenarios="1"/>
  <conditionalFormatting sqref="A6:A21">
    <cfRule type="expression" dxfId="125" priority="5" stopIfTrue="1">
      <formula>MOD(ROW(),2)=0</formula>
    </cfRule>
    <cfRule type="expression" dxfId="124" priority="6" stopIfTrue="1">
      <formula>MOD(ROW(),2)&lt;&gt;0</formula>
    </cfRule>
  </conditionalFormatting>
  <conditionalFormatting sqref="A27:A92">
    <cfRule type="expression" dxfId="123" priority="23" stopIfTrue="1">
      <formula>MOD(ROW(),2)=0</formula>
    </cfRule>
    <cfRule type="expression" dxfId="122" priority="24" stopIfTrue="1">
      <formula>MOD(ROW(),2)&lt;&gt;0</formula>
    </cfRule>
  </conditionalFormatting>
  <conditionalFormatting sqref="B17:B21">
    <cfRule type="expression" dxfId="121" priority="1" stopIfTrue="1">
      <formula>MOD(ROW(),2)=0</formula>
    </cfRule>
    <cfRule type="expression" dxfId="120" priority="2" stopIfTrue="1">
      <formula>MOD(ROW(),2)&lt;&gt;0</formula>
    </cfRule>
  </conditionalFormatting>
  <conditionalFormatting sqref="B6:AE21">
    <cfRule type="expression" dxfId="119" priority="35" stopIfTrue="1">
      <formula>MOD(ROW(),2)=0</formula>
    </cfRule>
    <cfRule type="expression" dxfId="118" priority="36" stopIfTrue="1">
      <formula>MOD(ROW(),2)&lt;&gt;0</formula>
    </cfRule>
  </conditionalFormatting>
  <conditionalFormatting sqref="B26:AE92">
    <cfRule type="expression" dxfId="117" priority="19" stopIfTrue="1">
      <formula>MOD(ROW(),2)=0</formula>
    </cfRule>
    <cfRule type="expression" dxfId="116" priority="20" stopIfTrue="1">
      <formula>MOD(ROW(),2)&lt;&gt;0</formula>
    </cfRule>
  </conditionalFormatting>
  <conditionalFormatting sqref="C6:AE21">
    <cfRule type="expression" dxfId="115" priority="3" stopIfTrue="1">
      <formula>MOD(ROW(),2)=0</formula>
    </cfRule>
    <cfRule type="expression" dxfId="114" priority="4" stopIfTrue="1">
      <formula>MOD(ROW(),2)&lt;&gt;0</formula>
    </cfRule>
  </conditionalFormatting>
  <hyperlinks>
    <hyperlink ref="B24" location="Sheet1!A1" display="Assumptions" xr:uid="{CB9AB8BC-53A9-437B-A365-0EF7375D26C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31"/>
  <dimension ref="A1:AE92"/>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31" ht="21" x14ac:dyDescent="0.4">
      <c r="A1" s="39" t="s">
        <v>0</v>
      </c>
      <c r="B1" s="40"/>
      <c r="C1" s="40"/>
      <c r="D1" s="40"/>
      <c r="E1" s="40"/>
      <c r="F1" s="40"/>
      <c r="G1" s="40"/>
      <c r="H1" s="40"/>
      <c r="I1" s="40"/>
    </row>
    <row r="2" spans="1:31"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31" ht="15.6" x14ac:dyDescent="0.3">
      <c r="A3" s="43" t="str">
        <f>TABLE_FACTOR_TYPE_1&amp;" - x-"&amp;TABLE_SERIES_NUMBER_1</f>
        <v>Allocation - x-808</v>
      </c>
      <c r="B3" s="42"/>
      <c r="C3" s="42"/>
      <c r="D3" s="42"/>
      <c r="E3" s="42"/>
      <c r="F3" s="42"/>
      <c r="G3" s="42"/>
      <c r="H3" s="42"/>
      <c r="I3" s="42"/>
    </row>
    <row r="4" spans="1:31" x14ac:dyDescent="0.25">
      <c r="A4" s="44"/>
    </row>
    <row r="6" spans="1:31" x14ac:dyDescent="0.25">
      <c r="A6" s="87" t="s">
        <v>290</v>
      </c>
      <c r="B6" s="185" t="s">
        <v>291</v>
      </c>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row>
    <row r="7" spans="1:31" x14ac:dyDescent="0.25">
      <c r="A7" s="81" t="s">
        <v>804</v>
      </c>
      <c r="B7" s="185" t="s">
        <v>345</v>
      </c>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row>
    <row r="8" spans="1:31" x14ac:dyDescent="0.25">
      <c r="A8" s="81" t="s">
        <v>805</v>
      </c>
      <c r="B8" s="185" t="s">
        <v>643</v>
      </c>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row>
    <row r="9" spans="1:31" x14ac:dyDescent="0.25">
      <c r="A9" s="81" t="s">
        <v>296</v>
      </c>
      <c r="B9" s="185" t="s">
        <v>688</v>
      </c>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row>
    <row r="10" spans="1:31" x14ac:dyDescent="0.25">
      <c r="A10" s="81" t="s">
        <v>6</v>
      </c>
      <c r="B10" s="185" t="s">
        <v>711</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row>
    <row r="11" spans="1:31" x14ac:dyDescent="0.25">
      <c r="A11" s="81" t="s">
        <v>299</v>
      </c>
      <c r="B11" s="185" t="s">
        <v>409</v>
      </c>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row>
    <row r="12" spans="1:31" x14ac:dyDescent="0.25">
      <c r="A12" s="81" t="s">
        <v>301</v>
      </c>
      <c r="B12" s="185" t="s">
        <v>690</v>
      </c>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row>
    <row r="13" spans="1:31" x14ac:dyDescent="0.25">
      <c r="A13" s="81" t="s">
        <v>303</v>
      </c>
      <c r="B13" s="185">
        <v>1</v>
      </c>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row>
    <row r="14" spans="1:31" x14ac:dyDescent="0.25">
      <c r="A14" s="81" t="s">
        <v>305</v>
      </c>
      <c r="B14" s="185">
        <v>808</v>
      </c>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row>
    <row r="15" spans="1:31" x14ac:dyDescent="0.25">
      <c r="A15" s="81" t="s">
        <v>307</v>
      </c>
      <c r="B15" s="185" t="s">
        <v>712</v>
      </c>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row>
    <row r="16" spans="1:31" x14ac:dyDescent="0.25">
      <c r="A16" s="81" t="s">
        <v>309</v>
      </c>
      <c r="B16" s="185" t="s">
        <v>713</v>
      </c>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row>
    <row r="17" spans="1:31" x14ac:dyDescent="0.25">
      <c r="A17" s="81" t="s">
        <v>803</v>
      </c>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row>
    <row r="18" spans="1:31" x14ac:dyDescent="0.25">
      <c r="A18" s="81" t="s">
        <v>313</v>
      </c>
      <c r="B18" s="188">
        <v>45184</v>
      </c>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row>
    <row r="19" spans="1:31" x14ac:dyDescent="0.25">
      <c r="A19" s="81" t="s">
        <v>315</v>
      </c>
      <c r="B19" s="188"/>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row>
    <row r="20" spans="1:31" x14ac:dyDescent="0.25">
      <c r="A20" s="81" t="s">
        <v>317</v>
      </c>
      <c r="B20" s="185" t="s">
        <v>331</v>
      </c>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row>
    <row r="21" spans="1:31" x14ac:dyDescent="0.25">
      <c r="A21" s="77" t="s">
        <v>323</v>
      </c>
      <c r="B21" s="185" t="s">
        <v>332</v>
      </c>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row>
    <row r="23" spans="1:31" x14ac:dyDescent="0.25">
      <c r="B23" s="102" t="str">
        <f>HYPERLINK("#'Factor List'!A1","Back to Factor List")</f>
        <v>Back to Factor List</v>
      </c>
    </row>
    <row r="24" spans="1:31" x14ac:dyDescent="0.25">
      <c r="B24" s="102" t="s">
        <v>13</v>
      </c>
    </row>
    <row r="25" spans="1:31" x14ac:dyDescent="0.25">
      <c r="B25" s="102"/>
    </row>
    <row r="26" spans="1:31" x14ac:dyDescent="0.25">
      <c r="A26" s="178" t="s">
        <v>972</v>
      </c>
      <c r="B26" s="83">
        <v>50</v>
      </c>
      <c r="C26" s="83">
        <v>51</v>
      </c>
      <c r="D26" s="83">
        <v>52</v>
      </c>
      <c r="E26" s="83">
        <v>53</v>
      </c>
      <c r="F26" s="83">
        <v>54</v>
      </c>
      <c r="G26" s="83">
        <v>55</v>
      </c>
      <c r="H26" s="83">
        <v>56</v>
      </c>
      <c r="I26" s="83">
        <v>57</v>
      </c>
      <c r="J26" s="83">
        <v>58</v>
      </c>
      <c r="K26" s="83">
        <v>59</v>
      </c>
      <c r="L26" s="83">
        <v>60</v>
      </c>
      <c r="M26" s="83">
        <v>61</v>
      </c>
      <c r="N26" s="83">
        <v>62</v>
      </c>
      <c r="O26" s="83">
        <v>63</v>
      </c>
      <c r="P26" s="83">
        <v>64</v>
      </c>
      <c r="Q26" s="83">
        <v>65</v>
      </c>
      <c r="R26" s="83">
        <v>66</v>
      </c>
      <c r="S26" s="83">
        <v>67</v>
      </c>
      <c r="T26" s="83">
        <v>68</v>
      </c>
      <c r="U26" s="83">
        <v>69</v>
      </c>
      <c r="V26" s="83">
        <v>70</v>
      </c>
      <c r="W26" s="83">
        <v>71</v>
      </c>
      <c r="X26" s="83">
        <v>72</v>
      </c>
      <c r="Y26" s="83">
        <v>73</v>
      </c>
      <c r="Z26" s="83">
        <v>74</v>
      </c>
      <c r="AA26" s="83">
        <v>75</v>
      </c>
      <c r="AB26" s="83">
        <v>76</v>
      </c>
      <c r="AC26" s="83">
        <v>77</v>
      </c>
      <c r="AD26" s="83">
        <v>78</v>
      </c>
      <c r="AE26" s="83">
        <v>79</v>
      </c>
    </row>
    <row r="27" spans="1:31" x14ac:dyDescent="0.25">
      <c r="A27" s="97">
        <v>20</v>
      </c>
      <c r="B27" s="96">
        <v>2.145</v>
      </c>
      <c r="C27" s="96">
        <v>2.02</v>
      </c>
      <c r="D27" s="96">
        <v>1.9019999999999999</v>
      </c>
      <c r="E27" s="96">
        <v>1.7909999999999999</v>
      </c>
      <c r="F27" s="96">
        <v>1.6870000000000001</v>
      </c>
      <c r="G27" s="96">
        <v>1.589</v>
      </c>
      <c r="H27" s="96">
        <v>1.4970000000000001</v>
      </c>
      <c r="I27" s="96">
        <v>1.41</v>
      </c>
      <c r="J27" s="96">
        <v>1.3280000000000001</v>
      </c>
      <c r="K27" s="96">
        <v>1.2509999999999999</v>
      </c>
      <c r="L27" s="96">
        <v>1.177</v>
      </c>
      <c r="M27" s="96">
        <v>1.1080000000000001</v>
      </c>
      <c r="N27" s="96">
        <v>1.0429999999999999</v>
      </c>
      <c r="O27" s="96">
        <v>0.98099999999999998</v>
      </c>
      <c r="P27" s="96">
        <v>0.92300000000000004</v>
      </c>
      <c r="Q27" s="96">
        <v>0.86699999999999999</v>
      </c>
      <c r="R27" s="96">
        <v>0.81399999999999995</v>
      </c>
      <c r="S27" s="96">
        <v>0.76400000000000001</v>
      </c>
      <c r="T27" s="96">
        <v>0.71699999999999997</v>
      </c>
      <c r="U27" s="96">
        <v>0.67200000000000004</v>
      </c>
      <c r="V27" s="96">
        <v>0.629</v>
      </c>
      <c r="W27" s="96">
        <v>0.58899999999999997</v>
      </c>
      <c r="X27" s="96">
        <v>0.55100000000000005</v>
      </c>
      <c r="Y27" s="96">
        <v>0.51500000000000001</v>
      </c>
      <c r="Z27" s="96">
        <v>0.48099999999999998</v>
      </c>
      <c r="AA27" s="96">
        <v>0.44900000000000001</v>
      </c>
      <c r="AB27" s="96">
        <v>0.41899999999999998</v>
      </c>
      <c r="AC27" s="96">
        <v>0.39</v>
      </c>
      <c r="AD27" s="96">
        <v>0.36399999999999999</v>
      </c>
      <c r="AE27" s="96">
        <v>0.33900000000000002</v>
      </c>
    </row>
    <row r="28" spans="1:31" x14ac:dyDescent="0.25">
      <c r="A28" s="97">
        <v>21</v>
      </c>
      <c r="B28" s="89">
        <v>2.2000000000000002</v>
      </c>
      <c r="C28" s="89">
        <v>2.069</v>
      </c>
      <c r="D28" s="89">
        <v>1.9470000000000001</v>
      </c>
      <c r="E28" s="89">
        <v>1.8320000000000001</v>
      </c>
      <c r="F28" s="89">
        <v>1.724</v>
      </c>
      <c r="G28" s="89">
        <v>1.623</v>
      </c>
      <c r="H28" s="89">
        <v>1.528</v>
      </c>
      <c r="I28" s="89">
        <v>1.4379999999999999</v>
      </c>
      <c r="J28" s="89">
        <v>1.3540000000000001</v>
      </c>
      <c r="K28" s="89">
        <v>1.274</v>
      </c>
      <c r="L28" s="89">
        <v>1.1990000000000001</v>
      </c>
      <c r="M28" s="89">
        <v>1.1279999999999999</v>
      </c>
      <c r="N28" s="89">
        <v>1.0609999999999999</v>
      </c>
      <c r="O28" s="89">
        <v>0.998</v>
      </c>
      <c r="P28" s="89">
        <v>0.93799999999999994</v>
      </c>
      <c r="Q28" s="89">
        <v>0.88100000000000001</v>
      </c>
      <c r="R28" s="89">
        <v>0.82699999999999996</v>
      </c>
      <c r="S28" s="89">
        <v>0.77600000000000002</v>
      </c>
      <c r="T28" s="89">
        <v>0.72699999999999998</v>
      </c>
      <c r="U28" s="89">
        <v>0.68200000000000005</v>
      </c>
      <c r="V28" s="89">
        <v>0.63800000000000001</v>
      </c>
      <c r="W28" s="89">
        <v>0.59699999999999998</v>
      </c>
      <c r="X28" s="89">
        <v>0.55800000000000005</v>
      </c>
      <c r="Y28" s="89">
        <v>0.52100000000000002</v>
      </c>
      <c r="Z28" s="89">
        <v>0.48699999999999999</v>
      </c>
      <c r="AA28" s="89">
        <v>0.45400000000000001</v>
      </c>
      <c r="AB28" s="89">
        <v>0.42399999999999999</v>
      </c>
      <c r="AC28" s="89">
        <v>0.39500000000000002</v>
      </c>
      <c r="AD28" s="89">
        <v>0.36799999999999999</v>
      </c>
      <c r="AE28" s="89">
        <v>0.34300000000000003</v>
      </c>
    </row>
    <row r="29" spans="1:31" x14ac:dyDescent="0.25">
      <c r="A29" s="97">
        <v>22</v>
      </c>
      <c r="B29" s="89">
        <v>2.258</v>
      </c>
      <c r="C29" s="89">
        <v>2.1219999999999999</v>
      </c>
      <c r="D29" s="89">
        <v>1.9950000000000001</v>
      </c>
      <c r="E29" s="89">
        <v>1.8759999999999999</v>
      </c>
      <c r="F29" s="89">
        <v>1.764</v>
      </c>
      <c r="G29" s="89">
        <v>1.659</v>
      </c>
      <c r="H29" s="89">
        <v>1.5609999999999999</v>
      </c>
      <c r="I29" s="89">
        <v>1.468</v>
      </c>
      <c r="J29" s="89">
        <v>1.381</v>
      </c>
      <c r="K29" s="89">
        <v>1.2989999999999999</v>
      </c>
      <c r="L29" s="89">
        <v>1.2210000000000001</v>
      </c>
      <c r="M29" s="89">
        <v>1.149</v>
      </c>
      <c r="N29" s="89">
        <v>1.08</v>
      </c>
      <c r="O29" s="89">
        <v>1.0149999999999999</v>
      </c>
      <c r="P29" s="89">
        <v>0.95299999999999996</v>
      </c>
      <c r="Q29" s="89">
        <v>0.89500000000000002</v>
      </c>
      <c r="R29" s="89">
        <v>0.84</v>
      </c>
      <c r="S29" s="89">
        <v>0.78800000000000003</v>
      </c>
      <c r="T29" s="89">
        <v>0.73799999999999999</v>
      </c>
      <c r="U29" s="89">
        <v>0.69199999999999995</v>
      </c>
      <c r="V29" s="89">
        <v>0.64700000000000002</v>
      </c>
      <c r="W29" s="89">
        <v>0.60499999999999998</v>
      </c>
      <c r="X29" s="89">
        <v>0.56599999999999995</v>
      </c>
      <c r="Y29" s="89">
        <v>0.52800000000000002</v>
      </c>
      <c r="Z29" s="89">
        <v>0.49299999999999999</v>
      </c>
      <c r="AA29" s="89">
        <v>0.46</v>
      </c>
      <c r="AB29" s="89">
        <v>0.42899999999999999</v>
      </c>
      <c r="AC29" s="89">
        <v>0.4</v>
      </c>
      <c r="AD29" s="89">
        <v>0.373</v>
      </c>
      <c r="AE29" s="89">
        <v>0.34699999999999998</v>
      </c>
    </row>
    <row r="30" spans="1:31" x14ac:dyDescent="0.25">
      <c r="A30" s="97">
        <v>23</v>
      </c>
      <c r="B30" s="89">
        <v>2.319</v>
      </c>
      <c r="C30" s="89">
        <v>2.1779999999999999</v>
      </c>
      <c r="D30" s="89">
        <v>2.0449999999999999</v>
      </c>
      <c r="E30" s="89">
        <v>1.9219999999999999</v>
      </c>
      <c r="F30" s="89">
        <v>1.806</v>
      </c>
      <c r="G30" s="89">
        <v>1.6970000000000001</v>
      </c>
      <c r="H30" s="89">
        <v>1.595</v>
      </c>
      <c r="I30" s="89">
        <v>1.4990000000000001</v>
      </c>
      <c r="J30" s="89">
        <v>1.41</v>
      </c>
      <c r="K30" s="89">
        <v>1.325</v>
      </c>
      <c r="L30" s="89">
        <v>1.2450000000000001</v>
      </c>
      <c r="M30" s="89">
        <v>1.17</v>
      </c>
      <c r="N30" s="89">
        <v>1.1000000000000001</v>
      </c>
      <c r="O30" s="89">
        <v>1.0329999999999999</v>
      </c>
      <c r="P30" s="89">
        <v>0.97</v>
      </c>
      <c r="Q30" s="89">
        <v>0.91</v>
      </c>
      <c r="R30" s="89">
        <v>0.85399999999999998</v>
      </c>
      <c r="S30" s="89">
        <v>0.80100000000000005</v>
      </c>
      <c r="T30" s="89">
        <v>0.75</v>
      </c>
      <c r="U30" s="89">
        <v>0.70199999999999996</v>
      </c>
      <c r="V30" s="89">
        <v>0.65700000000000003</v>
      </c>
      <c r="W30" s="89">
        <v>0.61399999999999999</v>
      </c>
      <c r="X30" s="89">
        <v>0.57299999999999995</v>
      </c>
      <c r="Y30" s="89">
        <v>0.53600000000000003</v>
      </c>
      <c r="Z30" s="89">
        <v>0.5</v>
      </c>
      <c r="AA30" s="89">
        <v>0.46600000000000003</v>
      </c>
      <c r="AB30" s="89">
        <v>0.434</v>
      </c>
      <c r="AC30" s="89">
        <v>0.40500000000000003</v>
      </c>
      <c r="AD30" s="89">
        <v>0.377</v>
      </c>
      <c r="AE30" s="89">
        <v>0.35099999999999998</v>
      </c>
    </row>
    <row r="31" spans="1:31" x14ac:dyDescent="0.25">
      <c r="A31" s="97">
        <v>24</v>
      </c>
      <c r="B31" s="89">
        <v>2.3849999999999998</v>
      </c>
      <c r="C31" s="89">
        <v>2.2370000000000001</v>
      </c>
      <c r="D31" s="89">
        <v>2.0990000000000002</v>
      </c>
      <c r="E31" s="89">
        <v>1.9710000000000001</v>
      </c>
      <c r="F31" s="89">
        <v>1.85</v>
      </c>
      <c r="G31" s="89">
        <v>1.7370000000000001</v>
      </c>
      <c r="H31" s="89">
        <v>1.6319999999999999</v>
      </c>
      <c r="I31" s="89">
        <v>1.5329999999999999</v>
      </c>
      <c r="J31" s="89">
        <v>1.44</v>
      </c>
      <c r="K31" s="89">
        <v>1.353</v>
      </c>
      <c r="L31" s="89">
        <v>1.27</v>
      </c>
      <c r="M31" s="89">
        <v>1.1930000000000001</v>
      </c>
      <c r="N31" s="89">
        <v>1.121</v>
      </c>
      <c r="O31" s="89">
        <v>1.052</v>
      </c>
      <c r="P31" s="89">
        <v>0.98699999999999999</v>
      </c>
      <c r="Q31" s="89">
        <v>0.92600000000000005</v>
      </c>
      <c r="R31" s="89">
        <v>0.86799999999999999</v>
      </c>
      <c r="S31" s="89">
        <v>0.81399999999999995</v>
      </c>
      <c r="T31" s="89">
        <v>0.76200000000000001</v>
      </c>
      <c r="U31" s="89">
        <v>0.71299999999999997</v>
      </c>
      <c r="V31" s="89">
        <v>0.66700000000000004</v>
      </c>
      <c r="W31" s="89">
        <v>0.623</v>
      </c>
      <c r="X31" s="89">
        <v>0.58199999999999996</v>
      </c>
      <c r="Y31" s="89">
        <v>0.54300000000000004</v>
      </c>
      <c r="Z31" s="89">
        <v>0.50700000000000001</v>
      </c>
      <c r="AA31" s="89">
        <v>0.47199999999999998</v>
      </c>
      <c r="AB31" s="89">
        <v>0.44</v>
      </c>
      <c r="AC31" s="89">
        <v>0.41</v>
      </c>
      <c r="AD31" s="89">
        <v>0.38200000000000001</v>
      </c>
      <c r="AE31" s="89">
        <v>0.35599999999999998</v>
      </c>
    </row>
    <row r="32" spans="1:31" x14ac:dyDescent="0.25">
      <c r="A32" s="97">
        <v>25</v>
      </c>
      <c r="B32" s="89">
        <v>2.456</v>
      </c>
      <c r="C32" s="89">
        <v>2.3010000000000002</v>
      </c>
      <c r="D32" s="89">
        <v>2.157</v>
      </c>
      <c r="E32" s="89">
        <v>2.0230000000000001</v>
      </c>
      <c r="F32" s="89">
        <v>1.897</v>
      </c>
      <c r="G32" s="89">
        <v>1.78</v>
      </c>
      <c r="H32" s="89">
        <v>1.671</v>
      </c>
      <c r="I32" s="89">
        <v>1.5680000000000001</v>
      </c>
      <c r="J32" s="89">
        <v>1.472</v>
      </c>
      <c r="K32" s="89">
        <v>1.3819999999999999</v>
      </c>
      <c r="L32" s="89">
        <v>1.2969999999999999</v>
      </c>
      <c r="M32" s="89">
        <v>1.2170000000000001</v>
      </c>
      <c r="N32" s="89">
        <v>1.143</v>
      </c>
      <c r="O32" s="89">
        <v>1.0720000000000001</v>
      </c>
      <c r="P32" s="89">
        <v>1.006</v>
      </c>
      <c r="Q32" s="89">
        <v>0.94299999999999995</v>
      </c>
      <c r="R32" s="89">
        <v>0.88400000000000001</v>
      </c>
      <c r="S32" s="89">
        <v>0.82799999999999996</v>
      </c>
      <c r="T32" s="89">
        <v>0.77500000000000002</v>
      </c>
      <c r="U32" s="89">
        <v>0.72499999999999998</v>
      </c>
      <c r="V32" s="89">
        <v>0.67700000000000005</v>
      </c>
      <c r="W32" s="89">
        <v>0.63200000000000001</v>
      </c>
      <c r="X32" s="89">
        <v>0.59099999999999997</v>
      </c>
      <c r="Y32" s="89">
        <v>0.55100000000000005</v>
      </c>
      <c r="Z32" s="89">
        <v>0.51400000000000001</v>
      </c>
      <c r="AA32" s="89">
        <v>0.47899999999999998</v>
      </c>
      <c r="AB32" s="89">
        <v>0.44600000000000001</v>
      </c>
      <c r="AC32" s="89">
        <v>0.41599999999999998</v>
      </c>
      <c r="AD32" s="89">
        <v>0.38700000000000001</v>
      </c>
      <c r="AE32" s="89">
        <v>0.36</v>
      </c>
    </row>
    <row r="33" spans="1:31" x14ac:dyDescent="0.25">
      <c r="A33" s="97">
        <v>26</v>
      </c>
      <c r="B33" s="89">
        <v>2.532</v>
      </c>
      <c r="C33" s="89">
        <v>2.3690000000000002</v>
      </c>
      <c r="D33" s="89">
        <v>2.2189999999999999</v>
      </c>
      <c r="E33" s="89">
        <v>2.0779999999999998</v>
      </c>
      <c r="F33" s="89">
        <v>1.948</v>
      </c>
      <c r="G33" s="89">
        <v>1.8260000000000001</v>
      </c>
      <c r="H33" s="89">
        <v>1.712</v>
      </c>
      <c r="I33" s="89">
        <v>1.6060000000000001</v>
      </c>
      <c r="J33" s="89">
        <v>1.506</v>
      </c>
      <c r="K33" s="89">
        <v>1.413</v>
      </c>
      <c r="L33" s="89">
        <v>1.325</v>
      </c>
      <c r="M33" s="89">
        <v>1.2430000000000001</v>
      </c>
      <c r="N33" s="89">
        <v>1.1659999999999999</v>
      </c>
      <c r="O33" s="89">
        <v>1.093</v>
      </c>
      <c r="P33" s="89">
        <v>1.0249999999999999</v>
      </c>
      <c r="Q33" s="89">
        <v>0.96</v>
      </c>
      <c r="R33" s="89">
        <v>0.9</v>
      </c>
      <c r="S33" s="89">
        <v>0.84199999999999997</v>
      </c>
      <c r="T33" s="89">
        <v>0.78800000000000003</v>
      </c>
      <c r="U33" s="89">
        <v>0.73699999999999999</v>
      </c>
      <c r="V33" s="89">
        <v>0.68799999999999994</v>
      </c>
      <c r="W33" s="89">
        <v>0.64200000000000002</v>
      </c>
      <c r="X33" s="89">
        <v>0.6</v>
      </c>
      <c r="Y33" s="89">
        <v>0.55900000000000005</v>
      </c>
      <c r="Z33" s="89">
        <v>0.52100000000000002</v>
      </c>
      <c r="AA33" s="89">
        <v>0.48599999999999999</v>
      </c>
      <c r="AB33" s="89">
        <v>0.45300000000000001</v>
      </c>
      <c r="AC33" s="89">
        <v>0.42099999999999999</v>
      </c>
      <c r="AD33" s="89">
        <v>0.39200000000000002</v>
      </c>
      <c r="AE33" s="89">
        <v>0.36499999999999999</v>
      </c>
    </row>
    <row r="34" spans="1:31" x14ac:dyDescent="0.25">
      <c r="A34" s="97">
        <v>27</v>
      </c>
      <c r="B34" s="89">
        <v>2.613</v>
      </c>
      <c r="C34" s="89">
        <v>2.4430000000000001</v>
      </c>
      <c r="D34" s="89">
        <v>2.2850000000000001</v>
      </c>
      <c r="E34" s="89">
        <v>2.1379999999999999</v>
      </c>
      <c r="F34" s="89">
        <v>2.0019999999999998</v>
      </c>
      <c r="G34" s="89">
        <v>1.875</v>
      </c>
      <c r="H34" s="89">
        <v>1.756</v>
      </c>
      <c r="I34" s="89">
        <v>1.645</v>
      </c>
      <c r="J34" s="89">
        <v>1.542</v>
      </c>
      <c r="K34" s="89">
        <v>1.4450000000000001</v>
      </c>
      <c r="L34" s="89">
        <v>1.355</v>
      </c>
      <c r="M34" s="89">
        <v>1.27</v>
      </c>
      <c r="N34" s="89">
        <v>1.19</v>
      </c>
      <c r="O34" s="89">
        <v>1.1160000000000001</v>
      </c>
      <c r="P34" s="89">
        <v>1.0449999999999999</v>
      </c>
      <c r="Q34" s="89">
        <v>0.97899999999999998</v>
      </c>
      <c r="R34" s="89">
        <v>0.91600000000000004</v>
      </c>
      <c r="S34" s="89">
        <v>0.85699999999999998</v>
      </c>
      <c r="T34" s="89">
        <v>0.80200000000000005</v>
      </c>
      <c r="U34" s="89">
        <v>0.749</v>
      </c>
      <c r="V34" s="89">
        <v>0.7</v>
      </c>
      <c r="W34" s="89">
        <v>0.65300000000000002</v>
      </c>
      <c r="X34" s="89">
        <v>0.60899999999999999</v>
      </c>
      <c r="Y34" s="89">
        <v>0.56799999999999995</v>
      </c>
      <c r="Z34" s="89">
        <v>0.52900000000000003</v>
      </c>
      <c r="AA34" s="89">
        <v>0.49299999999999999</v>
      </c>
      <c r="AB34" s="89">
        <v>0.45900000000000002</v>
      </c>
      <c r="AC34" s="89">
        <v>0.42699999999999999</v>
      </c>
      <c r="AD34" s="89">
        <v>0.39800000000000002</v>
      </c>
      <c r="AE34" s="89">
        <v>0.37</v>
      </c>
    </row>
    <row r="35" spans="1:31" x14ac:dyDescent="0.25">
      <c r="A35" s="97">
        <v>28</v>
      </c>
      <c r="B35" s="89">
        <v>2.7010000000000001</v>
      </c>
      <c r="C35" s="89">
        <v>2.5209999999999999</v>
      </c>
      <c r="D35" s="89">
        <v>2.355</v>
      </c>
      <c r="E35" s="89">
        <v>2.202</v>
      </c>
      <c r="F35" s="89">
        <v>2.0590000000000002</v>
      </c>
      <c r="G35" s="89">
        <v>1.9259999999999999</v>
      </c>
      <c r="H35" s="89">
        <v>1.8029999999999999</v>
      </c>
      <c r="I35" s="89">
        <v>1.6879999999999999</v>
      </c>
      <c r="J35" s="89">
        <v>1.58</v>
      </c>
      <c r="K35" s="89">
        <v>1.48</v>
      </c>
      <c r="L35" s="89">
        <v>1.3859999999999999</v>
      </c>
      <c r="M35" s="89">
        <v>1.2989999999999999</v>
      </c>
      <c r="N35" s="89">
        <v>1.216</v>
      </c>
      <c r="O35" s="89">
        <v>1.139</v>
      </c>
      <c r="P35" s="89">
        <v>1.0669999999999999</v>
      </c>
      <c r="Q35" s="89">
        <v>0.998</v>
      </c>
      <c r="R35" s="89">
        <v>0.93400000000000005</v>
      </c>
      <c r="S35" s="89">
        <v>0.874</v>
      </c>
      <c r="T35" s="89">
        <v>0.81599999999999995</v>
      </c>
      <c r="U35" s="89">
        <v>0.76300000000000001</v>
      </c>
      <c r="V35" s="89">
        <v>0.71199999999999997</v>
      </c>
      <c r="W35" s="89">
        <v>0.66400000000000003</v>
      </c>
      <c r="X35" s="89">
        <v>0.61899999999999999</v>
      </c>
      <c r="Y35" s="89">
        <v>0.57699999999999996</v>
      </c>
      <c r="Z35" s="89">
        <v>0.53800000000000003</v>
      </c>
      <c r="AA35" s="89">
        <v>0.501</v>
      </c>
      <c r="AB35" s="89">
        <v>0.46600000000000003</v>
      </c>
      <c r="AC35" s="89">
        <v>0.434</v>
      </c>
      <c r="AD35" s="89">
        <v>0.40300000000000002</v>
      </c>
      <c r="AE35" s="89">
        <v>0.375</v>
      </c>
    </row>
    <row r="36" spans="1:31" x14ac:dyDescent="0.25">
      <c r="A36" s="97">
        <v>29</v>
      </c>
      <c r="B36" s="89">
        <v>2.7949999999999999</v>
      </c>
      <c r="C36" s="89">
        <v>2.6059999999999999</v>
      </c>
      <c r="D36" s="89">
        <v>2.431</v>
      </c>
      <c r="E36" s="89">
        <v>2.27</v>
      </c>
      <c r="F36" s="89">
        <v>2.121</v>
      </c>
      <c r="G36" s="89">
        <v>1.982</v>
      </c>
      <c r="H36" s="89">
        <v>1.853</v>
      </c>
      <c r="I36" s="89">
        <v>1.7330000000000001</v>
      </c>
      <c r="J36" s="89">
        <v>1.621</v>
      </c>
      <c r="K36" s="89">
        <v>1.5169999999999999</v>
      </c>
      <c r="L36" s="89">
        <v>1.42</v>
      </c>
      <c r="M36" s="89">
        <v>1.329</v>
      </c>
      <c r="N36" s="89">
        <v>1.244</v>
      </c>
      <c r="O36" s="89">
        <v>1.1639999999999999</v>
      </c>
      <c r="P36" s="89">
        <v>1.089</v>
      </c>
      <c r="Q36" s="89">
        <v>1.0189999999999999</v>
      </c>
      <c r="R36" s="89">
        <v>0.95299999999999996</v>
      </c>
      <c r="S36" s="89">
        <v>0.89100000000000001</v>
      </c>
      <c r="T36" s="89">
        <v>0.83199999999999996</v>
      </c>
      <c r="U36" s="89">
        <v>0.77700000000000002</v>
      </c>
      <c r="V36" s="89">
        <v>0.72499999999999998</v>
      </c>
      <c r="W36" s="89">
        <v>0.67600000000000005</v>
      </c>
      <c r="X36" s="89">
        <v>0.63</v>
      </c>
      <c r="Y36" s="89">
        <v>0.58699999999999997</v>
      </c>
      <c r="Z36" s="89">
        <v>0.54600000000000004</v>
      </c>
      <c r="AA36" s="89">
        <v>0.50900000000000001</v>
      </c>
      <c r="AB36" s="89">
        <v>0.47299999999999998</v>
      </c>
      <c r="AC36" s="89">
        <v>0.44</v>
      </c>
      <c r="AD36" s="89">
        <v>0.40899999999999997</v>
      </c>
      <c r="AE36" s="89">
        <v>0.38100000000000001</v>
      </c>
    </row>
    <row r="37" spans="1:31" x14ac:dyDescent="0.25">
      <c r="A37" s="97">
        <v>30</v>
      </c>
      <c r="B37" s="89">
        <v>2.8969999999999998</v>
      </c>
      <c r="C37" s="89">
        <v>2.6970000000000001</v>
      </c>
      <c r="D37" s="89">
        <v>2.5129999999999999</v>
      </c>
      <c r="E37" s="89">
        <v>2.343</v>
      </c>
      <c r="F37" s="89">
        <v>2.1859999999999999</v>
      </c>
      <c r="G37" s="89">
        <v>2.0409999999999999</v>
      </c>
      <c r="H37" s="89">
        <v>1.9059999999999999</v>
      </c>
      <c r="I37" s="89">
        <v>1.7809999999999999</v>
      </c>
      <c r="J37" s="89">
        <v>1.665</v>
      </c>
      <c r="K37" s="89">
        <v>1.556</v>
      </c>
      <c r="L37" s="89">
        <v>1.4550000000000001</v>
      </c>
      <c r="M37" s="89">
        <v>1.361</v>
      </c>
      <c r="N37" s="89">
        <v>1.2729999999999999</v>
      </c>
      <c r="O37" s="89">
        <v>1.1910000000000001</v>
      </c>
      <c r="P37" s="89">
        <v>1.113</v>
      </c>
      <c r="Q37" s="89">
        <v>1.0409999999999999</v>
      </c>
      <c r="R37" s="89">
        <v>0.97299999999999998</v>
      </c>
      <c r="S37" s="89">
        <v>0.90800000000000003</v>
      </c>
      <c r="T37" s="89">
        <v>0.84799999999999998</v>
      </c>
      <c r="U37" s="89">
        <v>0.79100000000000004</v>
      </c>
      <c r="V37" s="89">
        <v>0.73799999999999999</v>
      </c>
      <c r="W37" s="89">
        <v>0.68799999999999994</v>
      </c>
      <c r="X37" s="89">
        <v>0.64100000000000001</v>
      </c>
      <c r="Y37" s="89">
        <v>0.59699999999999998</v>
      </c>
      <c r="Z37" s="89">
        <v>0.55600000000000005</v>
      </c>
      <c r="AA37" s="89">
        <v>0.51700000000000002</v>
      </c>
      <c r="AB37" s="89">
        <v>0.48099999999999998</v>
      </c>
      <c r="AC37" s="89">
        <v>0.44700000000000001</v>
      </c>
      <c r="AD37" s="89">
        <v>0.41599999999999998</v>
      </c>
      <c r="AE37" s="89">
        <v>0.38700000000000001</v>
      </c>
    </row>
    <row r="38" spans="1:31" x14ac:dyDescent="0.25">
      <c r="A38" s="97">
        <v>31</v>
      </c>
      <c r="B38" s="89">
        <v>3.0070000000000001</v>
      </c>
      <c r="C38" s="89">
        <v>2.7949999999999999</v>
      </c>
      <c r="D38" s="89">
        <v>2.601</v>
      </c>
      <c r="E38" s="89">
        <v>2.4220000000000002</v>
      </c>
      <c r="F38" s="89">
        <v>2.2570000000000001</v>
      </c>
      <c r="G38" s="89">
        <v>2.105</v>
      </c>
      <c r="H38" s="89">
        <v>1.964</v>
      </c>
      <c r="I38" s="89">
        <v>1.833</v>
      </c>
      <c r="J38" s="89">
        <v>1.7110000000000001</v>
      </c>
      <c r="K38" s="89">
        <v>1.5980000000000001</v>
      </c>
      <c r="L38" s="89">
        <v>1.4930000000000001</v>
      </c>
      <c r="M38" s="89">
        <v>1.395</v>
      </c>
      <c r="N38" s="89">
        <v>1.304</v>
      </c>
      <c r="O38" s="89">
        <v>1.2190000000000001</v>
      </c>
      <c r="P38" s="89">
        <v>1.139</v>
      </c>
      <c r="Q38" s="89">
        <v>1.0640000000000001</v>
      </c>
      <c r="R38" s="89">
        <v>0.99299999999999999</v>
      </c>
      <c r="S38" s="89">
        <v>0.92700000000000005</v>
      </c>
      <c r="T38" s="89">
        <v>0.86499999999999999</v>
      </c>
      <c r="U38" s="89">
        <v>0.80700000000000005</v>
      </c>
      <c r="V38" s="89">
        <v>0.752</v>
      </c>
      <c r="W38" s="89">
        <v>0.7</v>
      </c>
      <c r="X38" s="89">
        <v>0.65200000000000002</v>
      </c>
      <c r="Y38" s="89">
        <v>0.60699999999999998</v>
      </c>
      <c r="Z38" s="89">
        <v>0.56499999999999995</v>
      </c>
      <c r="AA38" s="89">
        <v>0.52600000000000002</v>
      </c>
      <c r="AB38" s="89">
        <v>0.48899999999999999</v>
      </c>
      <c r="AC38" s="89">
        <v>0.45400000000000001</v>
      </c>
      <c r="AD38" s="89">
        <v>0.42199999999999999</v>
      </c>
      <c r="AE38" s="89">
        <v>0.39200000000000002</v>
      </c>
    </row>
    <row r="39" spans="1:31" x14ac:dyDescent="0.25">
      <c r="A39" s="97">
        <v>32</v>
      </c>
      <c r="B39" s="89">
        <v>3.1259999999999999</v>
      </c>
      <c r="C39" s="89">
        <v>2.9020000000000001</v>
      </c>
      <c r="D39" s="89">
        <v>2.6960000000000002</v>
      </c>
      <c r="E39" s="89">
        <v>2.5070000000000001</v>
      </c>
      <c r="F39" s="89">
        <v>2.3330000000000002</v>
      </c>
      <c r="G39" s="89">
        <v>2.173</v>
      </c>
      <c r="H39" s="89">
        <v>2.0249999999999999</v>
      </c>
      <c r="I39" s="89">
        <v>1.8879999999999999</v>
      </c>
      <c r="J39" s="89">
        <v>1.7609999999999999</v>
      </c>
      <c r="K39" s="89">
        <v>1.643</v>
      </c>
      <c r="L39" s="89">
        <v>1.534</v>
      </c>
      <c r="M39" s="89">
        <v>1.4319999999999999</v>
      </c>
      <c r="N39" s="89">
        <v>1.337</v>
      </c>
      <c r="O39" s="89">
        <v>1.248</v>
      </c>
      <c r="P39" s="89">
        <v>1.1659999999999999</v>
      </c>
      <c r="Q39" s="89">
        <v>1.0880000000000001</v>
      </c>
      <c r="R39" s="89">
        <v>1.016</v>
      </c>
      <c r="S39" s="89">
        <v>0.94699999999999995</v>
      </c>
      <c r="T39" s="89">
        <v>0.88300000000000001</v>
      </c>
      <c r="U39" s="89">
        <v>0.82299999999999995</v>
      </c>
      <c r="V39" s="89">
        <v>0.76700000000000002</v>
      </c>
      <c r="W39" s="89">
        <v>0.71399999999999997</v>
      </c>
      <c r="X39" s="89">
        <v>0.66500000000000004</v>
      </c>
      <c r="Y39" s="89">
        <v>0.61799999999999999</v>
      </c>
      <c r="Z39" s="89">
        <v>0.57499999999999996</v>
      </c>
      <c r="AA39" s="89">
        <v>0.53500000000000003</v>
      </c>
      <c r="AB39" s="89">
        <v>0.497</v>
      </c>
      <c r="AC39" s="89">
        <v>0.46200000000000002</v>
      </c>
      <c r="AD39" s="89">
        <v>0.42899999999999999</v>
      </c>
      <c r="AE39" s="89">
        <v>0.39900000000000002</v>
      </c>
    </row>
    <row r="40" spans="1:31" x14ac:dyDescent="0.25">
      <c r="A40" s="97">
        <v>33</v>
      </c>
      <c r="B40" s="89">
        <v>3.2559999999999998</v>
      </c>
      <c r="C40" s="89">
        <v>3.0179999999999998</v>
      </c>
      <c r="D40" s="89">
        <v>2.7989999999999999</v>
      </c>
      <c r="E40" s="89">
        <v>2.5990000000000002</v>
      </c>
      <c r="F40" s="89">
        <v>2.4159999999999999</v>
      </c>
      <c r="G40" s="89">
        <v>2.2469999999999999</v>
      </c>
      <c r="H40" s="89">
        <v>2.0910000000000002</v>
      </c>
      <c r="I40" s="89">
        <v>1.9470000000000001</v>
      </c>
      <c r="J40" s="89">
        <v>1.8140000000000001</v>
      </c>
      <c r="K40" s="89">
        <v>1.6910000000000001</v>
      </c>
      <c r="L40" s="89">
        <v>1.577</v>
      </c>
      <c r="M40" s="89">
        <v>1.4710000000000001</v>
      </c>
      <c r="N40" s="89">
        <v>1.3720000000000001</v>
      </c>
      <c r="O40" s="89">
        <v>1.28</v>
      </c>
      <c r="P40" s="89">
        <v>1.194</v>
      </c>
      <c r="Q40" s="89">
        <v>1.1140000000000001</v>
      </c>
      <c r="R40" s="89">
        <v>1.0389999999999999</v>
      </c>
      <c r="S40" s="89">
        <v>0.96799999999999997</v>
      </c>
      <c r="T40" s="89">
        <v>0.90300000000000002</v>
      </c>
      <c r="U40" s="89">
        <v>0.84099999999999997</v>
      </c>
      <c r="V40" s="89">
        <v>0.78300000000000003</v>
      </c>
      <c r="W40" s="89">
        <v>0.72799999999999998</v>
      </c>
      <c r="X40" s="89">
        <v>0.67700000000000005</v>
      </c>
      <c r="Y40" s="89">
        <v>0.63</v>
      </c>
      <c r="Z40" s="89">
        <v>0.58599999999999997</v>
      </c>
      <c r="AA40" s="89">
        <v>0.54400000000000004</v>
      </c>
      <c r="AB40" s="89">
        <v>0.50600000000000001</v>
      </c>
      <c r="AC40" s="89">
        <v>0.47</v>
      </c>
      <c r="AD40" s="89">
        <v>0.436</v>
      </c>
      <c r="AE40" s="89">
        <v>0.40500000000000003</v>
      </c>
    </row>
    <row r="41" spans="1:31" x14ac:dyDescent="0.25">
      <c r="A41" s="97">
        <v>34</v>
      </c>
      <c r="B41" s="89">
        <v>3.3969999999999998</v>
      </c>
      <c r="C41" s="89">
        <v>3.1429999999999998</v>
      </c>
      <c r="D41" s="89">
        <v>2.911</v>
      </c>
      <c r="E41" s="89">
        <v>2.6989999999999998</v>
      </c>
      <c r="F41" s="89">
        <v>2.504</v>
      </c>
      <c r="G41" s="89">
        <v>2.3260000000000001</v>
      </c>
      <c r="H41" s="89">
        <v>2.1619999999999999</v>
      </c>
      <c r="I41" s="89">
        <v>2.0099999999999998</v>
      </c>
      <c r="J41" s="89">
        <v>1.871</v>
      </c>
      <c r="K41" s="89">
        <v>1.742</v>
      </c>
      <c r="L41" s="89">
        <v>1.623</v>
      </c>
      <c r="M41" s="89">
        <v>1.512</v>
      </c>
      <c r="N41" s="89">
        <v>1.409</v>
      </c>
      <c r="O41" s="89">
        <v>1.3140000000000001</v>
      </c>
      <c r="P41" s="89">
        <v>1.224</v>
      </c>
      <c r="Q41" s="89">
        <v>1.141</v>
      </c>
      <c r="R41" s="89">
        <v>1.0640000000000001</v>
      </c>
      <c r="S41" s="89">
        <v>0.99099999999999999</v>
      </c>
      <c r="T41" s="89">
        <v>0.92300000000000004</v>
      </c>
      <c r="U41" s="89">
        <v>0.85899999999999999</v>
      </c>
      <c r="V41" s="89">
        <v>0.79900000000000004</v>
      </c>
      <c r="W41" s="89">
        <v>0.74299999999999999</v>
      </c>
      <c r="X41" s="89">
        <v>0.69099999999999995</v>
      </c>
      <c r="Y41" s="89">
        <v>0.64200000000000002</v>
      </c>
      <c r="Z41" s="89">
        <v>0.59699999999999998</v>
      </c>
      <c r="AA41" s="89">
        <v>0.55400000000000005</v>
      </c>
      <c r="AB41" s="89">
        <v>0.51500000000000001</v>
      </c>
      <c r="AC41" s="89">
        <v>0.47799999999999998</v>
      </c>
      <c r="AD41" s="89">
        <v>0.44400000000000001</v>
      </c>
      <c r="AE41" s="89">
        <v>0.41199999999999998</v>
      </c>
    </row>
    <row r="42" spans="1:31" x14ac:dyDescent="0.25">
      <c r="A42" s="97">
        <v>35</v>
      </c>
      <c r="B42" s="89">
        <v>3.5510000000000002</v>
      </c>
      <c r="C42" s="89">
        <v>3.28</v>
      </c>
      <c r="D42" s="89">
        <v>3.032</v>
      </c>
      <c r="E42" s="89">
        <v>2.8069999999999999</v>
      </c>
      <c r="F42" s="89">
        <v>2.6</v>
      </c>
      <c r="G42" s="89">
        <v>2.411</v>
      </c>
      <c r="H42" s="89">
        <v>2.238</v>
      </c>
      <c r="I42" s="89">
        <v>2.0790000000000002</v>
      </c>
      <c r="J42" s="89">
        <v>1.9319999999999999</v>
      </c>
      <c r="K42" s="89">
        <v>1.7969999999999999</v>
      </c>
      <c r="L42" s="89">
        <v>1.6719999999999999</v>
      </c>
      <c r="M42" s="89">
        <v>1.556</v>
      </c>
      <c r="N42" s="89">
        <v>1.4490000000000001</v>
      </c>
      <c r="O42" s="89">
        <v>1.349</v>
      </c>
      <c r="P42" s="89">
        <v>1.2569999999999999</v>
      </c>
      <c r="Q42" s="89">
        <v>1.17</v>
      </c>
      <c r="R42" s="89">
        <v>1.0900000000000001</v>
      </c>
      <c r="S42" s="89">
        <v>1.0149999999999999</v>
      </c>
      <c r="T42" s="89">
        <v>0.94399999999999995</v>
      </c>
      <c r="U42" s="89">
        <v>0.878</v>
      </c>
      <c r="V42" s="89">
        <v>0.81699999999999995</v>
      </c>
      <c r="W42" s="89">
        <v>0.75900000000000001</v>
      </c>
      <c r="X42" s="89">
        <v>0.70499999999999996</v>
      </c>
      <c r="Y42" s="89">
        <v>0.65500000000000003</v>
      </c>
      <c r="Z42" s="89">
        <v>0.60799999999999998</v>
      </c>
      <c r="AA42" s="89">
        <v>0.56499999999999995</v>
      </c>
      <c r="AB42" s="89">
        <v>0.52400000000000002</v>
      </c>
      <c r="AC42" s="89">
        <v>0.48699999999999999</v>
      </c>
      <c r="AD42" s="89">
        <v>0.45200000000000001</v>
      </c>
      <c r="AE42" s="89">
        <v>0.41899999999999998</v>
      </c>
    </row>
    <row r="43" spans="1:31" x14ac:dyDescent="0.25">
      <c r="A43" s="97">
        <v>36</v>
      </c>
      <c r="B43" s="89">
        <v>3.72</v>
      </c>
      <c r="C43" s="89">
        <v>3.4289999999999998</v>
      </c>
      <c r="D43" s="89">
        <v>3.1640000000000001</v>
      </c>
      <c r="E43" s="89">
        <v>2.9239999999999999</v>
      </c>
      <c r="F43" s="89">
        <v>2.7040000000000002</v>
      </c>
      <c r="G43" s="89">
        <v>2.504</v>
      </c>
      <c r="H43" s="89">
        <v>2.3210000000000002</v>
      </c>
      <c r="I43" s="89">
        <v>2.153</v>
      </c>
      <c r="J43" s="89">
        <v>1.998</v>
      </c>
      <c r="K43" s="89">
        <v>1.8560000000000001</v>
      </c>
      <c r="L43" s="89">
        <v>1.7250000000000001</v>
      </c>
      <c r="M43" s="89">
        <v>1.6040000000000001</v>
      </c>
      <c r="N43" s="89">
        <v>1.492</v>
      </c>
      <c r="O43" s="89">
        <v>1.3879999999999999</v>
      </c>
      <c r="P43" s="89">
        <v>1.2909999999999999</v>
      </c>
      <c r="Q43" s="89">
        <v>1.2010000000000001</v>
      </c>
      <c r="R43" s="89">
        <v>1.1180000000000001</v>
      </c>
      <c r="S43" s="89">
        <v>1.04</v>
      </c>
      <c r="T43" s="89">
        <v>0.96699999999999997</v>
      </c>
      <c r="U43" s="89">
        <v>0.89900000000000002</v>
      </c>
      <c r="V43" s="89">
        <v>0.83499999999999996</v>
      </c>
      <c r="W43" s="89">
        <v>0.77600000000000002</v>
      </c>
      <c r="X43" s="89">
        <v>0.72</v>
      </c>
      <c r="Y43" s="89">
        <v>0.66900000000000004</v>
      </c>
      <c r="Z43" s="89">
        <v>0.621</v>
      </c>
      <c r="AA43" s="89">
        <v>0.57599999999999996</v>
      </c>
      <c r="AB43" s="89">
        <v>0.53400000000000003</v>
      </c>
      <c r="AC43" s="89">
        <v>0.496</v>
      </c>
      <c r="AD43" s="89">
        <v>0.46</v>
      </c>
      <c r="AE43" s="89">
        <v>0.42699999999999999</v>
      </c>
    </row>
    <row r="44" spans="1:31" x14ac:dyDescent="0.25">
      <c r="A44" s="97">
        <v>37</v>
      </c>
      <c r="B44" s="89">
        <v>3.9049999999999998</v>
      </c>
      <c r="C44" s="89">
        <v>3.5920000000000001</v>
      </c>
      <c r="D44" s="89">
        <v>3.3079999999999998</v>
      </c>
      <c r="E44" s="89">
        <v>3.0510000000000002</v>
      </c>
      <c r="F44" s="89">
        <v>2.8180000000000001</v>
      </c>
      <c r="G44" s="89">
        <v>2.605</v>
      </c>
      <c r="H44" s="89">
        <v>2.41</v>
      </c>
      <c r="I44" s="89">
        <v>2.2320000000000002</v>
      </c>
      <c r="J44" s="89">
        <v>2.069</v>
      </c>
      <c r="K44" s="89">
        <v>1.919</v>
      </c>
      <c r="L44" s="89">
        <v>1.7809999999999999</v>
      </c>
      <c r="M44" s="89">
        <v>1.6539999999999999</v>
      </c>
      <c r="N44" s="89">
        <v>1.5369999999999999</v>
      </c>
      <c r="O44" s="89">
        <v>1.429</v>
      </c>
      <c r="P44" s="89">
        <v>1.3280000000000001</v>
      </c>
      <c r="Q44" s="89">
        <v>1.2350000000000001</v>
      </c>
      <c r="R44" s="89">
        <v>1.1479999999999999</v>
      </c>
      <c r="S44" s="89">
        <v>1.0669999999999999</v>
      </c>
      <c r="T44" s="89">
        <v>0.99099999999999999</v>
      </c>
      <c r="U44" s="89">
        <v>0.92100000000000004</v>
      </c>
      <c r="V44" s="89">
        <v>0.85499999999999998</v>
      </c>
      <c r="W44" s="89">
        <v>0.79300000000000004</v>
      </c>
      <c r="X44" s="89">
        <v>0.73599999999999999</v>
      </c>
      <c r="Y44" s="89">
        <v>0.68300000000000005</v>
      </c>
      <c r="Z44" s="89">
        <v>0.63400000000000001</v>
      </c>
      <c r="AA44" s="89">
        <v>0.58799999999999997</v>
      </c>
      <c r="AB44" s="89">
        <v>0.54500000000000004</v>
      </c>
      <c r="AC44" s="89">
        <v>0.505</v>
      </c>
      <c r="AD44" s="89">
        <v>0.46899999999999997</v>
      </c>
      <c r="AE44" s="89">
        <v>0.435</v>
      </c>
    </row>
    <row r="45" spans="1:31" x14ac:dyDescent="0.25">
      <c r="A45" s="97">
        <v>38</v>
      </c>
      <c r="B45" s="89">
        <v>4.1070000000000002</v>
      </c>
      <c r="C45" s="89">
        <v>3.77</v>
      </c>
      <c r="D45" s="89">
        <v>3.4660000000000002</v>
      </c>
      <c r="E45" s="89">
        <v>3.1909999999999998</v>
      </c>
      <c r="F45" s="89">
        <v>2.9409999999999998</v>
      </c>
      <c r="G45" s="89">
        <v>2.714</v>
      </c>
      <c r="H45" s="89">
        <v>2.5070000000000001</v>
      </c>
      <c r="I45" s="89">
        <v>2.3180000000000001</v>
      </c>
      <c r="J45" s="89">
        <v>2.1459999999999999</v>
      </c>
      <c r="K45" s="89">
        <v>1.988</v>
      </c>
      <c r="L45" s="89">
        <v>1.843</v>
      </c>
      <c r="M45" s="89">
        <v>1.7090000000000001</v>
      </c>
      <c r="N45" s="89">
        <v>1.5860000000000001</v>
      </c>
      <c r="O45" s="89">
        <v>1.472</v>
      </c>
      <c r="P45" s="89">
        <v>1.367</v>
      </c>
      <c r="Q45" s="89">
        <v>1.27</v>
      </c>
      <c r="R45" s="89">
        <v>1.179</v>
      </c>
      <c r="S45" s="89">
        <v>1.095</v>
      </c>
      <c r="T45" s="89">
        <v>1.0169999999999999</v>
      </c>
      <c r="U45" s="89">
        <v>0.94399999999999995</v>
      </c>
      <c r="V45" s="89">
        <v>0.876</v>
      </c>
      <c r="W45" s="89">
        <v>0.81200000000000006</v>
      </c>
      <c r="X45" s="89">
        <v>0.753</v>
      </c>
      <c r="Y45" s="89">
        <v>0.69799999999999995</v>
      </c>
      <c r="Z45" s="89">
        <v>0.64800000000000002</v>
      </c>
      <c r="AA45" s="89">
        <v>0.6</v>
      </c>
      <c r="AB45" s="89">
        <v>0.55600000000000005</v>
      </c>
      <c r="AC45" s="89">
        <v>0.51600000000000001</v>
      </c>
      <c r="AD45" s="89">
        <v>0.47799999999999998</v>
      </c>
      <c r="AE45" s="89">
        <v>0.443</v>
      </c>
    </row>
    <row r="46" spans="1:31" x14ac:dyDescent="0.25">
      <c r="A46" s="97">
        <v>39</v>
      </c>
      <c r="B46" s="89">
        <v>4.33</v>
      </c>
      <c r="C46" s="89">
        <v>3.9660000000000002</v>
      </c>
      <c r="D46" s="89">
        <v>3.6389999999999998</v>
      </c>
      <c r="E46" s="89">
        <v>3.343</v>
      </c>
      <c r="F46" s="89">
        <v>3.0750000000000002</v>
      </c>
      <c r="G46" s="89">
        <v>2.8330000000000002</v>
      </c>
      <c r="H46" s="89">
        <v>2.6120000000000001</v>
      </c>
      <c r="I46" s="89">
        <v>2.4119999999999999</v>
      </c>
      <c r="J46" s="89">
        <v>2.2290000000000001</v>
      </c>
      <c r="K46" s="89">
        <v>2.0619999999999998</v>
      </c>
      <c r="L46" s="89">
        <v>1.9079999999999999</v>
      </c>
      <c r="M46" s="89">
        <v>1.768</v>
      </c>
      <c r="N46" s="89">
        <v>1.639</v>
      </c>
      <c r="O46" s="89">
        <v>1.5189999999999999</v>
      </c>
      <c r="P46" s="89">
        <v>1.409</v>
      </c>
      <c r="Q46" s="89">
        <v>1.3080000000000001</v>
      </c>
      <c r="R46" s="89">
        <v>1.2130000000000001</v>
      </c>
      <c r="S46" s="89">
        <v>1.125</v>
      </c>
      <c r="T46" s="89">
        <v>1.044</v>
      </c>
      <c r="U46" s="89">
        <v>0.96799999999999997</v>
      </c>
      <c r="V46" s="89">
        <v>0.89800000000000002</v>
      </c>
      <c r="W46" s="89">
        <v>0.83199999999999996</v>
      </c>
      <c r="X46" s="89">
        <v>0.77100000000000002</v>
      </c>
      <c r="Y46" s="89">
        <v>0.71499999999999997</v>
      </c>
      <c r="Z46" s="89">
        <v>0.66200000000000003</v>
      </c>
      <c r="AA46" s="89">
        <v>0.61299999999999999</v>
      </c>
      <c r="AB46" s="89">
        <v>0.56799999999999995</v>
      </c>
      <c r="AC46" s="89">
        <v>0.52600000000000002</v>
      </c>
      <c r="AD46" s="89">
        <v>0.48699999999999999</v>
      </c>
      <c r="AE46" s="89">
        <v>0.45200000000000001</v>
      </c>
    </row>
    <row r="47" spans="1:31" x14ac:dyDescent="0.25">
      <c r="A47" s="97">
        <v>40</v>
      </c>
      <c r="B47" s="89">
        <v>4.5759999999999996</v>
      </c>
      <c r="C47" s="89">
        <v>4.1820000000000004</v>
      </c>
      <c r="D47" s="89">
        <v>3.8279999999999998</v>
      </c>
      <c r="E47" s="89">
        <v>3.51</v>
      </c>
      <c r="F47" s="89">
        <v>3.222</v>
      </c>
      <c r="G47" s="89">
        <v>2.9630000000000001</v>
      </c>
      <c r="H47" s="89">
        <v>2.7269999999999999</v>
      </c>
      <c r="I47" s="89">
        <v>2.5129999999999999</v>
      </c>
      <c r="J47" s="89">
        <v>2.319</v>
      </c>
      <c r="K47" s="89">
        <v>2.1419999999999999</v>
      </c>
      <c r="L47" s="89">
        <v>1.98</v>
      </c>
      <c r="M47" s="89">
        <v>1.831</v>
      </c>
      <c r="N47" s="89">
        <v>1.6950000000000001</v>
      </c>
      <c r="O47" s="89">
        <v>1.57</v>
      </c>
      <c r="P47" s="89">
        <v>1.454</v>
      </c>
      <c r="Q47" s="89">
        <v>1.3480000000000001</v>
      </c>
      <c r="R47" s="89">
        <v>1.2490000000000001</v>
      </c>
      <c r="S47" s="89">
        <v>1.1579999999999999</v>
      </c>
      <c r="T47" s="89">
        <v>1.073</v>
      </c>
      <c r="U47" s="89">
        <v>0.99399999999999999</v>
      </c>
      <c r="V47" s="89">
        <v>0.92100000000000004</v>
      </c>
      <c r="W47" s="89">
        <v>0.85299999999999998</v>
      </c>
      <c r="X47" s="89">
        <v>0.79</v>
      </c>
      <c r="Y47" s="89">
        <v>0.73199999999999998</v>
      </c>
      <c r="Z47" s="89">
        <v>0.67700000000000005</v>
      </c>
      <c r="AA47" s="89">
        <v>0.627</v>
      </c>
      <c r="AB47" s="89">
        <v>0.58099999999999996</v>
      </c>
      <c r="AC47" s="89">
        <v>0.53700000000000003</v>
      </c>
      <c r="AD47" s="89">
        <v>0.498</v>
      </c>
      <c r="AE47" s="89">
        <v>0.46100000000000002</v>
      </c>
    </row>
    <row r="48" spans="1:31" x14ac:dyDescent="0.25">
      <c r="A48" s="97">
        <v>41</v>
      </c>
      <c r="B48" s="89">
        <v>4.8470000000000004</v>
      </c>
      <c r="C48" s="89">
        <v>4.42</v>
      </c>
      <c r="D48" s="89">
        <v>4.0369999999999999</v>
      </c>
      <c r="E48" s="89">
        <v>3.6930000000000001</v>
      </c>
      <c r="F48" s="89">
        <v>3.3839999999999999</v>
      </c>
      <c r="G48" s="89">
        <v>3.105</v>
      </c>
      <c r="H48" s="89">
        <v>2.8530000000000002</v>
      </c>
      <c r="I48" s="89">
        <v>2.6240000000000001</v>
      </c>
      <c r="J48" s="89">
        <v>2.4169999999999998</v>
      </c>
      <c r="K48" s="89">
        <v>2.2290000000000001</v>
      </c>
      <c r="L48" s="89">
        <v>2.0569999999999999</v>
      </c>
      <c r="M48" s="89">
        <v>1.9</v>
      </c>
      <c r="N48" s="89">
        <v>1.756</v>
      </c>
      <c r="O48" s="89">
        <v>1.6240000000000001</v>
      </c>
      <c r="P48" s="89">
        <v>1.5029999999999999</v>
      </c>
      <c r="Q48" s="89">
        <v>1.391</v>
      </c>
      <c r="R48" s="89">
        <v>1.288</v>
      </c>
      <c r="S48" s="89">
        <v>1.1930000000000001</v>
      </c>
      <c r="T48" s="89">
        <v>1.1040000000000001</v>
      </c>
      <c r="U48" s="89">
        <v>1.022</v>
      </c>
      <c r="V48" s="89">
        <v>0.94599999999999995</v>
      </c>
      <c r="W48" s="89">
        <v>0.875</v>
      </c>
      <c r="X48" s="89">
        <v>0.81</v>
      </c>
      <c r="Y48" s="89">
        <v>0.75</v>
      </c>
      <c r="Z48" s="89">
        <v>0.69399999999999995</v>
      </c>
      <c r="AA48" s="89">
        <v>0.64200000000000002</v>
      </c>
      <c r="AB48" s="89">
        <v>0.59399999999999997</v>
      </c>
      <c r="AC48" s="89">
        <v>0.54900000000000004</v>
      </c>
      <c r="AD48" s="89">
        <v>0.50800000000000001</v>
      </c>
      <c r="AE48" s="89">
        <v>0.47099999999999997</v>
      </c>
    </row>
    <row r="49" spans="1:31" x14ac:dyDescent="0.25">
      <c r="A49" s="97">
        <v>42</v>
      </c>
      <c r="B49" s="89">
        <v>5.1470000000000002</v>
      </c>
      <c r="C49" s="89">
        <v>4.6820000000000004</v>
      </c>
      <c r="D49" s="89">
        <v>4.2670000000000003</v>
      </c>
      <c r="E49" s="89">
        <v>3.895</v>
      </c>
      <c r="F49" s="89">
        <v>3.5609999999999999</v>
      </c>
      <c r="G49" s="89">
        <v>3.26</v>
      </c>
      <c r="H49" s="89">
        <v>2.99</v>
      </c>
      <c r="I49" s="89">
        <v>2.7450000000000001</v>
      </c>
      <c r="J49" s="89">
        <v>2.524</v>
      </c>
      <c r="K49" s="89">
        <v>2.323</v>
      </c>
      <c r="L49" s="89">
        <v>2.14</v>
      </c>
      <c r="M49" s="89">
        <v>1.974</v>
      </c>
      <c r="N49" s="89">
        <v>1.8220000000000001</v>
      </c>
      <c r="O49" s="89">
        <v>1.6830000000000001</v>
      </c>
      <c r="P49" s="89">
        <v>1.5549999999999999</v>
      </c>
      <c r="Q49" s="89">
        <v>1.4379999999999999</v>
      </c>
      <c r="R49" s="89">
        <v>1.33</v>
      </c>
      <c r="S49" s="89">
        <v>1.23</v>
      </c>
      <c r="T49" s="89">
        <v>1.137</v>
      </c>
      <c r="U49" s="89">
        <v>1.052</v>
      </c>
      <c r="V49" s="89">
        <v>0.97299999999999998</v>
      </c>
      <c r="W49" s="89">
        <v>0.89900000000000002</v>
      </c>
      <c r="X49" s="89">
        <v>0.83199999999999996</v>
      </c>
      <c r="Y49" s="89">
        <v>0.76900000000000002</v>
      </c>
      <c r="Z49" s="89">
        <v>0.71099999999999997</v>
      </c>
      <c r="AA49" s="89">
        <v>0.65700000000000003</v>
      </c>
      <c r="AB49" s="89">
        <v>0.60799999999999998</v>
      </c>
      <c r="AC49" s="89">
        <v>0.56200000000000006</v>
      </c>
      <c r="AD49" s="89">
        <v>0.52</v>
      </c>
      <c r="AE49" s="89">
        <v>0.48099999999999998</v>
      </c>
    </row>
    <row r="50" spans="1:31" x14ac:dyDescent="0.25">
      <c r="A50" s="97">
        <v>43</v>
      </c>
      <c r="B50" s="89">
        <v>5.48</v>
      </c>
      <c r="C50" s="89">
        <v>4.9729999999999999</v>
      </c>
      <c r="D50" s="89">
        <v>4.5209999999999999</v>
      </c>
      <c r="E50" s="89">
        <v>4.117</v>
      </c>
      <c r="F50" s="89">
        <v>3.7559999999999998</v>
      </c>
      <c r="G50" s="89">
        <v>3.431</v>
      </c>
      <c r="H50" s="89">
        <v>3.14</v>
      </c>
      <c r="I50" s="89">
        <v>2.8769999999999998</v>
      </c>
      <c r="J50" s="89">
        <v>2.64</v>
      </c>
      <c r="K50" s="89">
        <v>2.4260000000000002</v>
      </c>
      <c r="L50" s="89">
        <v>2.2309999999999999</v>
      </c>
      <c r="M50" s="89">
        <v>2.0550000000000002</v>
      </c>
      <c r="N50" s="89">
        <v>1.8939999999999999</v>
      </c>
      <c r="O50" s="89">
        <v>1.746</v>
      </c>
      <c r="P50" s="89">
        <v>1.6120000000000001</v>
      </c>
      <c r="Q50" s="89">
        <v>1.488</v>
      </c>
      <c r="R50" s="89">
        <v>1.375</v>
      </c>
      <c r="S50" s="89">
        <v>1.27</v>
      </c>
      <c r="T50" s="89">
        <v>1.173</v>
      </c>
      <c r="U50" s="89">
        <v>1.0840000000000001</v>
      </c>
      <c r="V50" s="89">
        <v>1.0009999999999999</v>
      </c>
      <c r="W50" s="89">
        <v>0.92500000000000004</v>
      </c>
      <c r="X50" s="89">
        <v>0.85399999999999998</v>
      </c>
      <c r="Y50" s="89">
        <v>0.78900000000000003</v>
      </c>
      <c r="Z50" s="89">
        <v>0.72899999999999998</v>
      </c>
      <c r="AA50" s="89">
        <v>0.67400000000000004</v>
      </c>
      <c r="AB50" s="89">
        <v>0.623</v>
      </c>
      <c r="AC50" s="89">
        <v>0.57499999999999996</v>
      </c>
      <c r="AD50" s="89">
        <v>0.53200000000000003</v>
      </c>
      <c r="AE50" s="89">
        <v>0.49199999999999999</v>
      </c>
    </row>
    <row r="51" spans="1:31" x14ac:dyDescent="0.25">
      <c r="A51" s="97">
        <v>44</v>
      </c>
      <c r="B51" s="89">
        <v>5.8490000000000002</v>
      </c>
      <c r="C51" s="89">
        <v>5.2949999999999999</v>
      </c>
      <c r="D51" s="89">
        <v>4.8019999999999996</v>
      </c>
      <c r="E51" s="89">
        <v>4.3630000000000004</v>
      </c>
      <c r="F51" s="89">
        <v>3.9710000000000001</v>
      </c>
      <c r="G51" s="89">
        <v>3.62</v>
      </c>
      <c r="H51" s="89">
        <v>3.3050000000000002</v>
      </c>
      <c r="I51" s="89">
        <v>3.0219999999999998</v>
      </c>
      <c r="J51" s="89">
        <v>2.7679999999999998</v>
      </c>
      <c r="K51" s="89">
        <v>2.5379999999999998</v>
      </c>
      <c r="L51" s="89">
        <v>2.331</v>
      </c>
      <c r="M51" s="89">
        <v>2.1419999999999999</v>
      </c>
      <c r="N51" s="89">
        <v>1.9710000000000001</v>
      </c>
      <c r="O51" s="89">
        <v>1.8149999999999999</v>
      </c>
      <c r="P51" s="89">
        <v>1.673</v>
      </c>
      <c r="Q51" s="89">
        <v>1.5429999999999999</v>
      </c>
      <c r="R51" s="89">
        <v>1.423</v>
      </c>
      <c r="S51" s="89">
        <v>1.3129999999999999</v>
      </c>
      <c r="T51" s="89">
        <v>1.2110000000000001</v>
      </c>
      <c r="U51" s="89">
        <v>1.1180000000000001</v>
      </c>
      <c r="V51" s="89">
        <v>1.032</v>
      </c>
      <c r="W51" s="89">
        <v>0.95199999999999996</v>
      </c>
      <c r="X51" s="89">
        <v>0.879</v>
      </c>
      <c r="Y51" s="89">
        <v>0.81100000000000005</v>
      </c>
      <c r="Z51" s="89">
        <v>0.749</v>
      </c>
      <c r="AA51" s="89">
        <v>0.69099999999999995</v>
      </c>
      <c r="AB51" s="89">
        <v>0.63800000000000001</v>
      </c>
      <c r="AC51" s="89">
        <v>0.59</v>
      </c>
      <c r="AD51" s="89">
        <v>0.54500000000000004</v>
      </c>
      <c r="AE51" s="89">
        <v>0.503</v>
      </c>
    </row>
    <row r="52" spans="1:31" x14ac:dyDescent="0.25">
      <c r="A52" s="97">
        <v>45</v>
      </c>
      <c r="B52" s="89">
        <v>6.2590000000000003</v>
      </c>
      <c r="C52" s="89">
        <v>5.6520000000000001</v>
      </c>
      <c r="D52" s="89">
        <v>5.1139999999999999</v>
      </c>
      <c r="E52" s="89">
        <v>4.6349999999999998</v>
      </c>
      <c r="F52" s="89">
        <v>4.2080000000000002</v>
      </c>
      <c r="G52" s="89">
        <v>3.827</v>
      </c>
      <c r="H52" s="89">
        <v>3.4870000000000001</v>
      </c>
      <c r="I52" s="89">
        <v>3.1819999999999999</v>
      </c>
      <c r="J52" s="89">
        <v>2.9079999999999999</v>
      </c>
      <c r="K52" s="89">
        <v>2.661</v>
      </c>
      <c r="L52" s="89">
        <v>2.4390000000000001</v>
      </c>
      <c r="M52" s="89">
        <v>2.238</v>
      </c>
      <c r="N52" s="89">
        <v>2.0550000000000002</v>
      </c>
      <c r="O52" s="89">
        <v>1.89</v>
      </c>
      <c r="P52" s="89">
        <v>1.7390000000000001</v>
      </c>
      <c r="Q52" s="89">
        <v>1.601</v>
      </c>
      <c r="R52" s="89">
        <v>1.4750000000000001</v>
      </c>
      <c r="S52" s="89">
        <v>1.359</v>
      </c>
      <c r="T52" s="89">
        <v>1.2529999999999999</v>
      </c>
      <c r="U52" s="89">
        <v>1.155</v>
      </c>
      <c r="V52" s="89">
        <v>1.0640000000000001</v>
      </c>
      <c r="W52" s="89">
        <v>0.98099999999999998</v>
      </c>
      <c r="X52" s="89">
        <v>0.90500000000000003</v>
      </c>
      <c r="Y52" s="89">
        <v>0.83399999999999996</v>
      </c>
      <c r="Z52" s="89">
        <v>0.77</v>
      </c>
      <c r="AA52" s="89">
        <v>0.71</v>
      </c>
      <c r="AB52" s="89">
        <v>0.65500000000000003</v>
      </c>
      <c r="AC52" s="89">
        <v>0.60399999999999998</v>
      </c>
      <c r="AD52" s="89">
        <v>0.55800000000000005</v>
      </c>
      <c r="AE52" s="89">
        <v>0.51500000000000001</v>
      </c>
    </row>
    <row r="53" spans="1:31" x14ac:dyDescent="0.25">
      <c r="A53" s="97">
        <v>46</v>
      </c>
      <c r="B53" s="89">
        <v>6.7149999999999999</v>
      </c>
      <c r="C53" s="89">
        <v>6.0490000000000004</v>
      </c>
      <c r="D53" s="89">
        <v>5.4589999999999996</v>
      </c>
      <c r="E53" s="89">
        <v>4.9359999999999999</v>
      </c>
      <c r="F53" s="89">
        <v>4.4710000000000001</v>
      </c>
      <c r="G53" s="89">
        <v>4.0570000000000004</v>
      </c>
      <c r="H53" s="89">
        <v>3.6869999999999998</v>
      </c>
      <c r="I53" s="89">
        <v>3.3570000000000002</v>
      </c>
      <c r="J53" s="89">
        <v>3.0609999999999999</v>
      </c>
      <c r="K53" s="89">
        <v>2.7959999999999998</v>
      </c>
      <c r="L53" s="89">
        <v>2.5569999999999999</v>
      </c>
      <c r="M53" s="89">
        <v>2.3420000000000001</v>
      </c>
      <c r="N53" s="89">
        <v>2.1469999999999998</v>
      </c>
      <c r="O53" s="89">
        <v>1.9710000000000001</v>
      </c>
      <c r="P53" s="89">
        <v>1.81</v>
      </c>
      <c r="Q53" s="89">
        <v>1.6639999999999999</v>
      </c>
      <c r="R53" s="89">
        <v>1.5309999999999999</v>
      </c>
      <c r="S53" s="89">
        <v>1.409</v>
      </c>
      <c r="T53" s="89">
        <v>1.2969999999999999</v>
      </c>
      <c r="U53" s="89">
        <v>1.194</v>
      </c>
      <c r="V53" s="89">
        <v>1.099</v>
      </c>
      <c r="W53" s="89">
        <v>1.012</v>
      </c>
      <c r="X53" s="89">
        <v>0.93200000000000005</v>
      </c>
      <c r="Y53" s="89">
        <v>0.85899999999999999</v>
      </c>
      <c r="Z53" s="89">
        <v>0.79200000000000004</v>
      </c>
      <c r="AA53" s="89">
        <v>0.73</v>
      </c>
      <c r="AB53" s="89">
        <v>0.67300000000000004</v>
      </c>
      <c r="AC53" s="89">
        <v>0.62</v>
      </c>
      <c r="AD53" s="89">
        <v>0.57199999999999995</v>
      </c>
      <c r="AE53" s="89">
        <v>0.52800000000000002</v>
      </c>
    </row>
    <row r="54" spans="1:31" x14ac:dyDescent="0.25">
      <c r="A54" s="97">
        <v>47</v>
      </c>
      <c r="B54" s="89">
        <v>7.2220000000000004</v>
      </c>
      <c r="C54" s="89">
        <v>6.4909999999999997</v>
      </c>
      <c r="D54" s="89">
        <v>5.8440000000000003</v>
      </c>
      <c r="E54" s="89">
        <v>5.2709999999999999</v>
      </c>
      <c r="F54" s="89">
        <v>4.7619999999999996</v>
      </c>
      <c r="G54" s="89">
        <v>4.3109999999999999</v>
      </c>
      <c r="H54" s="89">
        <v>3.9089999999999998</v>
      </c>
      <c r="I54" s="89">
        <v>3.55</v>
      </c>
      <c r="J54" s="89">
        <v>3.23</v>
      </c>
      <c r="K54" s="89">
        <v>2.944</v>
      </c>
      <c r="L54" s="89">
        <v>2.6869999999999998</v>
      </c>
      <c r="M54" s="89">
        <v>2.456</v>
      </c>
      <c r="N54" s="89">
        <v>2.2480000000000002</v>
      </c>
      <c r="O54" s="89">
        <v>2.0590000000000002</v>
      </c>
      <c r="P54" s="89">
        <v>1.8879999999999999</v>
      </c>
      <c r="Q54" s="89">
        <v>1.7330000000000001</v>
      </c>
      <c r="R54" s="89">
        <v>1.5920000000000001</v>
      </c>
      <c r="S54" s="89">
        <v>1.4630000000000001</v>
      </c>
      <c r="T54" s="89">
        <v>1.345</v>
      </c>
      <c r="U54" s="89">
        <v>1.236</v>
      </c>
      <c r="V54" s="89">
        <v>1.137</v>
      </c>
      <c r="W54" s="89">
        <v>1.0449999999999999</v>
      </c>
      <c r="X54" s="89">
        <v>0.96199999999999997</v>
      </c>
      <c r="Y54" s="89">
        <v>0.88600000000000001</v>
      </c>
      <c r="Z54" s="89">
        <v>0.81499999999999995</v>
      </c>
      <c r="AA54" s="89">
        <v>0.751</v>
      </c>
      <c r="AB54" s="89">
        <v>0.69199999999999995</v>
      </c>
      <c r="AC54" s="89">
        <v>0.63700000000000001</v>
      </c>
      <c r="AD54" s="89">
        <v>0.58799999999999997</v>
      </c>
      <c r="AE54" s="89">
        <v>0.54200000000000004</v>
      </c>
    </row>
    <row r="55" spans="1:31" x14ac:dyDescent="0.25">
      <c r="A55" s="97">
        <v>48</v>
      </c>
      <c r="B55" s="89">
        <v>7.7880000000000003</v>
      </c>
      <c r="C55" s="89">
        <v>6.9829999999999997</v>
      </c>
      <c r="D55" s="89">
        <v>6.2720000000000002</v>
      </c>
      <c r="E55" s="89">
        <v>5.6429999999999998</v>
      </c>
      <c r="F55" s="89">
        <v>5.0860000000000003</v>
      </c>
      <c r="G55" s="89">
        <v>4.5919999999999996</v>
      </c>
      <c r="H55" s="89">
        <v>4.1539999999999999</v>
      </c>
      <c r="I55" s="89">
        <v>3.7639999999999998</v>
      </c>
      <c r="J55" s="89">
        <v>3.4169999999999998</v>
      </c>
      <c r="K55" s="89">
        <v>3.1070000000000002</v>
      </c>
      <c r="L55" s="89">
        <v>2.83</v>
      </c>
      <c r="M55" s="89">
        <v>2.581</v>
      </c>
      <c r="N55" s="89">
        <v>2.3570000000000002</v>
      </c>
      <c r="O55" s="89">
        <v>2.1560000000000001</v>
      </c>
      <c r="P55" s="89">
        <v>1.9730000000000001</v>
      </c>
      <c r="Q55" s="89">
        <v>1.8080000000000001</v>
      </c>
      <c r="R55" s="89">
        <v>1.6579999999999999</v>
      </c>
      <c r="S55" s="89">
        <v>1.5209999999999999</v>
      </c>
      <c r="T55" s="89">
        <v>1.3959999999999999</v>
      </c>
      <c r="U55" s="89">
        <v>1.282</v>
      </c>
      <c r="V55" s="89">
        <v>1.1779999999999999</v>
      </c>
      <c r="W55" s="89">
        <v>1.081</v>
      </c>
      <c r="X55" s="89">
        <v>0.99399999999999999</v>
      </c>
      <c r="Y55" s="89">
        <v>0.91400000000000003</v>
      </c>
      <c r="Z55" s="89">
        <v>0.84099999999999997</v>
      </c>
      <c r="AA55" s="89">
        <v>0.77300000000000002</v>
      </c>
      <c r="AB55" s="89">
        <v>0.71199999999999997</v>
      </c>
      <c r="AC55" s="89">
        <v>0.65500000000000003</v>
      </c>
      <c r="AD55" s="89">
        <v>0.60399999999999998</v>
      </c>
      <c r="AE55" s="89">
        <v>0.55700000000000005</v>
      </c>
    </row>
    <row r="56" spans="1:31" x14ac:dyDescent="0.25">
      <c r="A56" s="97">
        <v>49</v>
      </c>
      <c r="B56" s="89">
        <v>8.42</v>
      </c>
      <c r="C56" s="89">
        <v>7.5330000000000004</v>
      </c>
      <c r="D56" s="89">
        <v>6.7489999999999997</v>
      </c>
      <c r="E56" s="89">
        <v>6.0570000000000004</v>
      </c>
      <c r="F56" s="89">
        <v>5.4459999999999997</v>
      </c>
      <c r="G56" s="89">
        <v>4.9050000000000002</v>
      </c>
      <c r="H56" s="89">
        <v>4.4260000000000002</v>
      </c>
      <c r="I56" s="89">
        <v>4.0010000000000003</v>
      </c>
      <c r="J56" s="89">
        <v>3.6240000000000001</v>
      </c>
      <c r="K56" s="89">
        <v>3.2869999999999999</v>
      </c>
      <c r="L56" s="89">
        <v>2.9870000000000001</v>
      </c>
      <c r="M56" s="89">
        <v>2.7189999999999999</v>
      </c>
      <c r="N56" s="89">
        <v>2.4780000000000002</v>
      </c>
      <c r="O56" s="89">
        <v>2.262</v>
      </c>
      <c r="P56" s="89">
        <v>2.0659999999999998</v>
      </c>
      <c r="Q56" s="89">
        <v>1.89</v>
      </c>
      <c r="R56" s="89">
        <v>1.73</v>
      </c>
      <c r="S56" s="89">
        <v>1.585</v>
      </c>
      <c r="T56" s="89">
        <v>1.452</v>
      </c>
      <c r="U56" s="89">
        <v>1.3320000000000001</v>
      </c>
      <c r="V56" s="89">
        <v>1.2210000000000001</v>
      </c>
      <c r="W56" s="89">
        <v>1.1200000000000001</v>
      </c>
      <c r="X56" s="89">
        <v>1.028</v>
      </c>
      <c r="Y56" s="89">
        <v>0.94499999999999995</v>
      </c>
      <c r="Z56" s="89">
        <v>0.86799999999999999</v>
      </c>
      <c r="AA56" s="89">
        <v>0.79800000000000004</v>
      </c>
      <c r="AB56" s="89">
        <v>0.73299999999999998</v>
      </c>
      <c r="AC56" s="89">
        <v>0.67500000000000004</v>
      </c>
      <c r="AD56" s="89">
        <v>0.621</v>
      </c>
      <c r="AE56" s="89">
        <v>0.57199999999999995</v>
      </c>
    </row>
    <row r="57" spans="1:31" x14ac:dyDescent="0.25">
      <c r="A57" s="97">
        <v>50</v>
      </c>
      <c r="B57" s="89">
        <v>9.1259999999999994</v>
      </c>
      <c r="C57" s="89">
        <v>8.1460000000000008</v>
      </c>
      <c r="D57" s="89">
        <v>7.282</v>
      </c>
      <c r="E57" s="89">
        <v>6.52</v>
      </c>
      <c r="F57" s="89">
        <v>5.8479999999999999</v>
      </c>
      <c r="G57" s="89">
        <v>5.2539999999999996</v>
      </c>
      <c r="H57" s="89">
        <v>4.7290000000000001</v>
      </c>
      <c r="I57" s="89">
        <v>4.2649999999999997</v>
      </c>
      <c r="J57" s="89">
        <v>3.8530000000000002</v>
      </c>
      <c r="K57" s="89">
        <v>3.4870000000000001</v>
      </c>
      <c r="L57" s="89">
        <v>3.161</v>
      </c>
      <c r="M57" s="89">
        <v>2.871</v>
      </c>
      <c r="N57" s="89">
        <v>2.6110000000000002</v>
      </c>
      <c r="O57" s="89">
        <v>2.3780000000000001</v>
      </c>
      <c r="P57" s="89">
        <v>2.1680000000000001</v>
      </c>
      <c r="Q57" s="89">
        <v>1.98</v>
      </c>
      <c r="R57" s="89">
        <v>1.8089999999999999</v>
      </c>
      <c r="S57" s="89">
        <v>1.6539999999999999</v>
      </c>
      <c r="T57" s="89">
        <v>1.5129999999999999</v>
      </c>
      <c r="U57" s="89">
        <v>1.385</v>
      </c>
      <c r="V57" s="89">
        <v>1.2689999999999999</v>
      </c>
      <c r="W57" s="89">
        <v>1.1619999999999999</v>
      </c>
      <c r="X57" s="89">
        <v>1.0660000000000001</v>
      </c>
      <c r="Y57" s="89">
        <v>0.97799999999999998</v>
      </c>
      <c r="Z57" s="89">
        <v>0.89700000000000002</v>
      </c>
      <c r="AA57" s="89">
        <v>0.82399999999999995</v>
      </c>
      <c r="AB57" s="89">
        <v>0.75600000000000001</v>
      </c>
      <c r="AC57" s="89">
        <v>0.69499999999999995</v>
      </c>
      <c r="AD57" s="89">
        <v>0.63900000000000001</v>
      </c>
      <c r="AE57" s="89">
        <v>0.58799999999999997</v>
      </c>
    </row>
    <row r="58" spans="1:31" x14ac:dyDescent="0.25">
      <c r="A58" s="97">
        <v>51</v>
      </c>
      <c r="B58" s="89">
        <v>9.9160000000000004</v>
      </c>
      <c r="C58" s="89">
        <v>8.8320000000000007</v>
      </c>
      <c r="D58" s="89">
        <v>7.8780000000000001</v>
      </c>
      <c r="E58" s="89">
        <v>7.0369999999999999</v>
      </c>
      <c r="F58" s="89">
        <v>6.2969999999999997</v>
      </c>
      <c r="G58" s="89">
        <v>5.6440000000000001</v>
      </c>
      <c r="H58" s="89">
        <v>5.0670000000000002</v>
      </c>
      <c r="I58" s="89">
        <v>4.5579999999999998</v>
      </c>
      <c r="J58" s="89">
        <v>4.1079999999999997</v>
      </c>
      <c r="K58" s="89">
        <v>3.7090000000000001</v>
      </c>
      <c r="L58" s="89">
        <v>3.3540000000000001</v>
      </c>
      <c r="M58" s="89">
        <v>3.0390000000000001</v>
      </c>
      <c r="N58" s="89">
        <v>2.758</v>
      </c>
      <c r="O58" s="89">
        <v>2.5059999999999998</v>
      </c>
      <c r="P58" s="89">
        <v>2.2810000000000001</v>
      </c>
      <c r="Q58" s="89">
        <v>2.0779999999999998</v>
      </c>
      <c r="R58" s="89">
        <v>1.895</v>
      </c>
      <c r="S58" s="89">
        <v>1.7290000000000001</v>
      </c>
      <c r="T58" s="89">
        <v>1.58</v>
      </c>
      <c r="U58" s="89">
        <v>1.444</v>
      </c>
      <c r="V58" s="89">
        <v>1.32</v>
      </c>
      <c r="W58" s="89">
        <v>1.208</v>
      </c>
      <c r="X58" s="89">
        <v>1.1060000000000001</v>
      </c>
      <c r="Y58" s="89">
        <v>1.0129999999999999</v>
      </c>
      <c r="Z58" s="89">
        <v>0.92900000000000005</v>
      </c>
      <c r="AA58" s="89">
        <v>0.85199999999999998</v>
      </c>
      <c r="AB58" s="89">
        <v>0.78100000000000003</v>
      </c>
      <c r="AC58" s="89">
        <v>0.71699999999999997</v>
      </c>
      <c r="AD58" s="89">
        <v>0.65900000000000003</v>
      </c>
      <c r="AE58" s="89">
        <v>0.60599999999999998</v>
      </c>
    </row>
    <row r="59" spans="1:31" x14ac:dyDescent="0.25">
      <c r="A59" s="97">
        <v>52</v>
      </c>
      <c r="B59" s="89">
        <v>10.798999999999999</v>
      </c>
      <c r="C59" s="89">
        <v>9.6</v>
      </c>
      <c r="D59" s="89">
        <v>8.5449999999999999</v>
      </c>
      <c r="E59" s="89">
        <v>7.6159999999999997</v>
      </c>
      <c r="F59" s="89">
        <v>6.798</v>
      </c>
      <c r="G59" s="89">
        <v>6.0789999999999997</v>
      </c>
      <c r="H59" s="89">
        <v>5.444</v>
      </c>
      <c r="I59" s="89">
        <v>4.8849999999999998</v>
      </c>
      <c r="J59" s="89">
        <v>4.391</v>
      </c>
      <c r="K59" s="89">
        <v>3.9550000000000001</v>
      </c>
      <c r="L59" s="89">
        <v>3.569</v>
      </c>
      <c r="M59" s="89">
        <v>3.2250000000000001</v>
      </c>
      <c r="N59" s="89">
        <v>2.92</v>
      </c>
      <c r="O59" s="89">
        <v>2.6480000000000001</v>
      </c>
      <c r="P59" s="89">
        <v>2.4039999999999999</v>
      </c>
      <c r="Q59" s="89">
        <v>2.1859999999999999</v>
      </c>
      <c r="R59" s="89">
        <v>1.99</v>
      </c>
      <c r="S59" s="89">
        <v>1.8120000000000001</v>
      </c>
      <c r="T59" s="89">
        <v>1.6519999999999999</v>
      </c>
      <c r="U59" s="89">
        <v>1.508</v>
      </c>
      <c r="V59" s="89">
        <v>1.377</v>
      </c>
      <c r="W59" s="89">
        <v>1.2569999999999999</v>
      </c>
      <c r="X59" s="89">
        <v>1.149</v>
      </c>
      <c r="Y59" s="89">
        <v>1.052</v>
      </c>
      <c r="Z59" s="89">
        <v>0.96299999999999997</v>
      </c>
      <c r="AA59" s="89">
        <v>0.88200000000000001</v>
      </c>
      <c r="AB59" s="89">
        <v>0.80800000000000005</v>
      </c>
      <c r="AC59" s="89">
        <v>0.74099999999999999</v>
      </c>
      <c r="AD59" s="89">
        <v>0.68</v>
      </c>
      <c r="AE59" s="89">
        <v>0.625</v>
      </c>
    </row>
    <row r="60" spans="1:31" x14ac:dyDescent="0.25">
      <c r="A60" s="97">
        <v>53</v>
      </c>
      <c r="B60" s="89">
        <v>11.788</v>
      </c>
      <c r="C60" s="89">
        <v>10.46</v>
      </c>
      <c r="D60" s="89">
        <v>9.2919999999999998</v>
      </c>
      <c r="E60" s="89">
        <v>8.2639999999999993</v>
      </c>
      <c r="F60" s="89">
        <v>7.36</v>
      </c>
      <c r="G60" s="89">
        <v>6.5659999999999998</v>
      </c>
      <c r="H60" s="89">
        <v>5.8659999999999997</v>
      </c>
      <c r="I60" s="89">
        <v>5.2510000000000003</v>
      </c>
      <c r="J60" s="89">
        <v>4.7080000000000002</v>
      </c>
      <c r="K60" s="89">
        <v>4.2300000000000004</v>
      </c>
      <c r="L60" s="89">
        <v>3.8069999999999999</v>
      </c>
      <c r="M60" s="89">
        <v>3.4329999999999998</v>
      </c>
      <c r="N60" s="89">
        <v>3.1</v>
      </c>
      <c r="O60" s="89">
        <v>2.8050000000000002</v>
      </c>
      <c r="P60" s="89">
        <v>2.5409999999999999</v>
      </c>
      <c r="Q60" s="89">
        <v>2.3050000000000002</v>
      </c>
      <c r="R60" s="89">
        <v>2.0939999999999999</v>
      </c>
      <c r="S60" s="89">
        <v>1.9039999999999999</v>
      </c>
      <c r="T60" s="89">
        <v>1.732</v>
      </c>
      <c r="U60" s="89">
        <v>1.5780000000000001</v>
      </c>
      <c r="V60" s="89">
        <v>1.4379999999999999</v>
      </c>
      <c r="W60" s="89">
        <v>1.3109999999999999</v>
      </c>
      <c r="X60" s="89">
        <v>1.1970000000000001</v>
      </c>
      <c r="Y60" s="89">
        <v>1.093</v>
      </c>
      <c r="Z60" s="89">
        <v>1</v>
      </c>
      <c r="AA60" s="89">
        <v>0.91400000000000003</v>
      </c>
      <c r="AB60" s="89">
        <v>0.83699999999999997</v>
      </c>
      <c r="AC60" s="89">
        <v>0.76700000000000002</v>
      </c>
      <c r="AD60" s="89">
        <v>0.70299999999999996</v>
      </c>
      <c r="AE60" s="89">
        <v>0.64500000000000002</v>
      </c>
    </row>
    <row r="61" spans="1:31" x14ac:dyDescent="0.25">
      <c r="A61" s="97">
        <v>54</v>
      </c>
      <c r="B61" s="89">
        <v>12.897</v>
      </c>
      <c r="C61" s="89">
        <v>11.425000000000001</v>
      </c>
      <c r="D61" s="89">
        <v>10.129</v>
      </c>
      <c r="E61" s="89">
        <v>8.9909999999999997</v>
      </c>
      <c r="F61" s="89">
        <v>7.99</v>
      </c>
      <c r="G61" s="89">
        <v>7.1109999999999998</v>
      </c>
      <c r="H61" s="89">
        <v>6.3390000000000004</v>
      </c>
      <c r="I61" s="89">
        <v>5.66</v>
      </c>
      <c r="J61" s="89">
        <v>5.0629999999999997</v>
      </c>
      <c r="K61" s="89">
        <v>4.5369999999999999</v>
      </c>
      <c r="L61" s="89">
        <v>4.0730000000000004</v>
      </c>
      <c r="M61" s="89">
        <v>3.6640000000000001</v>
      </c>
      <c r="N61" s="89">
        <v>3.3010000000000002</v>
      </c>
      <c r="O61" s="89">
        <v>2.9790000000000001</v>
      </c>
      <c r="P61" s="89">
        <v>2.6930000000000001</v>
      </c>
      <c r="Q61" s="89">
        <v>2.4369999999999998</v>
      </c>
      <c r="R61" s="89">
        <v>2.2090000000000001</v>
      </c>
      <c r="S61" s="89">
        <v>2.004</v>
      </c>
      <c r="T61" s="89">
        <v>1.82</v>
      </c>
      <c r="U61" s="89">
        <v>1.6539999999999999</v>
      </c>
      <c r="V61" s="89">
        <v>1.5049999999999999</v>
      </c>
      <c r="W61" s="89">
        <v>1.37</v>
      </c>
      <c r="X61" s="89">
        <v>1.248</v>
      </c>
      <c r="Y61" s="89">
        <v>1.139</v>
      </c>
      <c r="Z61" s="89">
        <v>1.04</v>
      </c>
      <c r="AA61" s="89">
        <v>0.95</v>
      </c>
      <c r="AB61" s="89">
        <v>0.86799999999999999</v>
      </c>
      <c r="AC61" s="89">
        <v>0.79500000000000004</v>
      </c>
      <c r="AD61" s="89">
        <v>0.72799999999999998</v>
      </c>
      <c r="AE61" s="89">
        <v>0.66700000000000004</v>
      </c>
    </row>
    <row r="62" spans="1:31" x14ac:dyDescent="0.25">
      <c r="A62" s="97">
        <v>55</v>
      </c>
      <c r="B62" s="89">
        <v>14.138999999999999</v>
      </c>
      <c r="C62" s="89">
        <v>12.506</v>
      </c>
      <c r="D62" s="89">
        <v>11.069000000000001</v>
      </c>
      <c r="E62" s="89">
        <v>9.8059999999999992</v>
      </c>
      <c r="F62" s="89">
        <v>8.6969999999999992</v>
      </c>
      <c r="G62" s="89">
        <v>7.7240000000000002</v>
      </c>
      <c r="H62" s="89">
        <v>6.8689999999999998</v>
      </c>
      <c r="I62" s="89">
        <v>6.1189999999999998</v>
      </c>
      <c r="J62" s="89">
        <v>5.46</v>
      </c>
      <c r="K62" s="89">
        <v>4.8810000000000002</v>
      </c>
      <c r="L62" s="89">
        <v>4.3710000000000004</v>
      </c>
      <c r="M62" s="89">
        <v>3.9209999999999998</v>
      </c>
      <c r="N62" s="89">
        <v>3.524</v>
      </c>
      <c r="O62" s="89">
        <v>3.173</v>
      </c>
      <c r="P62" s="89">
        <v>2.8610000000000002</v>
      </c>
      <c r="Q62" s="89">
        <v>2.5840000000000001</v>
      </c>
      <c r="R62" s="89">
        <v>2.3359999999999999</v>
      </c>
      <c r="S62" s="89">
        <v>2.1150000000000002</v>
      </c>
      <c r="T62" s="89">
        <v>1.917</v>
      </c>
      <c r="U62" s="89">
        <v>1.7390000000000001</v>
      </c>
      <c r="V62" s="89">
        <v>1.579</v>
      </c>
      <c r="W62" s="89">
        <v>1.4339999999999999</v>
      </c>
      <c r="X62" s="89">
        <v>1.3049999999999999</v>
      </c>
      <c r="Y62" s="89">
        <v>1.1890000000000001</v>
      </c>
      <c r="Z62" s="89">
        <v>1.083</v>
      </c>
      <c r="AA62" s="89">
        <v>0.98799999999999999</v>
      </c>
      <c r="AB62" s="89">
        <v>0.90200000000000002</v>
      </c>
      <c r="AC62" s="89">
        <v>0.82499999999999996</v>
      </c>
      <c r="AD62" s="89">
        <v>0.754</v>
      </c>
      <c r="AE62" s="89">
        <v>0.69099999999999995</v>
      </c>
    </row>
    <row r="63" spans="1:31" x14ac:dyDescent="0.25">
      <c r="A63" s="97">
        <v>56</v>
      </c>
      <c r="B63" s="89">
        <v>15.532999999999999</v>
      </c>
      <c r="C63" s="89">
        <v>13.72</v>
      </c>
      <c r="D63" s="89">
        <v>12.124000000000001</v>
      </c>
      <c r="E63" s="89">
        <v>10.722</v>
      </c>
      <c r="F63" s="89">
        <v>9.4909999999999997</v>
      </c>
      <c r="G63" s="89">
        <v>8.4109999999999996</v>
      </c>
      <c r="H63" s="89">
        <v>7.4640000000000004</v>
      </c>
      <c r="I63" s="89">
        <v>6.6340000000000003</v>
      </c>
      <c r="J63" s="89">
        <v>5.9050000000000002</v>
      </c>
      <c r="K63" s="89">
        <v>5.266</v>
      </c>
      <c r="L63" s="89">
        <v>4.7039999999999997</v>
      </c>
      <c r="M63" s="89">
        <v>4.21</v>
      </c>
      <c r="N63" s="89">
        <v>3.774</v>
      </c>
      <c r="O63" s="89">
        <v>3.3889999999999998</v>
      </c>
      <c r="P63" s="89">
        <v>3.0489999999999999</v>
      </c>
      <c r="Q63" s="89">
        <v>2.7469999999999999</v>
      </c>
      <c r="R63" s="89">
        <v>2.4780000000000002</v>
      </c>
      <c r="S63" s="89">
        <v>2.238</v>
      </c>
      <c r="T63" s="89">
        <v>2.024</v>
      </c>
      <c r="U63" s="89">
        <v>1.8320000000000001</v>
      </c>
      <c r="V63" s="89">
        <v>1.66</v>
      </c>
      <c r="W63" s="89">
        <v>1.5049999999999999</v>
      </c>
      <c r="X63" s="89">
        <v>1.367</v>
      </c>
      <c r="Y63" s="89">
        <v>1.2430000000000001</v>
      </c>
      <c r="Z63" s="89">
        <v>1.131</v>
      </c>
      <c r="AA63" s="89">
        <v>1.03</v>
      </c>
      <c r="AB63" s="89">
        <v>0.93899999999999995</v>
      </c>
      <c r="AC63" s="89">
        <v>0.85699999999999998</v>
      </c>
      <c r="AD63" s="89">
        <v>0.78300000000000003</v>
      </c>
      <c r="AE63" s="89">
        <v>0.71699999999999997</v>
      </c>
    </row>
    <row r="64" spans="1:31" x14ac:dyDescent="0.25">
      <c r="A64" s="97">
        <v>57</v>
      </c>
      <c r="B64" s="89">
        <v>17.097999999999999</v>
      </c>
      <c r="C64" s="89">
        <v>15.083</v>
      </c>
      <c r="D64" s="89">
        <v>13.31</v>
      </c>
      <c r="E64" s="89">
        <v>11.752000000000001</v>
      </c>
      <c r="F64" s="89">
        <v>10.385</v>
      </c>
      <c r="G64" s="89">
        <v>9.1850000000000005</v>
      </c>
      <c r="H64" s="89">
        <v>8.1340000000000003</v>
      </c>
      <c r="I64" s="89">
        <v>7.2130000000000001</v>
      </c>
      <c r="J64" s="89">
        <v>6.4059999999999997</v>
      </c>
      <c r="K64" s="89">
        <v>5.6989999999999998</v>
      </c>
      <c r="L64" s="89">
        <v>5.0780000000000003</v>
      </c>
      <c r="M64" s="89">
        <v>4.5330000000000004</v>
      </c>
      <c r="N64" s="89">
        <v>4.0540000000000003</v>
      </c>
      <c r="O64" s="89">
        <v>3.6309999999999998</v>
      </c>
      <c r="P64" s="89">
        <v>3.258</v>
      </c>
      <c r="Q64" s="89">
        <v>2.9279999999999999</v>
      </c>
      <c r="R64" s="89">
        <v>2.6349999999999998</v>
      </c>
      <c r="S64" s="89">
        <v>2.3740000000000001</v>
      </c>
      <c r="T64" s="89">
        <v>2.1419999999999999</v>
      </c>
      <c r="U64" s="89">
        <v>1.9350000000000001</v>
      </c>
      <c r="V64" s="89">
        <v>1.75</v>
      </c>
      <c r="W64" s="89">
        <v>1.583</v>
      </c>
      <c r="X64" s="89">
        <v>1.4350000000000001</v>
      </c>
      <c r="Y64" s="89">
        <v>1.302</v>
      </c>
      <c r="Z64" s="89">
        <v>1.1830000000000001</v>
      </c>
      <c r="AA64" s="89">
        <v>1.0760000000000001</v>
      </c>
      <c r="AB64" s="89">
        <v>0.98</v>
      </c>
      <c r="AC64" s="89">
        <v>0.89300000000000002</v>
      </c>
      <c r="AD64" s="89">
        <v>0.81499999999999995</v>
      </c>
      <c r="AE64" s="89">
        <v>0.74399999999999999</v>
      </c>
    </row>
    <row r="65" spans="1:31" x14ac:dyDescent="0.25">
      <c r="A65" s="97">
        <v>58</v>
      </c>
      <c r="B65" s="89">
        <v>18.853999999999999</v>
      </c>
      <c r="C65" s="89">
        <v>16.616</v>
      </c>
      <c r="D65" s="89">
        <v>14.644</v>
      </c>
      <c r="E65" s="89">
        <v>12.911</v>
      </c>
      <c r="F65" s="89">
        <v>11.39</v>
      </c>
      <c r="G65" s="89">
        <v>10.055999999999999</v>
      </c>
      <c r="H65" s="89">
        <v>8.8879999999999999</v>
      </c>
      <c r="I65" s="89">
        <v>7.8650000000000002</v>
      </c>
      <c r="J65" s="89">
        <v>6.9690000000000003</v>
      </c>
      <c r="K65" s="89">
        <v>6.1849999999999996</v>
      </c>
      <c r="L65" s="89">
        <v>5.4989999999999997</v>
      </c>
      <c r="M65" s="89">
        <v>4.8970000000000002</v>
      </c>
      <c r="N65" s="89">
        <v>4.3680000000000003</v>
      </c>
      <c r="O65" s="89">
        <v>3.903</v>
      </c>
      <c r="P65" s="89">
        <v>3.4929999999999999</v>
      </c>
      <c r="Q65" s="89">
        <v>3.1309999999999998</v>
      </c>
      <c r="R65" s="89">
        <v>2.8109999999999999</v>
      </c>
      <c r="S65" s="89">
        <v>2.5270000000000001</v>
      </c>
      <c r="T65" s="89">
        <v>2.274</v>
      </c>
      <c r="U65" s="89">
        <v>2.0489999999999999</v>
      </c>
      <c r="V65" s="89">
        <v>1.849</v>
      </c>
      <c r="W65" s="89">
        <v>1.669</v>
      </c>
      <c r="X65" s="89">
        <v>1.51</v>
      </c>
      <c r="Y65" s="89">
        <v>1.3680000000000001</v>
      </c>
      <c r="Z65" s="89">
        <v>1.2410000000000001</v>
      </c>
      <c r="AA65" s="89">
        <v>1.1259999999999999</v>
      </c>
      <c r="AB65" s="89">
        <v>1.024</v>
      </c>
      <c r="AC65" s="89">
        <v>0.93200000000000005</v>
      </c>
      <c r="AD65" s="89">
        <v>0.84899999999999998</v>
      </c>
      <c r="AE65" s="89">
        <v>0.77500000000000002</v>
      </c>
    </row>
    <row r="66" spans="1:31" x14ac:dyDescent="0.25">
      <c r="A66" s="97">
        <v>59</v>
      </c>
      <c r="B66" s="89">
        <v>20.827999999999999</v>
      </c>
      <c r="C66" s="89">
        <v>18.338999999999999</v>
      </c>
      <c r="D66" s="89">
        <v>16.143999999999998</v>
      </c>
      <c r="E66" s="89">
        <v>14.215999999999999</v>
      </c>
      <c r="F66" s="89">
        <v>12.522</v>
      </c>
      <c r="G66" s="89">
        <v>11.038</v>
      </c>
      <c r="H66" s="89">
        <v>9.7370000000000001</v>
      </c>
      <c r="I66" s="89">
        <v>8.6</v>
      </c>
      <c r="J66" s="89">
        <v>7.6040000000000001</v>
      </c>
      <c r="K66" s="89">
        <v>6.734</v>
      </c>
      <c r="L66" s="89">
        <v>5.9720000000000004</v>
      </c>
      <c r="M66" s="89">
        <v>5.306</v>
      </c>
      <c r="N66" s="89">
        <v>4.7210000000000001</v>
      </c>
      <c r="O66" s="89">
        <v>4.2080000000000002</v>
      </c>
      <c r="P66" s="89">
        <v>3.7559999999999998</v>
      </c>
      <c r="Q66" s="89">
        <v>3.359</v>
      </c>
      <c r="R66" s="89">
        <v>3.008</v>
      </c>
      <c r="S66" s="89">
        <v>2.6970000000000001</v>
      </c>
      <c r="T66" s="89">
        <v>2.4209999999999998</v>
      </c>
      <c r="U66" s="89">
        <v>2.177</v>
      </c>
      <c r="V66" s="89">
        <v>1.9590000000000001</v>
      </c>
      <c r="W66" s="89">
        <v>1.7649999999999999</v>
      </c>
      <c r="X66" s="89">
        <v>1.593</v>
      </c>
      <c r="Y66" s="89">
        <v>1.44</v>
      </c>
      <c r="Z66" s="89">
        <v>1.304</v>
      </c>
      <c r="AA66" s="89">
        <v>1.181</v>
      </c>
      <c r="AB66" s="89">
        <v>1.0720000000000001</v>
      </c>
      <c r="AC66" s="89">
        <v>0.97399999999999998</v>
      </c>
      <c r="AD66" s="89">
        <v>0.88600000000000001</v>
      </c>
      <c r="AE66" s="89">
        <v>0.80700000000000005</v>
      </c>
    </row>
    <row r="67" spans="1:31" x14ac:dyDescent="0.25">
      <c r="A67" s="97">
        <v>60</v>
      </c>
      <c r="B67" s="89">
        <v>23.047999999999998</v>
      </c>
      <c r="C67" s="89">
        <v>20.277999999999999</v>
      </c>
      <c r="D67" s="89">
        <v>17.835000000000001</v>
      </c>
      <c r="E67" s="89">
        <v>15.686999999999999</v>
      </c>
      <c r="F67" s="89">
        <v>13.8</v>
      </c>
      <c r="G67" s="89">
        <v>12.145</v>
      </c>
      <c r="H67" s="89">
        <v>10.696999999999999</v>
      </c>
      <c r="I67" s="89">
        <v>9.4290000000000003</v>
      </c>
      <c r="J67" s="89">
        <v>8.3209999999999997</v>
      </c>
      <c r="K67" s="89">
        <v>7.3529999999999998</v>
      </c>
      <c r="L67" s="89">
        <v>6.5069999999999997</v>
      </c>
      <c r="M67" s="89">
        <v>5.7670000000000003</v>
      </c>
      <c r="N67" s="89">
        <v>5.1189999999999998</v>
      </c>
      <c r="O67" s="89">
        <v>4.5510000000000002</v>
      </c>
      <c r="P67" s="89">
        <v>4.0519999999999996</v>
      </c>
      <c r="Q67" s="89">
        <v>3.6139999999999999</v>
      </c>
      <c r="R67" s="89">
        <v>3.2280000000000002</v>
      </c>
      <c r="S67" s="89">
        <v>2.887</v>
      </c>
      <c r="T67" s="89">
        <v>2.5859999999999999</v>
      </c>
      <c r="U67" s="89">
        <v>2.319</v>
      </c>
      <c r="V67" s="89">
        <v>2.0819999999999999</v>
      </c>
      <c r="W67" s="89">
        <v>1.871</v>
      </c>
      <c r="X67" s="89">
        <v>1.6859999999999999</v>
      </c>
      <c r="Y67" s="89">
        <v>1.5209999999999999</v>
      </c>
      <c r="Z67" s="89">
        <v>1.373</v>
      </c>
      <c r="AA67" s="89">
        <v>1.242</v>
      </c>
      <c r="AB67" s="89">
        <v>1.125</v>
      </c>
      <c r="AC67" s="89">
        <v>1.02</v>
      </c>
      <c r="AD67" s="89">
        <v>0.92700000000000005</v>
      </c>
      <c r="AE67" s="89">
        <v>0.84299999999999997</v>
      </c>
    </row>
    <row r="68" spans="1:31" x14ac:dyDescent="0.25">
      <c r="A68" s="97">
        <v>61</v>
      </c>
      <c r="B68" s="89">
        <v>25.545999999999999</v>
      </c>
      <c r="C68" s="89">
        <v>22.463000000000001</v>
      </c>
      <c r="D68" s="89">
        <v>19.741</v>
      </c>
      <c r="E68" s="89">
        <v>17.346</v>
      </c>
      <c r="F68" s="89">
        <v>15.242000000000001</v>
      </c>
      <c r="G68" s="89">
        <v>13.397</v>
      </c>
      <c r="H68" s="89">
        <v>11.78</v>
      </c>
      <c r="I68" s="89">
        <v>10.367000000000001</v>
      </c>
      <c r="J68" s="89">
        <v>9.1319999999999997</v>
      </c>
      <c r="K68" s="89">
        <v>8.0530000000000008</v>
      </c>
      <c r="L68" s="89">
        <v>7.1109999999999998</v>
      </c>
      <c r="M68" s="89">
        <v>6.2880000000000003</v>
      </c>
      <c r="N68" s="89">
        <v>5.569</v>
      </c>
      <c r="O68" s="89">
        <v>4.9390000000000001</v>
      </c>
      <c r="P68" s="89">
        <v>4.3860000000000001</v>
      </c>
      <c r="Q68" s="89">
        <v>3.9020000000000001</v>
      </c>
      <c r="R68" s="89">
        <v>3.4769999999999999</v>
      </c>
      <c r="S68" s="89">
        <v>3.101</v>
      </c>
      <c r="T68" s="89">
        <v>2.77</v>
      </c>
      <c r="U68" s="89">
        <v>2.4780000000000002</v>
      </c>
      <c r="V68" s="89">
        <v>2.2200000000000002</v>
      </c>
      <c r="W68" s="89">
        <v>1.99</v>
      </c>
      <c r="X68" s="89">
        <v>1.788</v>
      </c>
      <c r="Y68" s="89">
        <v>1.61</v>
      </c>
      <c r="Z68" s="89">
        <v>1.4510000000000001</v>
      </c>
      <c r="AA68" s="89">
        <v>1.3089999999999999</v>
      </c>
      <c r="AB68" s="89">
        <v>1.1839999999999999</v>
      </c>
      <c r="AC68" s="89">
        <v>1.0720000000000001</v>
      </c>
      <c r="AD68" s="89">
        <v>0.97199999999999998</v>
      </c>
      <c r="AE68" s="89">
        <v>0.88300000000000001</v>
      </c>
    </row>
    <row r="69" spans="1:31" x14ac:dyDescent="0.25">
      <c r="A69" s="97">
        <v>62</v>
      </c>
      <c r="B69" s="89">
        <v>28.361000000000001</v>
      </c>
      <c r="C69" s="89">
        <v>24.927</v>
      </c>
      <c r="D69" s="89">
        <v>21.891999999999999</v>
      </c>
      <c r="E69" s="89">
        <v>19.221</v>
      </c>
      <c r="F69" s="89">
        <v>16.872</v>
      </c>
      <c r="G69" s="89">
        <v>14.811999999999999</v>
      </c>
      <c r="H69" s="89">
        <v>13.007</v>
      </c>
      <c r="I69" s="89">
        <v>11.429</v>
      </c>
      <c r="J69" s="89">
        <v>10.048999999999999</v>
      </c>
      <c r="K69" s="89">
        <v>8.8460000000000001</v>
      </c>
      <c r="L69" s="89">
        <v>7.7949999999999999</v>
      </c>
      <c r="M69" s="89">
        <v>6.8780000000000001</v>
      </c>
      <c r="N69" s="89">
        <v>6.077</v>
      </c>
      <c r="O69" s="89">
        <v>5.3769999999999998</v>
      </c>
      <c r="P69" s="89">
        <v>4.7640000000000002</v>
      </c>
      <c r="Q69" s="89">
        <v>4.2279999999999998</v>
      </c>
      <c r="R69" s="89">
        <v>3.7570000000000001</v>
      </c>
      <c r="S69" s="89">
        <v>3.3420000000000001</v>
      </c>
      <c r="T69" s="89">
        <v>2.9780000000000002</v>
      </c>
      <c r="U69" s="89">
        <v>2.657</v>
      </c>
      <c r="V69" s="89">
        <v>2.3740000000000001</v>
      </c>
      <c r="W69" s="89">
        <v>2.1230000000000002</v>
      </c>
      <c r="X69" s="89">
        <v>1.903</v>
      </c>
      <c r="Y69" s="89">
        <v>1.7090000000000001</v>
      </c>
      <c r="Z69" s="89">
        <v>1.5369999999999999</v>
      </c>
      <c r="AA69" s="89">
        <v>1.3839999999999999</v>
      </c>
      <c r="AB69" s="89">
        <v>1.2490000000000001</v>
      </c>
      <c r="AC69" s="89">
        <v>1.1279999999999999</v>
      </c>
      <c r="AD69" s="89">
        <v>1.0209999999999999</v>
      </c>
      <c r="AE69" s="89">
        <v>0.92600000000000005</v>
      </c>
    </row>
    <row r="70" spans="1:31" x14ac:dyDescent="0.25">
      <c r="A70" s="97">
        <v>63</v>
      </c>
      <c r="B70" s="89">
        <v>31.535</v>
      </c>
      <c r="C70" s="89">
        <v>27.707000000000001</v>
      </c>
      <c r="D70" s="89">
        <v>24.321999999999999</v>
      </c>
      <c r="E70" s="89">
        <v>21.34</v>
      </c>
      <c r="F70" s="89">
        <v>18.716000000000001</v>
      </c>
      <c r="G70" s="89">
        <v>16.413</v>
      </c>
      <c r="H70" s="89">
        <v>14.396000000000001</v>
      </c>
      <c r="I70" s="89">
        <v>12.631</v>
      </c>
      <c r="J70" s="89">
        <v>11.089</v>
      </c>
      <c r="K70" s="89">
        <v>9.7449999999999992</v>
      </c>
      <c r="L70" s="89">
        <v>8.5709999999999997</v>
      </c>
      <c r="M70" s="89">
        <v>7.548</v>
      </c>
      <c r="N70" s="89">
        <v>6.6539999999999999</v>
      </c>
      <c r="O70" s="89">
        <v>5.8739999999999997</v>
      </c>
      <c r="P70" s="89">
        <v>5.1920000000000002</v>
      </c>
      <c r="Q70" s="89">
        <v>4.5960000000000001</v>
      </c>
      <c r="R70" s="89">
        <v>4.0730000000000004</v>
      </c>
      <c r="S70" s="89">
        <v>3.6139999999999999</v>
      </c>
      <c r="T70" s="89">
        <v>3.2120000000000002</v>
      </c>
      <c r="U70" s="89">
        <v>2.8580000000000001</v>
      </c>
      <c r="V70" s="89">
        <v>2.5470000000000002</v>
      </c>
      <c r="W70" s="89">
        <v>2.2709999999999999</v>
      </c>
      <c r="X70" s="89">
        <v>2.0310000000000001</v>
      </c>
      <c r="Y70" s="89">
        <v>1.82</v>
      </c>
      <c r="Z70" s="89">
        <v>1.633</v>
      </c>
      <c r="AA70" s="89">
        <v>1.4670000000000001</v>
      </c>
      <c r="AB70" s="89">
        <v>1.321</v>
      </c>
      <c r="AC70" s="89">
        <v>1.1910000000000001</v>
      </c>
      <c r="AD70" s="89">
        <v>1.0760000000000001</v>
      </c>
      <c r="AE70" s="89">
        <v>0.97399999999999998</v>
      </c>
    </row>
    <row r="71" spans="1:31" x14ac:dyDescent="0.25">
      <c r="A71" s="97">
        <v>64</v>
      </c>
      <c r="B71" s="89">
        <v>35.116999999999997</v>
      </c>
      <c r="C71" s="89">
        <v>30.849</v>
      </c>
      <c r="D71" s="89">
        <v>27.07</v>
      </c>
      <c r="E71" s="89">
        <v>23.738</v>
      </c>
      <c r="F71" s="89">
        <v>20.805</v>
      </c>
      <c r="G71" s="89">
        <v>18.228999999999999</v>
      </c>
      <c r="H71" s="89">
        <v>15.971</v>
      </c>
      <c r="I71" s="89">
        <v>13.996</v>
      </c>
      <c r="J71" s="89">
        <v>12.27</v>
      </c>
      <c r="K71" s="89">
        <v>10.765000000000001</v>
      </c>
      <c r="L71" s="89">
        <v>9.452</v>
      </c>
      <c r="M71" s="89">
        <v>8.3079999999999998</v>
      </c>
      <c r="N71" s="89">
        <v>7.3090000000000002</v>
      </c>
      <c r="O71" s="89">
        <v>6.4379999999999997</v>
      </c>
      <c r="P71" s="89">
        <v>5.6769999999999996</v>
      </c>
      <c r="Q71" s="89">
        <v>5.0129999999999999</v>
      </c>
      <c r="R71" s="89">
        <v>4.4320000000000004</v>
      </c>
      <c r="S71" s="89">
        <v>3.9220000000000002</v>
      </c>
      <c r="T71" s="89">
        <v>3.476</v>
      </c>
      <c r="U71" s="89">
        <v>3.085</v>
      </c>
      <c r="V71" s="89">
        <v>2.742</v>
      </c>
      <c r="W71" s="89">
        <v>2.4390000000000001</v>
      </c>
      <c r="X71" s="89">
        <v>2.1749999999999998</v>
      </c>
      <c r="Y71" s="89">
        <v>1.944</v>
      </c>
      <c r="Z71" s="89">
        <v>1.74</v>
      </c>
      <c r="AA71" s="89">
        <v>1.56</v>
      </c>
      <c r="AB71" s="89">
        <v>1.401</v>
      </c>
      <c r="AC71" s="89">
        <v>1.2609999999999999</v>
      </c>
      <c r="AD71" s="89">
        <v>1.137</v>
      </c>
      <c r="AE71" s="89">
        <v>1.0269999999999999</v>
      </c>
    </row>
    <row r="72" spans="1:31" x14ac:dyDescent="0.25">
      <c r="A72" s="97">
        <v>65</v>
      </c>
      <c r="B72" s="89">
        <v>39.164999999999999</v>
      </c>
      <c r="C72" s="89">
        <v>34.402000000000001</v>
      </c>
      <c r="D72" s="89">
        <v>30.181000000000001</v>
      </c>
      <c r="E72" s="89">
        <v>26.454999999999998</v>
      </c>
      <c r="F72" s="89">
        <v>23.172999999999998</v>
      </c>
      <c r="G72" s="89">
        <v>20.289000000000001</v>
      </c>
      <c r="H72" s="89">
        <v>17.759</v>
      </c>
      <c r="I72" s="89">
        <v>15.545999999999999</v>
      </c>
      <c r="J72" s="89">
        <v>13.612</v>
      </c>
      <c r="K72" s="89">
        <v>11.926</v>
      </c>
      <c r="L72" s="89">
        <v>10.455</v>
      </c>
      <c r="M72" s="89">
        <v>9.1720000000000006</v>
      </c>
      <c r="N72" s="89">
        <v>8.0549999999999997</v>
      </c>
      <c r="O72" s="89">
        <v>7.08</v>
      </c>
      <c r="P72" s="89">
        <v>6.2290000000000001</v>
      </c>
      <c r="Q72" s="89">
        <v>5.4880000000000004</v>
      </c>
      <c r="R72" s="89">
        <v>4.8390000000000004</v>
      </c>
      <c r="S72" s="89">
        <v>4.2720000000000002</v>
      </c>
      <c r="T72" s="89">
        <v>3.7759999999999998</v>
      </c>
      <c r="U72" s="89">
        <v>3.3420000000000001</v>
      </c>
      <c r="V72" s="89">
        <v>2.9620000000000002</v>
      </c>
      <c r="W72" s="89">
        <v>2.6280000000000001</v>
      </c>
      <c r="X72" s="89">
        <v>2.3380000000000001</v>
      </c>
      <c r="Y72" s="89">
        <v>2.0830000000000002</v>
      </c>
      <c r="Z72" s="89">
        <v>1.86</v>
      </c>
      <c r="AA72" s="89">
        <v>1.6639999999999999</v>
      </c>
      <c r="AB72" s="89">
        <v>1.4910000000000001</v>
      </c>
      <c r="AC72" s="89">
        <v>1.339</v>
      </c>
      <c r="AD72" s="89">
        <v>1.204</v>
      </c>
      <c r="AE72" s="89">
        <v>1.0860000000000001</v>
      </c>
    </row>
    <row r="73" spans="1:31" x14ac:dyDescent="0.25">
      <c r="A73" s="97">
        <v>66</v>
      </c>
      <c r="B73" s="89">
        <v>43.75</v>
      </c>
      <c r="C73" s="89">
        <v>38.429000000000002</v>
      </c>
      <c r="D73" s="89">
        <v>33.709000000000003</v>
      </c>
      <c r="E73" s="89">
        <v>29.539000000000001</v>
      </c>
      <c r="F73" s="89">
        <v>25.863</v>
      </c>
      <c r="G73" s="89">
        <v>22.63</v>
      </c>
      <c r="H73" s="89">
        <v>19.794</v>
      </c>
      <c r="I73" s="89">
        <v>17.311</v>
      </c>
      <c r="J73" s="89">
        <v>15.14</v>
      </c>
      <c r="K73" s="89">
        <v>13.247999999999999</v>
      </c>
      <c r="L73" s="89">
        <v>11.597</v>
      </c>
      <c r="M73" s="89">
        <v>10.157999999999999</v>
      </c>
      <c r="N73" s="89">
        <v>8.9049999999999994</v>
      </c>
      <c r="O73" s="89">
        <v>7.8109999999999999</v>
      </c>
      <c r="P73" s="89">
        <v>6.859</v>
      </c>
      <c r="Q73" s="89">
        <v>6.0289999999999999</v>
      </c>
      <c r="R73" s="89">
        <v>5.3040000000000003</v>
      </c>
      <c r="S73" s="89">
        <v>4.67</v>
      </c>
      <c r="T73" s="89">
        <v>4.117</v>
      </c>
      <c r="U73" s="89">
        <v>3.6339999999999999</v>
      </c>
      <c r="V73" s="89">
        <v>3.2130000000000001</v>
      </c>
      <c r="W73" s="89">
        <v>2.8420000000000001</v>
      </c>
      <c r="X73" s="89">
        <v>2.5209999999999999</v>
      </c>
      <c r="Y73" s="89">
        <v>2.2410000000000001</v>
      </c>
      <c r="Z73" s="89">
        <v>1.9950000000000001</v>
      </c>
      <c r="AA73" s="89">
        <v>1.78</v>
      </c>
      <c r="AB73" s="89">
        <v>1.591</v>
      </c>
      <c r="AC73" s="89">
        <v>1.4259999999999999</v>
      </c>
      <c r="AD73" s="89">
        <v>1.28</v>
      </c>
      <c r="AE73" s="89">
        <v>1.1519999999999999</v>
      </c>
    </row>
    <row r="74" spans="1:31" x14ac:dyDescent="0.25">
      <c r="A74" s="97">
        <v>67</v>
      </c>
      <c r="B74" s="89">
        <v>48.948</v>
      </c>
      <c r="C74" s="89">
        <v>43</v>
      </c>
      <c r="D74" s="89">
        <v>37.716000000000001</v>
      </c>
      <c r="E74" s="89">
        <v>33.043999999999997</v>
      </c>
      <c r="F74" s="89">
        <v>28.922000000000001</v>
      </c>
      <c r="G74" s="89">
        <v>25.295000000000002</v>
      </c>
      <c r="H74" s="89">
        <v>22.111000000000001</v>
      </c>
      <c r="I74" s="89">
        <v>19.323</v>
      </c>
      <c r="J74" s="89">
        <v>16.882999999999999</v>
      </c>
      <c r="K74" s="89">
        <v>14.757</v>
      </c>
      <c r="L74" s="89">
        <v>12.901999999999999</v>
      </c>
      <c r="M74" s="89">
        <v>11.284000000000001</v>
      </c>
      <c r="N74" s="89">
        <v>9.8759999999999994</v>
      </c>
      <c r="O74" s="89">
        <v>8.6479999999999997</v>
      </c>
      <c r="P74" s="89">
        <v>7.5780000000000003</v>
      </c>
      <c r="Q74" s="89">
        <v>6.6470000000000002</v>
      </c>
      <c r="R74" s="89">
        <v>5.8339999999999996</v>
      </c>
      <c r="S74" s="89">
        <v>5.1239999999999997</v>
      </c>
      <c r="T74" s="89">
        <v>4.5060000000000002</v>
      </c>
      <c r="U74" s="89">
        <v>3.9670000000000001</v>
      </c>
      <c r="V74" s="89">
        <v>3.4969999999999999</v>
      </c>
      <c r="W74" s="89">
        <v>3.085</v>
      </c>
      <c r="X74" s="89">
        <v>2.7290000000000001</v>
      </c>
      <c r="Y74" s="89">
        <v>2.419</v>
      </c>
      <c r="Z74" s="89">
        <v>2.149</v>
      </c>
      <c r="AA74" s="89">
        <v>1.9119999999999999</v>
      </c>
      <c r="AB74" s="89">
        <v>1.7050000000000001</v>
      </c>
      <c r="AC74" s="89">
        <v>1.5229999999999999</v>
      </c>
      <c r="AD74" s="89">
        <v>1.365</v>
      </c>
      <c r="AE74" s="89">
        <v>1.2250000000000001</v>
      </c>
    </row>
    <row r="75" spans="1:31" x14ac:dyDescent="0.25">
      <c r="A75" s="97">
        <v>68</v>
      </c>
      <c r="B75" s="89">
        <v>54.854999999999997</v>
      </c>
      <c r="C75" s="89">
        <v>48.195999999999998</v>
      </c>
      <c r="D75" s="89">
        <v>42.274000000000001</v>
      </c>
      <c r="E75" s="89">
        <v>37.034999999999997</v>
      </c>
      <c r="F75" s="89">
        <v>32.408000000000001</v>
      </c>
      <c r="G75" s="89">
        <v>28.334</v>
      </c>
      <c r="H75" s="89">
        <v>24.754000000000001</v>
      </c>
      <c r="I75" s="89">
        <v>21.619</v>
      </c>
      <c r="J75" s="89">
        <v>18.873999999999999</v>
      </c>
      <c r="K75" s="89">
        <v>16.481999999999999</v>
      </c>
      <c r="L75" s="89">
        <v>14.393000000000001</v>
      </c>
      <c r="M75" s="89">
        <v>12.573</v>
      </c>
      <c r="N75" s="89">
        <v>10.987</v>
      </c>
      <c r="O75" s="89">
        <v>9.6050000000000004</v>
      </c>
      <c r="P75" s="89">
        <v>8.4009999999999998</v>
      </c>
      <c r="Q75" s="89">
        <v>7.3540000000000001</v>
      </c>
      <c r="R75" s="89">
        <v>6.4409999999999998</v>
      </c>
      <c r="S75" s="89">
        <v>5.6440000000000001</v>
      </c>
      <c r="T75" s="89">
        <v>4.9509999999999996</v>
      </c>
      <c r="U75" s="89">
        <v>4.3470000000000004</v>
      </c>
      <c r="V75" s="89">
        <v>3.8220000000000001</v>
      </c>
      <c r="W75" s="89">
        <v>3.3620000000000001</v>
      </c>
      <c r="X75" s="89">
        <v>2.9660000000000002</v>
      </c>
      <c r="Y75" s="89">
        <v>2.6219999999999999</v>
      </c>
      <c r="Z75" s="89">
        <v>2.3220000000000001</v>
      </c>
      <c r="AA75" s="89">
        <v>2.0609999999999999</v>
      </c>
      <c r="AB75" s="89">
        <v>1.8320000000000001</v>
      </c>
      <c r="AC75" s="89">
        <v>1.6339999999999999</v>
      </c>
      <c r="AD75" s="89">
        <v>1.46</v>
      </c>
      <c r="AE75" s="89">
        <v>1.3080000000000001</v>
      </c>
    </row>
    <row r="76" spans="1:31" x14ac:dyDescent="0.25">
      <c r="A76" s="97">
        <v>69</v>
      </c>
      <c r="B76" s="89">
        <v>61.582000000000001</v>
      </c>
      <c r="C76" s="89">
        <v>54.116999999999997</v>
      </c>
      <c r="D76" s="89">
        <v>47.472000000000001</v>
      </c>
      <c r="E76" s="89">
        <v>41.588000000000001</v>
      </c>
      <c r="F76" s="89">
        <v>36.387</v>
      </c>
      <c r="G76" s="89">
        <v>31.805</v>
      </c>
      <c r="H76" s="89">
        <v>27.776</v>
      </c>
      <c r="I76" s="89">
        <v>24.245000000000001</v>
      </c>
      <c r="J76" s="89">
        <v>21.154</v>
      </c>
      <c r="K76" s="89">
        <v>18.457000000000001</v>
      </c>
      <c r="L76" s="89">
        <v>16.103000000000002</v>
      </c>
      <c r="M76" s="89">
        <v>14.05</v>
      </c>
      <c r="N76" s="89">
        <v>12.262</v>
      </c>
      <c r="O76" s="89">
        <v>10.704000000000001</v>
      </c>
      <c r="P76" s="89">
        <v>9.3460000000000001</v>
      </c>
      <c r="Q76" s="89">
        <v>8.1660000000000004</v>
      </c>
      <c r="R76" s="89">
        <v>7.1379999999999999</v>
      </c>
      <c r="S76" s="89">
        <v>6.24</v>
      </c>
      <c r="T76" s="89">
        <v>5.4610000000000003</v>
      </c>
      <c r="U76" s="89">
        <v>4.7830000000000004</v>
      </c>
      <c r="V76" s="89">
        <v>4.194</v>
      </c>
      <c r="W76" s="89">
        <v>3.6779999999999999</v>
      </c>
      <c r="X76" s="89">
        <v>3.2360000000000002</v>
      </c>
      <c r="Y76" s="89">
        <v>2.8530000000000002</v>
      </c>
      <c r="Z76" s="89">
        <v>2.52</v>
      </c>
      <c r="AA76" s="89">
        <v>2.23</v>
      </c>
      <c r="AB76" s="89">
        <v>1.9770000000000001</v>
      </c>
      <c r="AC76" s="89">
        <v>1.758</v>
      </c>
      <c r="AD76" s="89">
        <v>1.5669999999999999</v>
      </c>
      <c r="AE76" s="89">
        <v>1.4</v>
      </c>
    </row>
    <row r="77" spans="1:31" x14ac:dyDescent="0.25">
      <c r="A77" s="97">
        <v>70</v>
      </c>
      <c r="B77" s="89">
        <v>69.269000000000005</v>
      </c>
      <c r="C77" s="89">
        <v>60.887</v>
      </c>
      <c r="D77" s="89">
        <v>53.417999999999999</v>
      </c>
      <c r="E77" s="89">
        <v>46.798999999999999</v>
      </c>
      <c r="F77" s="89">
        <v>40.944000000000003</v>
      </c>
      <c r="G77" s="89">
        <v>35.780999999999999</v>
      </c>
      <c r="H77" s="89">
        <v>31.241</v>
      </c>
      <c r="I77" s="89">
        <v>27.257999999999999</v>
      </c>
      <c r="J77" s="89">
        <v>23.77</v>
      </c>
      <c r="K77" s="89">
        <v>20.725999999999999</v>
      </c>
      <c r="L77" s="89">
        <v>18.068000000000001</v>
      </c>
      <c r="M77" s="89">
        <v>15.75</v>
      </c>
      <c r="N77" s="89">
        <v>13.73</v>
      </c>
      <c r="O77" s="89">
        <v>11.968999999999999</v>
      </c>
      <c r="P77" s="89">
        <v>10.435</v>
      </c>
      <c r="Q77" s="89">
        <v>9.1020000000000003</v>
      </c>
      <c r="R77" s="89">
        <v>7.94</v>
      </c>
      <c r="S77" s="89">
        <v>6.9269999999999996</v>
      </c>
      <c r="T77" s="89">
        <v>6.0469999999999997</v>
      </c>
      <c r="U77" s="89">
        <v>5.2839999999999998</v>
      </c>
      <c r="V77" s="89">
        <v>4.6210000000000004</v>
      </c>
      <c r="W77" s="89">
        <v>4.0419999999999998</v>
      </c>
      <c r="X77" s="89">
        <v>3.5459999999999998</v>
      </c>
      <c r="Y77" s="89">
        <v>3.117</v>
      </c>
      <c r="Z77" s="89">
        <v>2.7450000000000001</v>
      </c>
      <c r="AA77" s="89">
        <v>2.423</v>
      </c>
      <c r="AB77" s="89">
        <v>2.1429999999999998</v>
      </c>
      <c r="AC77" s="89">
        <v>1.9</v>
      </c>
      <c r="AD77" s="89">
        <v>1.6890000000000001</v>
      </c>
      <c r="AE77" s="89">
        <v>1.506</v>
      </c>
    </row>
    <row r="78" spans="1:31" x14ac:dyDescent="0.25">
      <c r="A78" s="97">
        <v>71</v>
      </c>
      <c r="B78" s="89">
        <v>78.052000000000007</v>
      </c>
      <c r="C78" s="89">
        <v>68.625</v>
      </c>
      <c r="D78" s="89">
        <v>60.216000000000001</v>
      </c>
      <c r="E78" s="89">
        <v>52.759</v>
      </c>
      <c r="F78" s="89">
        <v>46.158999999999999</v>
      </c>
      <c r="G78" s="89">
        <v>40.335000000000001</v>
      </c>
      <c r="H78" s="89">
        <v>35.209000000000003</v>
      </c>
      <c r="I78" s="89">
        <v>30.712</v>
      </c>
      <c r="J78" s="89">
        <v>26.771000000000001</v>
      </c>
      <c r="K78" s="89">
        <v>23.331</v>
      </c>
      <c r="L78" s="89">
        <v>20.324999999999999</v>
      </c>
      <c r="M78" s="89">
        <v>17.702999999999999</v>
      </c>
      <c r="N78" s="89">
        <v>15.417</v>
      </c>
      <c r="O78" s="89">
        <v>13.423999999999999</v>
      </c>
      <c r="P78" s="89">
        <v>11.688000000000001</v>
      </c>
      <c r="Q78" s="89">
        <v>10.179</v>
      </c>
      <c r="R78" s="89">
        <v>8.8640000000000008</v>
      </c>
      <c r="S78" s="89">
        <v>7.7169999999999996</v>
      </c>
      <c r="T78" s="89">
        <v>6.7229999999999999</v>
      </c>
      <c r="U78" s="89">
        <v>5.86</v>
      </c>
      <c r="V78" s="89">
        <v>5.1120000000000001</v>
      </c>
      <c r="W78" s="89">
        <v>4.4589999999999996</v>
      </c>
      <c r="X78" s="89">
        <v>3.9020000000000001</v>
      </c>
      <c r="Y78" s="89">
        <v>3.42</v>
      </c>
      <c r="Z78" s="89">
        <v>3.004</v>
      </c>
      <c r="AA78" s="89">
        <v>2.6429999999999998</v>
      </c>
      <c r="AB78" s="89">
        <v>2.331</v>
      </c>
      <c r="AC78" s="89">
        <v>2.0609999999999999</v>
      </c>
      <c r="AD78" s="89">
        <v>1.8280000000000001</v>
      </c>
      <c r="AE78" s="89">
        <v>1.625</v>
      </c>
    </row>
    <row r="79" spans="1:31" x14ac:dyDescent="0.25">
      <c r="A79" s="97">
        <v>72</v>
      </c>
      <c r="B79" s="89">
        <v>88.102999999999994</v>
      </c>
      <c r="C79" s="89">
        <v>77.483000000000004</v>
      </c>
      <c r="D79" s="89">
        <v>68.001000000000005</v>
      </c>
      <c r="E79" s="89">
        <v>59.587000000000003</v>
      </c>
      <c r="F79" s="89">
        <v>52.134</v>
      </c>
      <c r="G79" s="89">
        <v>45.555</v>
      </c>
      <c r="H79" s="89">
        <v>39.761000000000003</v>
      </c>
      <c r="I79" s="89">
        <v>34.674999999999997</v>
      </c>
      <c r="J79" s="89">
        <v>30.216000000000001</v>
      </c>
      <c r="K79" s="89">
        <v>26.324000000000002</v>
      </c>
      <c r="L79" s="89">
        <v>22.92</v>
      </c>
      <c r="M79" s="89">
        <v>19.95</v>
      </c>
      <c r="N79" s="89">
        <v>17.36</v>
      </c>
      <c r="O79" s="89">
        <v>15.101000000000001</v>
      </c>
      <c r="P79" s="89">
        <v>13.132</v>
      </c>
      <c r="Q79" s="89">
        <v>11.420999999999999</v>
      </c>
      <c r="R79" s="89">
        <v>9.9290000000000003</v>
      </c>
      <c r="S79" s="89">
        <v>8.6289999999999996</v>
      </c>
      <c r="T79" s="89">
        <v>7.5010000000000003</v>
      </c>
      <c r="U79" s="89">
        <v>6.5229999999999997</v>
      </c>
      <c r="V79" s="89">
        <v>5.6769999999999996</v>
      </c>
      <c r="W79" s="89">
        <v>4.9379999999999997</v>
      </c>
      <c r="X79" s="89">
        <v>4.3099999999999996</v>
      </c>
      <c r="Y79" s="89">
        <v>3.7669999999999999</v>
      </c>
      <c r="Z79" s="89">
        <v>3.2989999999999999</v>
      </c>
      <c r="AA79" s="89">
        <v>2.895</v>
      </c>
      <c r="AB79" s="89">
        <v>2.5459999999999998</v>
      </c>
      <c r="AC79" s="89">
        <v>2.2450000000000001</v>
      </c>
      <c r="AD79" s="89">
        <v>1.9850000000000001</v>
      </c>
      <c r="AE79" s="89">
        <v>1.76</v>
      </c>
    </row>
    <row r="80" spans="1:31" x14ac:dyDescent="0.25">
      <c r="A80" s="97">
        <v>73</v>
      </c>
      <c r="B80" s="89">
        <v>99.656999999999996</v>
      </c>
      <c r="C80" s="89">
        <v>87.668000000000006</v>
      </c>
      <c r="D80" s="89">
        <v>76.953999999999994</v>
      </c>
      <c r="E80" s="89">
        <v>67.441999999999993</v>
      </c>
      <c r="F80" s="89">
        <v>59.011000000000003</v>
      </c>
      <c r="G80" s="89">
        <v>51.563000000000002</v>
      </c>
      <c r="H80" s="89">
        <v>45.003</v>
      </c>
      <c r="I80" s="89">
        <v>39.241999999999997</v>
      </c>
      <c r="J80" s="89">
        <v>34.188000000000002</v>
      </c>
      <c r="K80" s="89">
        <v>29.774999999999999</v>
      </c>
      <c r="L80" s="89">
        <v>25.916</v>
      </c>
      <c r="M80" s="89">
        <v>22.545999999999999</v>
      </c>
      <c r="N80" s="89">
        <v>19.606000000000002</v>
      </c>
      <c r="O80" s="89">
        <v>17.04</v>
      </c>
      <c r="P80" s="89">
        <v>14.803000000000001</v>
      </c>
      <c r="Q80" s="89">
        <v>12.859</v>
      </c>
      <c r="R80" s="89">
        <v>11.163</v>
      </c>
      <c r="S80" s="89">
        <v>9.6850000000000005</v>
      </c>
      <c r="T80" s="89">
        <v>8.4030000000000005</v>
      </c>
      <c r="U80" s="89">
        <v>7.2919999999999998</v>
      </c>
      <c r="V80" s="89">
        <v>6.3310000000000004</v>
      </c>
      <c r="W80" s="89">
        <v>5.4930000000000003</v>
      </c>
      <c r="X80" s="89">
        <v>4.7809999999999997</v>
      </c>
      <c r="Y80" s="89">
        <v>4.1680000000000001</v>
      </c>
      <c r="Z80" s="89">
        <v>3.64</v>
      </c>
      <c r="AA80" s="89">
        <v>3.1850000000000001</v>
      </c>
      <c r="AB80" s="89">
        <v>2.7930000000000001</v>
      </c>
      <c r="AC80" s="89">
        <v>2.456</v>
      </c>
      <c r="AD80" s="89">
        <v>2.165</v>
      </c>
      <c r="AE80" s="89">
        <v>1.915</v>
      </c>
    </row>
    <row r="81" spans="1:31" x14ac:dyDescent="0.25">
      <c r="A81" s="97">
        <v>74</v>
      </c>
      <c r="B81" s="89">
        <v>112.985</v>
      </c>
      <c r="C81" s="89">
        <v>99.421000000000006</v>
      </c>
      <c r="D81" s="89">
        <v>87.287999999999997</v>
      </c>
      <c r="E81" s="89">
        <v>76.507999999999996</v>
      </c>
      <c r="F81" s="89">
        <v>66.948999999999998</v>
      </c>
      <c r="G81" s="89">
        <v>58.500999999999998</v>
      </c>
      <c r="H81" s="89">
        <v>51.057000000000002</v>
      </c>
      <c r="I81" s="89">
        <v>44.517000000000003</v>
      </c>
      <c r="J81" s="89">
        <v>38.779000000000003</v>
      </c>
      <c r="K81" s="89">
        <v>33.768000000000001</v>
      </c>
      <c r="L81" s="89">
        <v>29.382999999999999</v>
      </c>
      <c r="M81" s="89">
        <v>25.553000000000001</v>
      </c>
      <c r="N81" s="89">
        <v>22.209</v>
      </c>
      <c r="O81" s="89">
        <v>19.289000000000001</v>
      </c>
      <c r="P81" s="89">
        <v>16.742999999999999</v>
      </c>
      <c r="Q81" s="89">
        <v>14.529</v>
      </c>
      <c r="R81" s="89">
        <v>12.596</v>
      </c>
      <c r="S81" s="89">
        <v>10.911</v>
      </c>
      <c r="T81" s="89">
        <v>9.4499999999999993</v>
      </c>
      <c r="U81" s="89">
        <v>8.1839999999999993</v>
      </c>
      <c r="V81" s="89">
        <v>7.0890000000000004</v>
      </c>
      <c r="W81" s="89">
        <v>6.1360000000000001</v>
      </c>
      <c r="X81" s="89">
        <v>5.327</v>
      </c>
      <c r="Y81" s="89">
        <v>4.6319999999999997</v>
      </c>
      <c r="Z81" s="89">
        <v>4.0339999999999998</v>
      </c>
      <c r="AA81" s="89">
        <v>3.5190000000000001</v>
      </c>
      <c r="AB81" s="89">
        <v>3.077</v>
      </c>
      <c r="AC81" s="89">
        <v>2.698</v>
      </c>
      <c r="AD81" s="89">
        <v>2.3719999999999999</v>
      </c>
      <c r="AE81" s="89">
        <v>2.0920000000000001</v>
      </c>
    </row>
    <row r="82" spans="1:31" x14ac:dyDescent="0.25">
      <c r="A82" s="97">
        <v>75</v>
      </c>
      <c r="B82" s="89">
        <v>128.41300000000001</v>
      </c>
      <c r="C82" s="89">
        <v>113.02800000000001</v>
      </c>
      <c r="D82" s="89">
        <v>99.251999999999995</v>
      </c>
      <c r="E82" s="89">
        <v>87.007000000000005</v>
      </c>
      <c r="F82" s="89">
        <v>76.141999999999996</v>
      </c>
      <c r="G82" s="89">
        <v>66.537000000000006</v>
      </c>
      <c r="H82" s="89">
        <v>58.07</v>
      </c>
      <c r="I82" s="89">
        <v>50.63</v>
      </c>
      <c r="J82" s="89">
        <v>44.100999999999999</v>
      </c>
      <c r="K82" s="89">
        <v>38.398000000000003</v>
      </c>
      <c r="L82" s="89">
        <v>33.405999999999999</v>
      </c>
      <c r="M82" s="89">
        <v>29.044</v>
      </c>
      <c r="N82" s="89">
        <v>25.234999999999999</v>
      </c>
      <c r="O82" s="89">
        <v>21.905000000000001</v>
      </c>
      <c r="P82" s="89">
        <v>19</v>
      </c>
      <c r="Q82" s="89">
        <v>16.472999999999999</v>
      </c>
      <c r="R82" s="89">
        <v>14.266</v>
      </c>
      <c r="S82" s="89">
        <v>12.34</v>
      </c>
      <c r="T82" s="89">
        <v>10.67</v>
      </c>
      <c r="U82" s="89">
        <v>9.2240000000000002</v>
      </c>
      <c r="V82" s="89">
        <v>7.9729999999999999</v>
      </c>
      <c r="W82" s="89">
        <v>6.8840000000000003</v>
      </c>
      <c r="X82" s="89">
        <v>5.9619999999999997</v>
      </c>
      <c r="Y82" s="89">
        <v>5.17</v>
      </c>
      <c r="Z82" s="89">
        <v>4.4909999999999997</v>
      </c>
      <c r="AA82" s="89">
        <v>3.907</v>
      </c>
      <c r="AB82" s="89">
        <v>3.407</v>
      </c>
      <c r="AC82" s="89">
        <v>2.9790000000000001</v>
      </c>
      <c r="AD82" s="89">
        <v>2.6110000000000002</v>
      </c>
      <c r="AE82" s="89">
        <v>2.2959999999999998</v>
      </c>
    </row>
    <row r="83" spans="1:31" x14ac:dyDescent="0.25">
      <c r="A83" s="97">
        <v>76</v>
      </c>
      <c r="B83" s="89">
        <v>146.322</v>
      </c>
      <c r="C83" s="89">
        <v>128.827</v>
      </c>
      <c r="D83" s="89">
        <v>113.145</v>
      </c>
      <c r="E83" s="89">
        <v>99.197999999999993</v>
      </c>
      <c r="F83" s="89">
        <v>86.816000000000003</v>
      </c>
      <c r="G83" s="89">
        <v>75.867999999999995</v>
      </c>
      <c r="H83" s="89">
        <v>66.213999999999999</v>
      </c>
      <c r="I83" s="89">
        <v>57.73</v>
      </c>
      <c r="J83" s="89">
        <v>50.283000000000001</v>
      </c>
      <c r="K83" s="89">
        <v>43.78</v>
      </c>
      <c r="L83" s="89">
        <v>38.085000000000001</v>
      </c>
      <c r="M83" s="89">
        <v>33.106999999999999</v>
      </c>
      <c r="N83" s="89">
        <v>28.757999999999999</v>
      </c>
      <c r="O83" s="89">
        <v>24.954000000000001</v>
      </c>
      <c r="P83" s="89">
        <v>21.632999999999999</v>
      </c>
      <c r="Q83" s="89">
        <v>18.742999999999999</v>
      </c>
      <c r="R83" s="89">
        <v>16.216999999999999</v>
      </c>
      <c r="S83" s="89">
        <v>14.01</v>
      </c>
      <c r="T83" s="89">
        <v>12.096</v>
      </c>
      <c r="U83" s="89">
        <v>10.438000000000001</v>
      </c>
      <c r="V83" s="89">
        <v>9.0050000000000008</v>
      </c>
      <c r="W83" s="89">
        <v>7.7569999999999997</v>
      </c>
      <c r="X83" s="89">
        <v>6.702</v>
      </c>
      <c r="Y83" s="89">
        <v>5.798</v>
      </c>
      <c r="Z83" s="89">
        <v>5.0220000000000002</v>
      </c>
      <c r="AA83" s="89">
        <v>4.3579999999999997</v>
      </c>
      <c r="AB83" s="89">
        <v>3.7890000000000001</v>
      </c>
      <c r="AC83" s="89">
        <v>3.3039999999999998</v>
      </c>
      <c r="AD83" s="89">
        <v>2.8879999999999999</v>
      </c>
      <c r="AE83" s="89">
        <v>2.532</v>
      </c>
    </row>
    <row r="84" spans="1:31" x14ac:dyDescent="0.25">
      <c r="A84" s="97">
        <v>77</v>
      </c>
      <c r="B84" s="89">
        <v>167.17699999999999</v>
      </c>
      <c r="C84" s="89">
        <v>147.22999999999999</v>
      </c>
      <c r="D84" s="89">
        <v>129.32900000000001</v>
      </c>
      <c r="E84" s="89">
        <v>113.399</v>
      </c>
      <c r="F84" s="89">
        <v>99.25</v>
      </c>
      <c r="G84" s="89">
        <v>86.734999999999999</v>
      </c>
      <c r="H84" s="89">
        <v>75.698999999999998</v>
      </c>
      <c r="I84" s="89">
        <v>66</v>
      </c>
      <c r="J84" s="89">
        <v>57.484999999999999</v>
      </c>
      <c r="K84" s="89">
        <v>50.051000000000002</v>
      </c>
      <c r="L84" s="89">
        <v>43.54</v>
      </c>
      <c r="M84" s="89">
        <v>37.847000000000001</v>
      </c>
      <c r="N84" s="89">
        <v>32.872</v>
      </c>
      <c r="O84" s="89">
        <v>28.516999999999999</v>
      </c>
      <c r="P84" s="89">
        <v>24.712</v>
      </c>
      <c r="Q84" s="89">
        <v>21.398</v>
      </c>
      <c r="R84" s="89">
        <v>18.5</v>
      </c>
      <c r="S84" s="89">
        <v>15.965999999999999</v>
      </c>
      <c r="T84" s="89">
        <v>13.766999999999999</v>
      </c>
      <c r="U84" s="89">
        <v>11.861000000000001</v>
      </c>
      <c r="V84" s="89">
        <v>10.214</v>
      </c>
      <c r="W84" s="89">
        <v>8.7789999999999999</v>
      </c>
      <c r="X84" s="89">
        <v>7.5679999999999996</v>
      </c>
      <c r="Y84" s="89">
        <v>6.5309999999999997</v>
      </c>
      <c r="Z84" s="89">
        <v>5.6429999999999998</v>
      </c>
      <c r="AA84" s="89">
        <v>4.883</v>
      </c>
      <c r="AB84" s="89">
        <v>4.2350000000000003</v>
      </c>
      <c r="AC84" s="89">
        <v>3.6819999999999999</v>
      </c>
      <c r="AD84" s="89">
        <v>3.2090000000000001</v>
      </c>
      <c r="AE84" s="89">
        <v>2.806</v>
      </c>
    </row>
    <row r="85" spans="1:31" x14ac:dyDescent="0.25">
      <c r="A85" s="97">
        <v>78</v>
      </c>
      <c r="B85" s="89">
        <v>191.53700000000001</v>
      </c>
      <c r="C85" s="89">
        <v>168.732</v>
      </c>
      <c r="D85" s="89">
        <v>148.24</v>
      </c>
      <c r="E85" s="89">
        <v>129.99299999999999</v>
      </c>
      <c r="F85" s="89">
        <v>113.77800000000001</v>
      </c>
      <c r="G85" s="89">
        <v>99.430999999999997</v>
      </c>
      <c r="H85" s="89">
        <v>86.778000000000006</v>
      </c>
      <c r="I85" s="89">
        <v>75.659000000000006</v>
      </c>
      <c r="J85" s="89">
        <v>65.897999999999996</v>
      </c>
      <c r="K85" s="89">
        <v>57.378999999999998</v>
      </c>
      <c r="L85" s="89">
        <v>49.915999999999997</v>
      </c>
      <c r="M85" s="89">
        <v>43.390999999999998</v>
      </c>
      <c r="N85" s="89">
        <v>37.686</v>
      </c>
      <c r="O85" s="89">
        <v>32.689</v>
      </c>
      <c r="P85" s="89">
        <v>28.321000000000002</v>
      </c>
      <c r="Q85" s="89">
        <v>24.513999999999999</v>
      </c>
      <c r="R85" s="89">
        <v>21.181000000000001</v>
      </c>
      <c r="S85" s="89">
        <v>18.262</v>
      </c>
      <c r="T85" s="89">
        <v>15.728999999999999</v>
      </c>
      <c r="U85" s="89">
        <v>13.532</v>
      </c>
      <c r="V85" s="89">
        <v>11.634</v>
      </c>
      <c r="W85" s="89">
        <v>9.9779999999999998</v>
      </c>
      <c r="X85" s="89">
        <v>8.5839999999999996</v>
      </c>
      <c r="Y85" s="89">
        <v>7.39</v>
      </c>
      <c r="Z85" s="89">
        <v>6.37</v>
      </c>
      <c r="AA85" s="89">
        <v>5.4980000000000002</v>
      </c>
      <c r="AB85" s="89">
        <v>4.7549999999999999</v>
      </c>
      <c r="AC85" s="89">
        <v>4.1230000000000002</v>
      </c>
      <c r="AD85" s="89">
        <v>3.5840000000000001</v>
      </c>
      <c r="AE85" s="89">
        <v>3.125</v>
      </c>
    </row>
    <row r="86" spans="1:31" x14ac:dyDescent="0.25">
      <c r="A86" s="97">
        <v>79</v>
      </c>
      <c r="B86" s="89">
        <v>220.05199999999999</v>
      </c>
      <c r="C86" s="89">
        <v>193.91200000000001</v>
      </c>
      <c r="D86" s="89">
        <v>170.38900000000001</v>
      </c>
      <c r="E86" s="89">
        <v>149.429</v>
      </c>
      <c r="F86" s="89">
        <v>130.79</v>
      </c>
      <c r="G86" s="89">
        <v>114.295</v>
      </c>
      <c r="H86" s="89">
        <v>99.745999999999995</v>
      </c>
      <c r="I86" s="89">
        <v>86.962999999999994</v>
      </c>
      <c r="J86" s="89">
        <v>75.742999999999995</v>
      </c>
      <c r="K86" s="89">
        <v>65.954999999999998</v>
      </c>
      <c r="L86" s="89">
        <v>57.381999999999998</v>
      </c>
      <c r="M86" s="89">
        <v>49.884999999999998</v>
      </c>
      <c r="N86" s="89">
        <v>43.329000000000001</v>
      </c>
      <c r="O86" s="89">
        <v>37.582999999999998</v>
      </c>
      <c r="P86" s="89">
        <v>32.557000000000002</v>
      </c>
      <c r="Q86" s="89">
        <v>28.173999999999999</v>
      </c>
      <c r="R86" s="89">
        <v>24.332000000000001</v>
      </c>
      <c r="S86" s="89">
        <v>20.963999999999999</v>
      </c>
      <c r="T86" s="89">
        <v>18.038</v>
      </c>
      <c r="U86" s="89">
        <v>15.499000000000001</v>
      </c>
      <c r="V86" s="89">
        <v>13.304</v>
      </c>
      <c r="W86" s="89">
        <v>11.388</v>
      </c>
      <c r="X86" s="89">
        <v>9.7780000000000005</v>
      </c>
      <c r="Y86" s="89">
        <v>8.3989999999999991</v>
      </c>
      <c r="Z86" s="89">
        <v>7.2229999999999999</v>
      </c>
      <c r="AA86" s="89">
        <v>6.2190000000000003</v>
      </c>
      <c r="AB86" s="89">
        <v>5.3639999999999999</v>
      </c>
      <c r="AC86" s="89">
        <v>4.6390000000000002</v>
      </c>
      <c r="AD86" s="89">
        <v>4.0209999999999999</v>
      </c>
      <c r="AE86" s="89">
        <v>3.496</v>
      </c>
    </row>
    <row r="87" spans="1:31" x14ac:dyDescent="0.25">
      <c r="A87" s="97">
        <v>80</v>
      </c>
      <c r="B87" s="89">
        <v>253.49199999999999</v>
      </c>
      <c r="C87" s="89">
        <v>223.45400000000001</v>
      </c>
      <c r="D87" s="89">
        <v>196.381</v>
      </c>
      <c r="E87" s="89">
        <v>172.23699999999999</v>
      </c>
      <c r="F87" s="89">
        <v>150.75299999999999</v>
      </c>
      <c r="G87" s="89">
        <v>131.732</v>
      </c>
      <c r="H87" s="89">
        <v>114.955</v>
      </c>
      <c r="I87" s="89">
        <v>100.218</v>
      </c>
      <c r="J87" s="89">
        <v>87.284000000000006</v>
      </c>
      <c r="K87" s="89">
        <v>76.009</v>
      </c>
      <c r="L87" s="89">
        <v>66.135000000000005</v>
      </c>
      <c r="M87" s="89">
        <v>57.502000000000002</v>
      </c>
      <c r="N87" s="89">
        <v>49.951999999999998</v>
      </c>
      <c r="O87" s="89">
        <v>43.331000000000003</v>
      </c>
      <c r="P87" s="89">
        <v>37.536999999999999</v>
      </c>
      <c r="Q87" s="89">
        <v>32.481000000000002</v>
      </c>
      <c r="R87" s="89">
        <v>28.042999999999999</v>
      </c>
      <c r="S87" s="89">
        <v>24.148</v>
      </c>
      <c r="T87" s="89">
        <v>20.76</v>
      </c>
      <c r="U87" s="89">
        <v>17.817</v>
      </c>
      <c r="V87" s="89">
        <v>15.273</v>
      </c>
      <c r="W87" s="89">
        <v>13.048999999999999</v>
      </c>
      <c r="X87" s="89">
        <v>11.183</v>
      </c>
      <c r="Y87" s="89">
        <v>9.5869999999999997</v>
      </c>
      <c r="Z87" s="89">
        <v>8.2260000000000009</v>
      </c>
      <c r="AA87" s="89">
        <v>7.0650000000000004</v>
      </c>
      <c r="AB87" s="89">
        <v>6.0789999999999997</v>
      </c>
      <c r="AC87" s="89">
        <v>5.2430000000000003</v>
      </c>
      <c r="AD87" s="89">
        <v>4.5339999999999998</v>
      </c>
      <c r="AE87" s="89">
        <v>3.931</v>
      </c>
    </row>
    <row r="88" spans="1:31" x14ac:dyDescent="0.25">
      <c r="A88" s="97">
        <v>81</v>
      </c>
      <c r="B88" s="89">
        <v>292.80200000000002</v>
      </c>
      <c r="C88" s="89">
        <v>258.202</v>
      </c>
      <c r="D88" s="89">
        <v>226.96100000000001</v>
      </c>
      <c r="E88" s="89">
        <v>199.07400000000001</v>
      </c>
      <c r="F88" s="89">
        <v>174.238</v>
      </c>
      <c r="G88" s="89">
        <v>152.24199999999999</v>
      </c>
      <c r="H88" s="89">
        <v>132.83699999999999</v>
      </c>
      <c r="I88" s="89">
        <v>115.797</v>
      </c>
      <c r="J88" s="89">
        <v>100.84699999999999</v>
      </c>
      <c r="K88" s="89">
        <v>87.823999999999998</v>
      </c>
      <c r="L88" s="89">
        <v>76.421999999999997</v>
      </c>
      <c r="M88" s="89">
        <v>66.456999999999994</v>
      </c>
      <c r="N88" s="89">
        <v>57.741</v>
      </c>
      <c r="O88" s="89">
        <v>50.095999999999997</v>
      </c>
      <c r="P88" s="89">
        <v>43.402000000000001</v>
      </c>
      <c r="Q88" s="89">
        <v>37.558</v>
      </c>
      <c r="R88" s="89">
        <v>32.421999999999997</v>
      </c>
      <c r="S88" s="89">
        <v>27.905999999999999</v>
      </c>
      <c r="T88" s="89">
        <v>23.974</v>
      </c>
      <c r="U88" s="89">
        <v>20.556000000000001</v>
      </c>
      <c r="V88" s="89">
        <v>17.599</v>
      </c>
      <c r="W88" s="89">
        <v>15.01</v>
      </c>
      <c r="X88" s="89">
        <v>12.840999999999999</v>
      </c>
      <c r="Y88" s="89">
        <v>10.987</v>
      </c>
      <c r="Z88" s="89">
        <v>9.4079999999999995</v>
      </c>
      <c r="AA88" s="89">
        <v>8.0619999999999994</v>
      </c>
      <c r="AB88" s="89">
        <v>6.92</v>
      </c>
      <c r="AC88" s="89">
        <v>5.9539999999999997</v>
      </c>
      <c r="AD88" s="89">
        <v>5.1349999999999998</v>
      </c>
      <c r="AE88" s="89">
        <v>4.4400000000000004</v>
      </c>
    </row>
    <row r="89" spans="1:31" x14ac:dyDescent="0.25">
      <c r="A89" s="97">
        <v>82</v>
      </c>
      <c r="B89" s="89">
        <v>339.14400000000001</v>
      </c>
      <c r="C89" s="89">
        <v>299.19099999999997</v>
      </c>
      <c r="D89" s="89">
        <v>263.04700000000003</v>
      </c>
      <c r="E89" s="89">
        <v>230.74700000000001</v>
      </c>
      <c r="F89" s="89">
        <v>201.95500000000001</v>
      </c>
      <c r="G89" s="89">
        <v>176.441</v>
      </c>
      <c r="H89" s="89">
        <v>153.93</v>
      </c>
      <c r="I89" s="89">
        <v>134.166</v>
      </c>
      <c r="J89" s="89">
        <v>116.83199999999999</v>
      </c>
      <c r="K89" s="89">
        <v>101.746</v>
      </c>
      <c r="L89" s="89">
        <v>88.543999999999997</v>
      </c>
      <c r="M89" s="89">
        <v>77.010999999999996</v>
      </c>
      <c r="N89" s="89">
        <v>66.926000000000002</v>
      </c>
      <c r="O89" s="89">
        <v>58.078000000000003</v>
      </c>
      <c r="P89" s="89">
        <v>50.326999999999998</v>
      </c>
      <c r="Q89" s="89">
        <v>43.557000000000002</v>
      </c>
      <c r="R89" s="89">
        <v>37.6</v>
      </c>
      <c r="S89" s="89">
        <v>32.353999999999999</v>
      </c>
      <c r="T89" s="89">
        <v>27.78</v>
      </c>
      <c r="U89" s="89">
        <v>23.8</v>
      </c>
      <c r="V89" s="89">
        <v>20.355</v>
      </c>
      <c r="W89" s="89">
        <v>17.332000000000001</v>
      </c>
      <c r="X89" s="89">
        <v>14.804</v>
      </c>
      <c r="Y89" s="89">
        <v>12.644</v>
      </c>
      <c r="Z89" s="89">
        <v>10.804</v>
      </c>
      <c r="AA89" s="89">
        <v>9.2390000000000008</v>
      </c>
      <c r="AB89" s="89">
        <v>7.9119999999999999</v>
      </c>
      <c r="AC89" s="89">
        <v>6.7919999999999998</v>
      </c>
      <c r="AD89" s="89">
        <v>5.8419999999999996</v>
      </c>
      <c r="AE89" s="89">
        <v>5.0389999999999997</v>
      </c>
    </row>
    <row r="90" spans="1:31" x14ac:dyDescent="0.25">
      <c r="A90" s="97">
        <v>83</v>
      </c>
      <c r="B90" s="89">
        <v>393.92500000000001</v>
      </c>
      <c r="C90" s="89">
        <v>347.67599999999999</v>
      </c>
      <c r="D90" s="89">
        <v>305.75099999999998</v>
      </c>
      <c r="E90" s="89">
        <v>268.23899999999998</v>
      </c>
      <c r="F90" s="89">
        <v>234.76300000000001</v>
      </c>
      <c r="G90" s="89">
        <v>205.08</v>
      </c>
      <c r="H90" s="89">
        <v>178.88300000000001</v>
      </c>
      <c r="I90" s="89">
        <v>155.88800000000001</v>
      </c>
      <c r="J90" s="89">
        <v>135.727</v>
      </c>
      <c r="K90" s="89">
        <v>118.199</v>
      </c>
      <c r="L90" s="89">
        <v>102.86799999999999</v>
      </c>
      <c r="M90" s="89">
        <v>89.481999999999999</v>
      </c>
      <c r="N90" s="89">
        <v>77.784000000000006</v>
      </c>
      <c r="O90" s="89">
        <v>67.518000000000001</v>
      </c>
      <c r="P90" s="89">
        <v>58.521999999999998</v>
      </c>
      <c r="Q90" s="89">
        <v>50.664000000000001</v>
      </c>
      <c r="R90" s="89">
        <v>43.74</v>
      </c>
      <c r="S90" s="89">
        <v>37.631</v>
      </c>
      <c r="T90" s="89">
        <v>32.298999999999999</v>
      </c>
      <c r="U90" s="89">
        <v>27.652999999999999</v>
      </c>
      <c r="V90" s="89">
        <v>23.626999999999999</v>
      </c>
      <c r="W90" s="89">
        <v>20.087</v>
      </c>
      <c r="X90" s="89">
        <v>17.132999999999999</v>
      </c>
      <c r="Y90" s="89">
        <v>14.608000000000001</v>
      </c>
      <c r="Z90" s="89">
        <v>12.46</v>
      </c>
      <c r="AA90" s="89">
        <v>10.632999999999999</v>
      </c>
      <c r="AB90" s="89">
        <v>9.0860000000000003</v>
      </c>
      <c r="AC90" s="89">
        <v>7.782</v>
      </c>
      <c r="AD90" s="89">
        <v>6.6779999999999999</v>
      </c>
      <c r="AE90" s="89">
        <v>5.7460000000000004</v>
      </c>
    </row>
    <row r="91" spans="1:31" x14ac:dyDescent="0.25">
      <c r="A91" s="97">
        <v>84</v>
      </c>
      <c r="B91" s="89">
        <v>458.899</v>
      </c>
      <c r="C91" s="89">
        <v>405.226</v>
      </c>
      <c r="D91" s="89">
        <v>356.464</v>
      </c>
      <c r="E91" s="89">
        <v>312.77600000000001</v>
      </c>
      <c r="F91" s="89">
        <v>273.73899999999998</v>
      </c>
      <c r="G91" s="89">
        <v>239.09800000000001</v>
      </c>
      <c r="H91" s="89">
        <v>208.51400000000001</v>
      </c>
      <c r="I91" s="89">
        <v>181.67099999999999</v>
      </c>
      <c r="J91" s="89">
        <v>158.143</v>
      </c>
      <c r="K91" s="89">
        <v>137.71100000000001</v>
      </c>
      <c r="L91" s="89">
        <v>119.852</v>
      </c>
      <c r="M91" s="89">
        <v>104.27</v>
      </c>
      <c r="N91" s="89">
        <v>90.661000000000001</v>
      </c>
      <c r="O91" s="89">
        <v>78.718000000000004</v>
      </c>
      <c r="P91" s="89">
        <v>68.251999999999995</v>
      </c>
      <c r="Q91" s="89">
        <v>59.109000000000002</v>
      </c>
      <c r="R91" s="89">
        <v>51.042999999999999</v>
      </c>
      <c r="S91" s="89">
        <v>43.911999999999999</v>
      </c>
      <c r="T91" s="89">
        <v>37.68</v>
      </c>
      <c r="U91" s="89">
        <v>32.243000000000002</v>
      </c>
      <c r="V91" s="89">
        <v>27.527000000000001</v>
      </c>
      <c r="W91" s="89">
        <v>23.369</v>
      </c>
      <c r="X91" s="89">
        <v>19.905000000000001</v>
      </c>
      <c r="Y91" s="89">
        <v>16.946000000000002</v>
      </c>
      <c r="Z91" s="89">
        <v>14.428000000000001</v>
      </c>
      <c r="AA91" s="89">
        <v>12.289</v>
      </c>
      <c r="AB91" s="89">
        <v>10.48</v>
      </c>
      <c r="AC91" s="89">
        <v>8.9559999999999995</v>
      </c>
      <c r="AD91" s="89">
        <v>7.6689999999999996</v>
      </c>
      <c r="AE91" s="89">
        <v>6.5819999999999999</v>
      </c>
    </row>
    <row r="92" spans="1:31" x14ac:dyDescent="0.25">
      <c r="A92" s="97">
        <v>85</v>
      </c>
      <c r="B92" s="89">
        <v>536.072</v>
      </c>
      <c r="C92" s="89">
        <v>473.63499999999999</v>
      </c>
      <c r="D92" s="89">
        <v>416.77800000000002</v>
      </c>
      <c r="E92" s="89">
        <v>365.76499999999999</v>
      </c>
      <c r="F92" s="89">
        <v>320.12</v>
      </c>
      <c r="G92" s="89">
        <v>279.57499999999999</v>
      </c>
      <c r="H92" s="89">
        <v>243.76</v>
      </c>
      <c r="I92" s="89">
        <v>212.32900000000001</v>
      </c>
      <c r="J92" s="89">
        <v>184.78399999999999</v>
      </c>
      <c r="K92" s="89">
        <v>160.892</v>
      </c>
      <c r="L92" s="89">
        <v>140.023</v>
      </c>
      <c r="M92" s="89">
        <v>121.831</v>
      </c>
      <c r="N92" s="89">
        <v>105.95399999999999</v>
      </c>
      <c r="O92" s="89">
        <v>92.024000000000001</v>
      </c>
      <c r="P92" s="89">
        <v>79.817999999999998</v>
      </c>
      <c r="Q92" s="89">
        <v>69.155000000000001</v>
      </c>
      <c r="R92" s="89">
        <v>59.738</v>
      </c>
      <c r="S92" s="89">
        <v>51.396999999999998</v>
      </c>
      <c r="T92" s="89">
        <v>44.097999999999999</v>
      </c>
      <c r="U92" s="89">
        <v>37.719000000000001</v>
      </c>
      <c r="V92" s="89">
        <v>32.18</v>
      </c>
      <c r="W92" s="89">
        <v>27.283000000000001</v>
      </c>
      <c r="X92" s="89">
        <v>23.210999999999999</v>
      </c>
      <c r="Y92" s="89">
        <v>19.731000000000002</v>
      </c>
      <c r="Z92" s="89">
        <v>16.773</v>
      </c>
      <c r="AA92" s="89">
        <v>14.26</v>
      </c>
      <c r="AB92" s="89">
        <v>12.138</v>
      </c>
      <c r="AC92" s="89">
        <v>10.352</v>
      </c>
      <c r="AD92" s="89">
        <v>8.8450000000000006</v>
      </c>
      <c r="AE92" s="89">
        <v>7.5750000000000002</v>
      </c>
    </row>
  </sheetData>
  <sheetProtection algorithmName="SHA-512" hashValue="uY11KzqiscOLQISW52FsYNSFrocCefNkgiYPhoCTBeO65+gNWMHZH5DHcvGPu8mkB6HlOdGaF8aTeSJjFdV3jQ==" saltValue="9h1JaJPeosm2NgYnxFR8fw==" spinCount="100000" sheet="1" objects="1" scenarios="1"/>
  <conditionalFormatting sqref="A6:A21">
    <cfRule type="expression" dxfId="113" priority="1" stopIfTrue="1">
      <formula>MOD(ROW(),2)=0</formula>
    </cfRule>
    <cfRule type="expression" dxfId="112" priority="2" stopIfTrue="1">
      <formula>MOD(ROW(),2)&lt;&gt;0</formula>
    </cfRule>
  </conditionalFormatting>
  <conditionalFormatting sqref="A27:A92">
    <cfRule type="expression" dxfId="111" priority="21" stopIfTrue="1">
      <formula>MOD(ROW(),2)=0</formula>
    </cfRule>
    <cfRule type="expression" dxfId="110" priority="22" stopIfTrue="1">
      <formula>MOD(ROW(),2)&lt;&gt;0</formula>
    </cfRule>
  </conditionalFormatting>
  <conditionalFormatting sqref="B17:B21">
    <cfRule type="expression" dxfId="109" priority="5" stopIfTrue="1">
      <formula>MOD(ROW(),2)=0</formula>
    </cfRule>
    <cfRule type="expression" dxfId="108" priority="6" stopIfTrue="1">
      <formula>MOD(ROW(),2)&lt;&gt;0</formula>
    </cfRule>
  </conditionalFormatting>
  <conditionalFormatting sqref="B6:AE21">
    <cfRule type="expression" dxfId="107" priority="31" stopIfTrue="1">
      <formula>MOD(ROW(),2)=0</formula>
    </cfRule>
    <cfRule type="expression" dxfId="106" priority="32" stopIfTrue="1">
      <formula>MOD(ROW(),2)&lt;&gt;0</formula>
    </cfRule>
  </conditionalFormatting>
  <conditionalFormatting sqref="B26:AE92">
    <cfRule type="expression" dxfId="105" priority="15" stopIfTrue="1">
      <formula>MOD(ROW(),2)=0</formula>
    </cfRule>
    <cfRule type="expression" dxfId="104" priority="16" stopIfTrue="1">
      <formula>MOD(ROW(),2)&lt;&gt;0</formula>
    </cfRule>
  </conditionalFormatting>
  <conditionalFormatting sqref="C6:AE21">
    <cfRule type="expression" dxfId="103" priority="19" stopIfTrue="1">
      <formula>MOD(ROW(),2)=0</formula>
    </cfRule>
    <cfRule type="expression" dxfId="102" priority="20" stopIfTrue="1">
      <formula>MOD(ROW(),2)&lt;&gt;0</formula>
    </cfRule>
  </conditionalFormatting>
  <hyperlinks>
    <hyperlink ref="B24" location="Sheet1!A1" display="Assumptions" xr:uid="{A7D1390C-97D8-4683-BD85-93458605E7E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33"/>
  <dimension ref="A1:I81"/>
  <sheetViews>
    <sheetView showGridLines="0" zoomScale="85" zoomScaleNormal="85" workbookViewId="0">
      <selection activeCell="A4" sqref="A4"/>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CILON - x-810</v>
      </c>
      <c r="B3" s="42"/>
      <c r="C3" s="42"/>
      <c r="D3" s="42"/>
      <c r="E3" s="42"/>
      <c r="F3" s="42"/>
      <c r="G3" s="42"/>
      <c r="H3" s="42"/>
      <c r="I3" s="42"/>
    </row>
    <row r="4" spans="1:9" x14ac:dyDescent="0.25">
      <c r="A4" s="44"/>
    </row>
    <row r="6" spans="1:9" x14ac:dyDescent="0.25">
      <c r="A6" s="87" t="s">
        <v>290</v>
      </c>
      <c r="B6" s="185" t="s">
        <v>291</v>
      </c>
      <c r="C6" s="185"/>
      <c r="D6" s="185"/>
      <c r="E6" s="185"/>
    </row>
    <row r="7" spans="1:9" x14ac:dyDescent="0.25">
      <c r="A7" s="81" t="s">
        <v>804</v>
      </c>
      <c r="B7" s="185" t="s">
        <v>324</v>
      </c>
      <c r="C7" s="185"/>
      <c r="D7" s="185"/>
      <c r="E7" s="185"/>
    </row>
    <row r="8" spans="1:9" x14ac:dyDescent="0.25">
      <c r="A8" s="81" t="s">
        <v>805</v>
      </c>
      <c r="B8" s="185" t="s">
        <v>85</v>
      </c>
      <c r="C8" s="185"/>
      <c r="D8" s="185"/>
      <c r="E8" s="185"/>
    </row>
    <row r="9" spans="1:9" x14ac:dyDescent="0.25">
      <c r="A9" s="81" t="s">
        <v>296</v>
      </c>
      <c r="B9" s="185" t="s">
        <v>714</v>
      </c>
      <c r="C9" s="185"/>
      <c r="D9" s="185"/>
      <c r="E9" s="185"/>
    </row>
    <row r="10" spans="1:9" x14ac:dyDescent="0.25">
      <c r="A10" s="81" t="s">
        <v>6</v>
      </c>
      <c r="B10" s="185" t="s">
        <v>715</v>
      </c>
      <c r="C10" s="185"/>
      <c r="D10" s="185"/>
      <c r="E10" s="185"/>
    </row>
    <row r="11" spans="1:9" x14ac:dyDescent="0.25">
      <c r="A11" s="81" t="s">
        <v>299</v>
      </c>
      <c r="B11" s="185" t="s">
        <v>364</v>
      </c>
      <c r="C11" s="185"/>
      <c r="D11" s="185"/>
      <c r="E11" s="185"/>
    </row>
    <row r="12" spans="1:9" x14ac:dyDescent="0.25">
      <c r="A12" s="81" t="s">
        <v>301</v>
      </c>
      <c r="B12" s="185" t="s">
        <v>716</v>
      </c>
      <c r="C12" s="185"/>
      <c r="D12" s="185"/>
      <c r="E12" s="185"/>
    </row>
    <row r="13" spans="1:9" x14ac:dyDescent="0.25">
      <c r="A13" s="81" t="s">
        <v>806</v>
      </c>
      <c r="B13" s="185">
        <v>0</v>
      </c>
      <c r="C13" s="185"/>
      <c r="D13" s="185"/>
      <c r="E13" s="185"/>
    </row>
    <row r="14" spans="1:9" x14ac:dyDescent="0.25">
      <c r="A14" s="81" t="s">
        <v>305</v>
      </c>
      <c r="B14" s="185">
        <v>810</v>
      </c>
      <c r="C14" s="185"/>
      <c r="D14" s="185"/>
      <c r="E14" s="185"/>
    </row>
    <row r="15" spans="1:9" x14ac:dyDescent="0.25">
      <c r="A15" s="81" t="s">
        <v>307</v>
      </c>
      <c r="B15" s="185" t="s">
        <v>717</v>
      </c>
      <c r="C15" s="185"/>
      <c r="D15" s="185"/>
      <c r="E15" s="185"/>
    </row>
    <row r="16" spans="1:9" x14ac:dyDescent="0.25">
      <c r="A16" s="81" t="s">
        <v>825</v>
      </c>
      <c r="B16" s="185" t="s">
        <v>718</v>
      </c>
      <c r="C16" s="185"/>
      <c r="D16" s="185"/>
      <c r="E16" s="185"/>
    </row>
    <row r="17" spans="1:5" x14ac:dyDescent="0.25">
      <c r="A17" s="81" t="s">
        <v>803</v>
      </c>
      <c r="B17" s="185"/>
      <c r="C17" s="185"/>
      <c r="D17" s="185"/>
      <c r="E17" s="185"/>
    </row>
    <row r="18" spans="1:5" x14ac:dyDescent="0.25">
      <c r="A18" s="81" t="s">
        <v>313</v>
      </c>
      <c r="B18" s="188">
        <v>45184</v>
      </c>
      <c r="C18" s="185"/>
      <c r="D18" s="185"/>
      <c r="E18" s="185"/>
    </row>
    <row r="19" spans="1:5" x14ac:dyDescent="0.25">
      <c r="A19" s="81" t="s">
        <v>315</v>
      </c>
      <c r="B19" s="188"/>
      <c r="C19" s="185"/>
      <c r="D19" s="185"/>
      <c r="E19" s="185"/>
    </row>
    <row r="20" spans="1:5" x14ac:dyDescent="0.25">
      <c r="A20" s="81" t="s">
        <v>317</v>
      </c>
      <c r="B20" s="185" t="s">
        <v>331</v>
      </c>
      <c r="C20" s="185"/>
      <c r="D20" s="185"/>
      <c r="E20" s="185"/>
    </row>
    <row r="21" spans="1:5" x14ac:dyDescent="0.25">
      <c r="A21" s="77" t="s">
        <v>323</v>
      </c>
      <c r="B21" s="185" t="s">
        <v>332</v>
      </c>
      <c r="C21" s="185"/>
      <c r="D21" s="185"/>
      <c r="E21" s="185"/>
    </row>
    <row r="23" spans="1:5" x14ac:dyDescent="0.25">
      <c r="B23" s="102" t="str">
        <f>HYPERLINK("#'Factor List'!A1","Back to Factor List")</f>
        <v>Back to Factor List</v>
      </c>
    </row>
    <row r="24" spans="1:5" x14ac:dyDescent="0.25">
      <c r="B24" s="102" t="s">
        <v>13</v>
      </c>
    </row>
    <row r="25" spans="1:5" x14ac:dyDescent="0.25">
      <c r="B25" s="102"/>
    </row>
    <row r="26" spans="1:5" x14ac:dyDescent="0.25">
      <c r="A26" s="83" t="s">
        <v>373</v>
      </c>
      <c r="B26" s="83" t="s">
        <v>973</v>
      </c>
      <c r="C26" s="83" t="s">
        <v>974</v>
      </c>
      <c r="D26" s="83" t="s">
        <v>975</v>
      </c>
      <c r="E26" s="83" t="s">
        <v>976</v>
      </c>
    </row>
    <row r="27" spans="1:5" x14ac:dyDescent="0.25">
      <c r="A27" s="98" t="s">
        <v>977</v>
      </c>
      <c r="B27" s="99">
        <v>0.246</v>
      </c>
      <c r="C27" s="99">
        <v>0.23599999999999999</v>
      </c>
      <c r="D27" s="99">
        <v>0.22700000000000001</v>
      </c>
      <c r="E27" s="99">
        <v>0.218</v>
      </c>
    </row>
    <row r="28" spans="1:5" x14ac:dyDescent="0.25">
      <c r="A28" s="84">
        <v>21</v>
      </c>
      <c r="B28" s="99">
        <v>0.249</v>
      </c>
      <c r="C28" s="99">
        <v>0.24</v>
      </c>
      <c r="D28" s="99">
        <v>0.23</v>
      </c>
      <c r="E28" s="99">
        <v>0.221</v>
      </c>
    </row>
    <row r="29" spans="1:5" x14ac:dyDescent="0.25">
      <c r="A29" s="84">
        <v>22</v>
      </c>
      <c r="B29" s="99">
        <v>0.253</v>
      </c>
      <c r="C29" s="99">
        <v>0.24299999999999999</v>
      </c>
      <c r="D29" s="99">
        <v>0.23300000000000001</v>
      </c>
      <c r="E29" s="99">
        <v>0.224</v>
      </c>
    </row>
    <row r="30" spans="1:5" x14ac:dyDescent="0.25">
      <c r="A30" s="84">
        <v>23</v>
      </c>
      <c r="B30" s="99">
        <v>0.25700000000000001</v>
      </c>
      <c r="C30" s="99">
        <v>0.247</v>
      </c>
      <c r="D30" s="99">
        <v>0.23699999999999999</v>
      </c>
      <c r="E30" s="99">
        <v>0.22700000000000001</v>
      </c>
    </row>
    <row r="31" spans="1:5" x14ac:dyDescent="0.25">
      <c r="A31" s="84">
        <v>24</v>
      </c>
      <c r="B31" s="99">
        <v>0.26</v>
      </c>
      <c r="C31" s="99">
        <v>0.25</v>
      </c>
      <c r="D31" s="99">
        <v>0.24</v>
      </c>
      <c r="E31" s="99">
        <v>0.23</v>
      </c>
    </row>
    <row r="32" spans="1:5" x14ac:dyDescent="0.25">
      <c r="A32" s="84">
        <v>25</v>
      </c>
      <c r="B32" s="99">
        <v>0.26400000000000001</v>
      </c>
      <c r="C32" s="99">
        <v>0.254</v>
      </c>
      <c r="D32" s="99">
        <v>0.24399999999999999</v>
      </c>
      <c r="E32" s="99">
        <v>0.23400000000000001</v>
      </c>
    </row>
    <row r="33" spans="1:5" x14ac:dyDescent="0.25">
      <c r="A33" s="84">
        <v>26</v>
      </c>
      <c r="B33" s="99">
        <v>0.26800000000000002</v>
      </c>
      <c r="C33" s="99">
        <v>0.25700000000000001</v>
      </c>
      <c r="D33" s="99">
        <v>0.247</v>
      </c>
      <c r="E33" s="99">
        <v>0.23699999999999999</v>
      </c>
    </row>
    <row r="34" spans="1:5" x14ac:dyDescent="0.25">
      <c r="A34" s="84">
        <v>27</v>
      </c>
      <c r="B34" s="99">
        <v>0.27200000000000002</v>
      </c>
      <c r="C34" s="99">
        <v>0.26100000000000001</v>
      </c>
      <c r="D34" s="99">
        <v>0.251</v>
      </c>
      <c r="E34" s="99">
        <v>0.24</v>
      </c>
    </row>
    <row r="35" spans="1:5" x14ac:dyDescent="0.25">
      <c r="A35" s="84">
        <v>28</v>
      </c>
      <c r="B35" s="99">
        <v>0.27600000000000002</v>
      </c>
      <c r="C35" s="99">
        <v>0.26500000000000001</v>
      </c>
      <c r="D35" s="99">
        <v>0.254</v>
      </c>
      <c r="E35" s="99">
        <v>0.24399999999999999</v>
      </c>
    </row>
    <row r="36" spans="1:5" x14ac:dyDescent="0.25">
      <c r="A36" s="84">
        <v>29</v>
      </c>
      <c r="B36" s="99">
        <v>0.28000000000000003</v>
      </c>
      <c r="C36" s="99">
        <v>0.26900000000000002</v>
      </c>
      <c r="D36" s="99">
        <v>0.25800000000000001</v>
      </c>
      <c r="E36" s="99">
        <v>0.247</v>
      </c>
    </row>
    <row r="37" spans="1:5" x14ac:dyDescent="0.25">
      <c r="A37" s="84">
        <v>30</v>
      </c>
      <c r="B37" s="99">
        <v>0.28399999999999997</v>
      </c>
      <c r="C37" s="99">
        <v>0.27200000000000002</v>
      </c>
      <c r="D37" s="99">
        <v>0.26100000000000001</v>
      </c>
      <c r="E37" s="99">
        <v>0.251</v>
      </c>
    </row>
    <row r="38" spans="1:5" x14ac:dyDescent="0.25">
      <c r="A38" s="84">
        <v>31</v>
      </c>
      <c r="B38" s="99">
        <v>0.28799999999999998</v>
      </c>
      <c r="C38" s="99">
        <v>0.27600000000000002</v>
      </c>
      <c r="D38" s="99">
        <v>0.26500000000000001</v>
      </c>
      <c r="E38" s="99">
        <v>0.254</v>
      </c>
    </row>
    <row r="39" spans="1:5" x14ac:dyDescent="0.25">
      <c r="A39" s="84">
        <v>32</v>
      </c>
      <c r="B39" s="99">
        <v>0.29199999999999998</v>
      </c>
      <c r="C39" s="99">
        <v>0.28000000000000003</v>
      </c>
      <c r="D39" s="99">
        <v>0.26900000000000002</v>
      </c>
      <c r="E39" s="99">
        <v>0.25800000000000001</v>
      </c>
    </row>
    <row r="40" spans="1:5" x14ac:dyDescent="0.25">
      <c r="A40" s="84">
        <v>33</v>
      </c>
      <c r="B40" s="99">
        <v>0.29599999999999999</v>
      </c>
      <c r="C40" s="99">
        <v>0.28399999999999997</v>
      </c>
      <c r="D40" s="99">
        <v>0.27200000000000002</v>
      </c>
      <c r="E40" s="99">
        <v>0.26100000000000001</v>
      </c>
    </row>
    <row r="41" spans="1:5" x14ac:dyDescent="0.25">
      <c r="A41" s="84">
        <v>34</v>
      </c>
      <c r="B41" s="99">
        <v>0.3</v>
      </c>
      <c r="C41" s="99">
        <v>0.28799999999999998</v>
      </c>
      <c r="D41" s="99">
        <v>0.27600000000000002</v>
      </c>
      <c r="E41" s="99">
        <v>0.26500000000000001</v>
      </c>
    </row>
    <row r="42" spans="1:5" x14ac:dyDescent="0.25">
      <c r="A42" s="84">
        <v>35</v>
      </c>
      <c r="B42" s="99">
        <v>0.30399999999999999</v>
      </c>
      <c r="C42" s="99">
        <v>0.29199999999999998</v>
      </c>
      <c r="D42" s="99">
        <v>0.28000000000000003</v>
      </c>
      <c r="E42" s="99">
        <v>0.26800000000000002</v>
      </c>
    </row>
    <row r="43" spans="1:5" x14ac:dyDescent="0.25">
      <c r="A43" s="84">
        <v>36</v>
      </c>
      <c r="B43" s="99">
        <v>0.309</v>
      </c>
      <c r="C43" s="99">
        <v>0.29599999999999999</v>
      </c>
      <c r="D43" s="99">
        <v>0.28399999999999997</v>
      </c>
      <c r="E43" s="99">
        <v>0.27200000000000002</v>
      </c>
    </row>
    <row r="44" spans="1:5" x14ac:dyDescent="0.25">
      <c r="A44" s="84">
        <v>37</v>
      </c>
      <c r="B44" s="99">
        <v>0.313</v>
      </c>
      <c r="C44" s="99">
        <v>0.3</v>
      </c>
      <c r="D44" s="99">
        <v>0.28799999999999998</v>
      </c>
      <c r="E44" s="99">
        <v>0.27600000000000002</v>
      </c>
    </row>
    <row r="45" spans="1:5" x14ac:dyDescent="0.25">
      <c r="A45" s="84">
        <v>38</v>
      </c>
      <c r="B45" s="99">
        <v>0.317</v>
      </c>
      <c r="C45" s="99">
        <v>0.30399999999999999</v>
      </c>
      <c r="D45" s="99">
        <v>0.29199999999999998</v>
      </c>
      <c r="E45" s="99">
        <v>0.27900000000000003</v>
      </c>
    </row>
    <row r="46" spans="1:5" x14ac:dyDescent="0.25">
      <c r="A46" s="84">
        <v>39</v>
      </c>
      <c r="B46" s="99">
        <v>0.32100000000000001</v>
      </c>
      <c r="C46" s="99">
        <v>0.308</v>
      </c>
      <c r="D46" s="99">
        <v>0.29499999999999998</v>
      </c>
      <c r="E46" s="99">
        <v>0.28299999999999997</v>
      </c>
    </row>
    <row r="47" spans="1:5" x14ac:dyDescent="0.25">
      <c r="A47" s="84">
        <v>40</v>
      </c>
      <c r="B47" s="99">
        <v>0.32600000000000001</v>
      </c>
      <c r="C47" s="99">
        <v>0.312</v>
      </c>
      <c r="D47" s="99">
        <v>0.29899999999999999</v>
      </c>
      <c r="E47" s="99">
        <v>0.28699999999999998</v>
      </c>
    </row>
    <row r="48" spans="1:5" x14ac:dyDescent="0.25">
      <c r="A48" s="84">
        <v>41</v>
      </c>
      <c r="B48" s="99">
        <v>0.33</v>
      </c>
      <c r="C48" s="99">
        <v>0.317</v>
      </c>
      <c r="D48" s="99">
        <v>0.30299999999999999</v>
      </c>
      <c r="E48" s="99">
        <v>0.29099999999999998</v>
      </c>
    </row>
    <row r="49" spans="1:5" x14ac:dyDescent="0.25">
      <c r="A49" s="84">
        <v>42</v>
      </c>
      <c r="B49" s="99">
        <v>0.33500000000000002</v>
      </c>
      <c r="C49" s="99">
        <v>0.32100000000000001</v>
      </c>
      <c r="D49" s="99">
        <v>0.307</v>
      </c>
      <c r="E49" s="99">
        <v>0.29399999999999998</v>
      </c>
    </row>
    <row r="50" spans="1:5" x14ac:dyDescent="0.25">
      <c r="A50" s="84">
        <v>43</v>
      </c>
      <c r="B50" s="99">
        <v>0.33900000000000002</v>
      </c>
      <c r="C50" s="99">
        <v>0.32500000000000001</v>
      </c>
      <c r="D50" s="99">
        <v>0.312</v>
      </c>
      <c r="E50" s="99">
        <v>0.29799999999999999</v>
      </c>
    </row>
    <row r="51" spans="1:5" x14ac:dyDescent="0.25">
      <c r="A51" s="84">
        <v>44</v>
      </c>
      <c r="B51" s="99">
        <v>0.34399999999999997</v>
      </c>
      <c r="C51" s="99">
        <v>0.33</v>
      </c>
      <c r="D51" s="99">
        <v>0.316</v>
      </c>
      <c r="E51" s="99">
        <v>0.30199999999999999</v>
      </c>
    </row>
    <row r="52" spans="1:5" x14ac:dyDescent="0.25">
      <c r="A52" s="84">
        <v>45</v>
      </c>
      <c r="B52" s="99">
        <v>0.34899999999999998</v>
      </c>
      <c r="C52" s="99">
        <v>0.33400000000000002</v>
      </c>
      <c r="D52" s="99">
        <v>0.32</v>
      </c>
      <c r="E52" s="99">
        <v>0.30599999999999999</v>
      </c>
    </row>
    <row r="53" spans="1:5" x14ac:dyDescent="0.25">
      <c r="A53" s="84">
        <v>46</v>
      </c>
      <c r="B53" s="99">
        <v>0.35299999999999998</v>
      </c>
      <c r="C53" s="99">
        <v>0.33800000000000002</v>
      </c>
      <c r="D53" s="99">
        <v>0.32400000000000001</v>
      </c>
      <c r="E53" s="99">
        <v>0.31</v>
      </c>
    </row>
    <row r="54" spans="1:5" x14ac:dyDescent="0.25">
      <c r="A54" s="84">
        <v>47</v>
      </c>
      <c r="B54" s="99">
        <v>0.35799999999999998</v>
      </c>
      <c r="C54" s="99">
        <v>0.34300000000000003</v>
      </c>
      <c r="D54" s="99">
        <v>0.32800000000000001</v>
      </c>
      <c r="E54" s="99">
        <v>0.314</v>
      </c>
    </row>
    <row r="55" spans="1:5" x14ac:dyDescent="0.25">
      <c r="A55" s="84">
        <v>48</v>
      </c>
      <c r="B55" s="99">
        <v>0.36299999999999999</v>
      </c>
      <c r="C55" s="99">
        <v>0.34699999999999998</v>
      </c>
      <c r="D55" s="99">
        <v>0.33200000000000002</v>
      </c>
      <c r="E55" s="99">
        <v>0.318</v>
      </c>
    </row>
    <row r="56" spans="1:5" x14ac:dyDescent="0.25">
      <c r="A56" s="84">
        <v>49</v>
      </c>
      <c r="B56" s="99">
        <v>0.36799999999999999</v>
      </c>
      <c r="C56" s="99">
        <v>0.35199999999999998</v>
      </c>
      <c r="D56" s="99">
        <v>0.33700000000000002</v>
      </c>
      <c r="E56" s="99">
        <v>0.32200000000000001</v>
      </c>
    </row>
    <row r="57" spans="1:5" x14ac:dyDescent="0.25">
      <c r="A57" s="84">
        <v>50</v>
      </c>
      <c r="B57" s="99">
        <v>0.373</v>
      </c>
      <c r="C57" s="99">
        <v>0.35699999999999998</v>
      </c>
      <c r="D57" s="99">
        <v>0.34100000000000003</v>
      </c>
      <c r="E57" s="99">
        <v>0.32600000000000001</v>
      </c>
    </row>
    <row r="58" spans="1:5" x14ac:dyDescent="0.25">
      <c r="A58" s="84">
        <v>51</v>
      </c>
      <c r="B58" s="99">
        <v>0.378</v>
      </c>
      <c r="C58" s="99">
        <v>0.36099999999999999</v>
      </c>
      <c r="D58" s="99">
        <v>0.34599999999999997</v>
      </c>
      <c r="E58" s="99">
        <v>0.33</v>
      </c>
    </row>
    <row r="59" spans="1:5" x14ac:dyDescent="0.25">
      <c r="A59" s="84">
        <v>52</v>
      </c>
      <c r="B59" s="99">
        <v>0.38300000000000001</v>
      </c>
      <c r="C59" s="99">
        <v>0.36599999999999999</v>
      </c>
      <c r="D59" s="99">
        <v>0.35</v>
      </c>
      <c r="E59" s="99">
        <v>0.33400000000000002</v>
      </c>
    </row>
    <row r="60" spans="1:5" x14ac:dyDescent="0.25">
      <c r="A60" s="84">
        <v>53</v>
      </c>
      <c r="B60" s="99">
        <v>0.38800000000000001</v>
      </c>
      <c r="C60" s="99">
        <v>0.371</v>
      </c>
      <c r="D60" s="99">
        <v>0.35399999999999998</v>
      </c>
      <c r="E60" s="99">
        <v>0.33800000000000002</v>
      </c>
    </row>
    <row r="61" spans="1:5" x14ac:dyDescent="0.25">
      <c r="A61" s="84">
        <v>54</v>
      </c>
      <c r="B61" s="99">
        <v>0.39300000000000002</v>
      </c>
      <c r="C61" s="99">
        <v>0.376</v>
      </c>
      <c r="D61" s="99">
        <v>0.35899999999999999</v>
      </c>
      <c r="E61" s="99">
        <v>0.34300000000000003</v>
      </c>
    </row>
    <row r="62" spans="1:5" x14ac:dyDescent="0.25">
      <c r="A62" s="84">
        <v>55</v>
      </c>
      <c r="B62" s="99">
        <v>0.39900000000000002</v>
      </c>
      <c r="C62" s="99">
        <v>0.38100000000000001</v>
      </c>
      <c r="D62" s="99">
        <v>0.36399999999999999</v>
      </c>
      <c r="E62" s="99">
        <v>0.34699999999999998</v>
      </c>
    </row>
    <row r="63" spans="1:5" x14ac:dyDescent="0.25">
      <c r="A63" s="84">
        <v>56</v>
      </c>
      <c r="B63" s="99">
        <v>0.40400000000000003</v>
      </c>
      <c r="C63" s="99">
        <v>0.38600000000000001</v>
      </c>
      <c r="D63" s="99">
        <v>0.36799999999999999</v>
      </c>
      <c r="E63" s="99">
        <v>0.35099999999999998</v>
      </c>
    </row>
    <row r="64" spans="1:5" x14ac:dyDescent="0.25">
      <c r="A64" s="84">
        <v>57</v>
      </c>
      <c r="B64" s="99">
        <v>0.41</v>
      </c>
      <c r="C64" s="99">
        <v>0.39100000000000001</v>
      </c>
      <c r="D64" s="99">
        <v>0.373</v>
      </c>
      <c r="E64" s="99">
        <v>0.35599999999999998</v>
      </c>
    </row>
    <row r="65" spans="1:5" x14ac:dyDescent="0.25">
      <c r="A65" s="84">
        <v>58</v>
      </c>
      <c r="B65" s="99">
        <v>0.41499999999999998</v>
      </c>
      <c r="C65" s="99">
        <v>0.39600000000000002</v>
      </c>
      <c r="D65" s="99">
        <v>0.378</v>
      </c>
      <c r="E65" s="99">
        <v>0.36</v>
      </c>
    </row>
    <row r="66" spans="1:5" x14ac:dyDescent="0.25">
      <c r="A66" s="84">
        <v>59</v>
      </c>
      <c r="B66" s="99">
        <v>0.42099999999999999</v>
      </c>
      <c r="C66" s="99">
        <v>0.40200000000000002</v>
      </c>
      <c r="D66" s="99">
        <v>0.38300000000000001</v>
      </c>
      <c r="E66" s="99">
        <v>0.36499999999999999</v>
      </c>
    </row>
    <row r="67" spans="1:5" x14ac:dyDescent="0.25">
      <c r="A67" s="84">
        <v>60</v>
      </c>
      <c r="B67" s="99">
        <v>0.42699999999999999</v>
      </c>
      <c r="C67" s="99">
        <v>0.40799999999999997</v>
      </c>
      <c r="D67" s="99">
        <v>0.38800000000000001</v>
      </c>
      <c r="E67" s="99">
        <v>0.37</v>
      </c>
    </row>
    <row r="68" spans="1:5" x14ac:dyDescent="0.25">
      <c r="A68" s="84">
        <v>61</v>
      </c>
      <c r="B68" s="99">
        <v>0.434</v>
      </c>
      <c r="C68" s="99">
        <v>0.41399999999999998</v>
      </c>
      <c r="D68" s="99">
        <v>0.39400000000000002</v>
      </c>
      <c r="E68" s="99">
        <v>0.375</v>
      </c>
    </row>
    <row r="69" spans="1:5" x14ac:dyDescent="0.25">
      <c r="A69" s="84">
        <v>62</v>
      </c>
      <c r="B69" s="99">
        <v>0.441</v>
      </c>
      <c r="C69" s="99">
        <v>0.42</v>
      </c>
      <c r="D69" s="99">
        <v>0.4</v>
      </c>
      <c r="E69" s="99">
        <v>0.38</v>
      </c>
    </row>
    <row r="70" spans="1:5" x14ac:dyDescent="0.25">
      <c r="A70" s="84">
        <v>63</v>
      </c>
      <c r="B70" s="99">
        <v>0.44800000000000001</v>
      </c>
      <c r="C70" s="99">
        <v>0.42599999999999999</v>
      </c>
      <c r="D70" s="99">
        <v>0.40500000000000003</v>
      </c>
      <c r="E70" s="99">
        <v>0.38500000000000001</v>
      </c>
    </row>
    <row r="71" spans="1:5" x14ac:dyDescent="0.25">
      <c r="A71" s="84">
        <v>64</v>
      </c>
      <c r="B71" s="99">
        <v>0.45500000000000002</v>
      </c>
      <c r="C71" s="99">
        <v>0.433</v>
      </c>
      <c r="D71" s="99">
        <v>0.41199999999999998</v>
      </c>
      <c r="E71" s="99">
        <v>0.39100000000000001</v>
      </c>
    </row>
    <row r="72" spans="1:5" x14ac:dyDescent="0.25">
      <c r="A72" s="84">
        <v>65</v>
      </c>
      <c r="B72" s="99">
        <v>0.45200000000000001</v>
      </c>
      <c r="C72" s="99">
        <v>0.44</v>
      </c>
      <c r="D72" s="99">
        <v>0.41799999999999998</v>
      </c>
      <c r="E72" s="99">
        <v>0.39700000000000002</v>
      </c>
    </row>
    <row r="73" spans="1:5" x14ac:dyDescent="0.25">
      <c r="A73" s="84">
        <v>66</v>
      </c>
      <c r="B73" s="99">
        <v>0.437</v>
      </c>
      <c r="C73" s="99">
        <v>0.437</v>
      </c>
      <c r="D73" s="99">
        <v>0.42599999999999999</v>
      </c>
      <c r="E73" s="99">
        <v>0.40400000000000003</v>
      </c>
    </row>
    <row r="74" spans="1:5" x14ac:dyDescent="0.25">
      <c r="A74" s="84">
        <v>67</v>
      </c>
      <c r="B74" s="99">
        <v>0.42199999999999999</v>
      </c>
      <c r="C74" s="99">
        <v>0.42199999999999999</v>
      </c>
      <c r="D74" s="99">
        <v>0.42199999999999999</v>
      </c>
      <c r="E74" s="99">
        <v>0.41099999999999998</v>
      </c>
    </row>
    <row r="75" spans="1:5" x14ac:dyDescent="0.25">
      <c r="A75" s="84">
        <v>68</v>
      </c>
      <c r="B75" s="99">
        <v>0.40699999999999997</v>
      </c>
      <c r="C75" s="99">
        <v>0.40699999999999997</v>
      </c>
      <c r="D75" s="99">
        <v>0.40699999999999997</v>
      </c>
      <c r="E75" s="99">
        <v>0.40699999999999997</v>
      </c>
    </row>
    <row r="76" spans="1:5" x14ac:dyDescent="0.25">
      <c r="A76" s="84">
        <v>69</v>
      </c>
      <c r="B76" s="99">
        <v>0.39200000000000002</v>
      </c>
      <c r="C76" s="99">
        <v>0.39200000000000002</v>
      </c>
      <c r="D76" s="99">
        <v>0.39200000000000002</v>
      </c>
      <c r="E76" s="99">
        <v>0.39200000000000002</v>
      </c>
    </row>
    <row r="77" spans="1:5" x14ac:dyDescent="0.25">
      <c r="A77" s="84">
        <v>70</v>
      </c>
      <c r="B77" s="99">
        <v>0.377</v>
      </c>
      <c r="C77" s="99">
        <v>0.377</v>
      </c>
      <c r="D77" s="99">
        <v>0.377</v>
      </c>
      <c r="E77" s="99">
        <v>0.377</v>
      </c>
    </row>
    <row r="78" spans="1:5" x14ac:dyDescent="0.25">
      <c r="A78" s="84">
        <v>71</v>
      </c>
      <c r="B78" s="99">
        <v>0.36199999999999999</v>
      </c>
      <c r="C78" s="99">
        <v>0.36199999999999999</v>
      </c>
      <c r="D78" s="99">
        <v>0.36199999999999999</v>
      </c>
      <c r="E78" s="99">
        <v>0.36199999999999999</v>
      </c>
    </row>
    <row r="79" spans="1:5" x14ac:dyDescent="0.25">
      <c r="A79" s="84">
        <v>72</v>
      </c>
      <c r="B79" s="99">
        <v>0.34799999999999998</v>
      </c>
      <c r="C79" s="99">
        <v>0.34799999999999998</v>
      </c>
      <c r="D79" s="99">
        <v>0.34799999999999998</v>
      </c>
      <c r="E79" s="99">
        <v>0.34799999999999998</v>
      </c>
    </row>
    <row r="80" spans="1:5" x14ac:dyDescent="0.25">
      <c r="A80" s="84">
        <v>73</v>
      </c>
      <c r="B80" s="99">
        <v>0.33300000000000002</v>
      </c>
      <c r="C80" s="99">
        <v>0.33300000000000002</v>
      </c>
      <c r="D80" s="99">
        <v>0.33300000000000002</v>
      </c>
      <c r="E80" s="99">
        <v>0.33300000000000002</v>
      </c>
    </row>
    <row r="81" spans="1:5" x14ac:dyDescent="0.25">
      <c r="A81" s="84">
        <v>74</v>
      </c>
      <c r="B81" s="99">
        <v>0.31900000000000001</v>
      </c>
      <c r="C81" s="99">
        <v>0.31900000000000001</v>
      </c>
      <c r="D81" s="99">
        <v>0.31900000000000001</v>
      </c>
      <c r="E81" s="99">
        <v>0.31900000000000001</v>
      </c>
    </row>
  </sheetData>
  <sheetProtection algorithmName="SHA-512" hashValue="PN95/WcAtkxsMVbf2TqdZECQx57WiWbcXsXhm5WLzgFy9np9NK9HBYY6/tPa8b/W1SF+oTP6iN57zRWbgDufsg==" saltValue="hC5UtqyQqcppGg8AcxeRpQ==" spinCount="100000" sheet="1" objects="1" scenarios="1"/>
  <conditionalFormatting sqref="A6:A21">
    <cfRule type="expression" dxfId="101" priority="1" stopIfTrue="1">
      <formula>MOD(ROW(),2)=0</formula>
    </cfRule>
    <cfRule type="expression" dxfId="100" priority="2" stopIfTrue="1">
      <formula>MOD(ROW(),2)&lt;&gt;0</formula>
    </cfRule>
  </conditionalFormatting>
  <conditionalFormatting sqref="A26:A81">
    <cfRule type="expression" dxfId="99" priority="13" stopIfTrue="1">
      <formula>MOD(ROW(),2)=0</formula>
    </cfRule>
    <cfRule type="expression" dxfId="98" priority="14" stopIfTrue="1">
      <formula>MOD(ROW(),2)&lt;&gt;0</formula>
    </cfRule>
  </conditionalFormatting>
  <conditionalFormatting sqref="B18:B21">
    <cfRule type="expression" dxfId="97" priority="5" stopIfTrue="1">
      <formula>MOD(ROW(),2)=0</formula>
    </cfRule>
    <cfRule type="expression" dxfId="96" priority="6" stopIfTrue="1">
      <formula>MOD(ROW(),2)&lt;&gt;0</formula>
    </cfRule>
  </conditionalFormatting>
  <conditionalFormatting sqref="B6:E21">
    <cfRule type="expression" dxfId="95" priority="19" stopIfTrue="1">
      <formula>MOD(ROW(),2)=0</formula>
    </cfRule>
    <cfRule type="expression" dxfId="94" priority="20" stopIfTrue="1">
      <formula>MOD(ROW(),2)&lt;&gt;0</formula>
    </cfRule>
  </conditionalFormatting>
  <conditionalFormatting sqref="B26:E81">
    <cfRule type="expression" dxfId="93" priority="15" stopIfTrue="1">
      <formula>MOD(ROW(),2)=0</formula>
    </cfRule>
    <cfRule type="expression" dxfId="92" priority="16" stopIfTrue="1">
      <formula>MOD(ROW(),2)&lt;&gt;0</formula>
    </cfRule>
  </conditionalFormatting>
  <hyperlinks>
    <hyperlink ref="B24" location="Sheet1!A1" display="Assumptions" xr:uid="{BCEE717D-0731-41A2-91DC-43DB1FE3C35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47"/>
  <dimension ref="A1:I37"/>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WPS refunds - x-811</v>
      </c>
      <c r="B3" s="42"/>
      <c r="C3" s="42"/>
      <c r="D3" s="42"/>
      <c r="E3" s="42"/>
      <c r="F3" s="42"/>
      <c r="G3" s="42"/>
      <c r="H3" s="42"/>
      <c r="I3" s="42"/>
    </row>
    <row r="4" spans="1:9" x14ac:dyDescent="0.25">
      <c r="A4" s="44"/>
    </row>
    <row r="6" spans="1:9" x14ac:dyDescent="0.25">
      <c r="A6" s="76" t="s">
        <v>290</v>
      </c>
      <c r="B6" s="185" t="s">
        <v>291</v>
      </c>
    </row>
    <row r="7" spans="1:9" ht="28.2" customHeight="1" x14ac:dyDescent="0.25">
      <c r="A7" s="77" t="s">
        <v>804</v>
      </c>
      <c r="B7" s="185" t="s">
        <v>345</v>
      </c>
    </row>
    <row r="8" spans="1:9" x14ac:dyDescent="0.25">
      <c r="A8" s="77" t="s">
        <v>805</v>
      </c>
      <c r="B8" s="185" t="s">
        <v>86</v>
      </c>
    </row>
    <row r="9" spans="1:9" x14ac:dyDescent="0.25">
      <c r="A9" s="77" t="s">
        <v>296</v>
      </c>
      <c r="B9" s="185" t="s">
        <v>719</v>
      </c>
    </row>
    <row r="10" spans="1:9" x14ac:dyDescent="0.25">
      <c r="A10" s="77" t="s">
        <v>6</v>
      </c>
      <c r="B10" s="185" t="s">
        <v>720</v>
      </c>
    </row>
    <row r="11" spans="1:9" x14ac:dyDescent="0.25">
      <c r="A11" s="77" t="s">
        <v>299</v>
      </c>
      <c r="B11" s="185" t="s">
        <v>364</v>
      </c>
    </row>
    <row r="12" spans="1:9" x14ac:dyDescent="0.25">
      <c r="A12" s="77" t="s">
        <v>301</v>
      </c>
      <c r="B12" s="185" t="s">
        <v>328</v>
      </c>
    </row>
    <row r="13" spans="1:9" x14ac:dyDescent="0.25">
      <c r="A13" s="77" t="s">
        <v>806</v>
      </c>
      <c r="B13" s="185">
        <v>1</v>
      </c>
    </row>
    <row r="14" spans="1:9" x14ac:dyDescent="0.25">
      <c r="A14" s="77" t="s">
        <v>305</v>
      </c>
      <c r="B14" s="185">
        <v>811</v>
      </c>
    </row>
    <row r="15" spans="1:9" x14ac:dyDescent="0.25">
      <c r="A15" s="77" t="s">
        <v>307</v>
      </c>
      <c r="B15" s="185" t="s">
        <v>721</v>
      </c>
    </row>
    <row r="16" spans="1:9" x14ac:dyDescent="0.25">
      <c r="A16" s="77" t="s">
        <v>825</v>
      </c>
      <c r="B16" s="185" t="s">
        <v>722</v>
      </c>
    </row>
    <row r="17" spans="1:2" ht="190.5" customHeight="1" x14ac:dyDescent="0.25">
      <c r="A17" s="77" t="s">
        <v>803</v>
      </c>
      <c r="B17" s="185"/>
    </row>
    <row r="18" spans="1:2" x14ac:dyDescent="0.25">
      <c r="A18" s="77" t="s">
        <v>313</v>
      </c>
      <c r="B18" s="188">
        <v>45184</v>
      </c>
    </row>
    <row r="19" spans="1:2" x14ac:dyDescent="0.25">
      <c r="A19" s="77" t="s">
        <v>315</v>
      </c>
      <c r="B19" s="188"/>
    </row>
    <row r="20" spans="1:2" x14ac:dyDescent="0.25">
      <c r="A20" s="77" t="s">
        <v>317</v>
      </c>
      <c r="B20" s="185" t="s">
        <v>331</v>
      </c>
    </row>
    <row r="21" spans="1:2" x14ac:dyDescent="0.25">
      <c r="A21" s="77" t="s">
        <v>323</v>
      </c>
      <c r="B21" s="185" t="s">
        <v>332</v>
      </c>
    </row>
    <row r="23" spans="1:2" x14ac:dyDescent="0.25">
      <c r="B23" s="102" t="str">
        <f>HYPERLINK("#'Factor List'!A1","Back to Factor List")</f>
        <v>Back to Factor List</v>
      </c>
    </row>
    <row r="24" spans="1:2" x14ac:dyDescent="0.25">
      <c r="B24" s="102" t="s">
        <v>13</v>
      </c>
    </row>
    <row r="25" spans="1:2" x14ac:dyDescent="0.25">
      <c r="B25" s="102"/>
    </row>
    <row r="26" spans="1:2" x14ac:dyDescent="0.25">
      <c r="A26" s="73" t="s">
        <v>373</v>
      </c>
      <c r="B26" s="73" t="s">
        <v>824</v>
      </c>
    </row>
    <row r="27" spans="1:2" x14ac:dyDescent="0.25">
      <c r="A27" s="74">
        <v>50</v>
      </c>
      <c r="B27" s="100">
        <v>0.755</v>
      </c>
    </row>
    <row r="28" spans="1:2" x14ac:dyDescent="0.25">
      <c r="A28" s="74">
        <v>51</v>
      </c>
      <c r="B28" s="100">
        <v>0.70499999999999996</v>
      </c>
    </row>
    <row r="29" spans="1:2" x14ac:dyDescent="0.25">
      <c r="A29" s="74">
        <v>52</v>
      </c>
      <c r="B29" s="100">
        <v>0.66</v>
      </c>
    </row>
    <row r="30" spans="1:2" x14ac:dyDescent="0.25">
      <c r="A30" s="74">
        <v>53</v>
      </c>
      <c r="B30" s="100">
        <v>0.61</v>
      </c>
    </row>
    <row r="31" spans="1:2" x14ac:dyDescent="0.25">
      <c r="A31" s="74">
        <v>54</v>
      </c>
      <c r="B31" s="100">
        <v>0.57500000000000007</v>
      </c>
    </row>
    <row r="32" spans="1:2" x14ac:dyDescent="0.25">
      <c r="A32" s="74">
        <v>55</v>
      </c>
      <c r="B32" s="100">
        <v>0.54500000000000004</v>
      </c>
    </row>
    <row r="33" spans="1:2" x14ac:dyDescent="0.25">
      <c r="A33" s="74">
        <v>56</v>
      </c>
      <c r="B33" s="100">
        <v>0.52</v>
      </c>
    </row>
    <row r="34" spans="1:2" x14ac:dyDescent="0.25">
      <c r="A34" s="74">
        <v>57</v>
      </c>
      <c r="B34" s="100">
        <v>0.5</v>
      </c>
    </row>
    <row r="35" spans="1:2" x14ac:dyDescent="0.25">
      <c r="A35" s="74">
        <v>58</v>
      </c>
      <c r="B35" s="100">
        <v>0.48499999999999999</v>
      </c>
    </row>
    <row r="36" spans="1:2" x14ac:dyDescent="0.25">
      <c r="A36" s="74">
        <v>59</v>
      </c>
      <c r="B36" s="100">
        <v>0.47500000000000003</v>
      </c>
    </row>
    <row r="37" spans="1:2" x14ac:dyDescent="0.25">
      <c r="A37" s="86" t="s">
        <v>978</v>
      </c>
      <c r="B37" s="100">
        <v>0.46</v>
      </c>
    </row>
  </sheetData>
  <sheetProtection algorithmName="SHA-512" hashValue="BFT56DeJ5H8jHuThwaZKozVOwpWShePnFAF8X5U5TEolVThog77Tv9NSg0WersDpzmXt/rvDbgGsTVpP/i9F1Q==" saltValue="9afUi5pL7a7lxb+PUo1Geg==" spinCount="100000" sheet="1" objects="1" scenarios="1"/>
  <conditionalFormatting sqref="A6:A21">
    <cfRule type="expression" dxfId="91" priority="1" stopIfTrue="1">
      <formula>MOD(ROW(),2)=0</formula>
    </cfRule>
    <cfRule type="expression" dxfId="90" priority="2" stopIfTrue="1">
      <formula>MOD(ROW(),2)&lt;&gt;0</formula>
    </cfRule>
  </conditionalFormatting>
  <conditionalFormatting sqref="A26:A37">
    <cfRule type="expression" dxfId="89" priority="19" stopIfTrue="1">
      <formula>MOD(ROW(),2)=0</formula>
    </cfRule>
    <cfRule type="expression" dxfId="88" priority="20" stopIfTrue="1">
      <formula>MOD(ROW(),2)&lt;&gt;0</formula>
    </cfRule>
  </conditionalFormatting>
  <conditionalFormatting sqref="B6">
    <cfRule type="expression" dxfId="87" priority="33" stopIfTrue="1">
      <formula>MOD(ROW(),2)=0</formula>
    </cfRule>
    <cfRule type="expression" dxfId="86" priority="34" stopIfTrue="1">
      <formula>MOD(ROW(),2)&lt;&gt;0</formula>
    </cfRule>
  </conditionalFormatting>
  <conditionalFormatting sqref="B6:B21">
    <cfRule type="expression" dxfId="85" priority="11" stopIfTrue="1">
      <formula>MOD(ROW(),2)=0</formula>
    </cfRule>
    <cfRule type="expression" dxfId="84" priority="12" stopIfTrue="1">
      <formula>MOD(ROW(),2)&lt;&gt;0</formula>
    </cfRule>
  </conditionalFormatting>
  <conditionalFormatting sqref="B8:B17">
    <cfRule type="expression" dxfId="83" priority="29" stopIfTrue="1">
      <formula>MOD(ROW(),2)=0</formula>
    </cfRule>
    <cfRule type="expression" dxfId="82" priority="30" stopIfTrue="1">
      <formula>MOD(ROW(),2)&lt;&gt;0</formula>
    </cfRule>
  </conditionalFormatting>
  <conditionalFormatting sqref="B18:B21">
    <cfRule type="expression" dxfId="81" priority="3" stopIfTrue="1">
      <formula>MOD(ROW(),2)=0</formula>
    </cfRule>
    <cfRule type="expression" dxfId="80" priority="4" stopIfTrue="1">
      <formula>MOD(ROW(),2)&lt;&gt;0</formula>
    </cfRule>
  </conditionalFormatting>
  <conditionalFormatting sqref="B26:B37">
    <cfRule type="expression" dxfId="79" priority="21" stopIfTrue="1">
      <formula>MOD(ROW(),2)=0</formula>
    </cfRule>
    <cfRule type="expression" dxfId="78" priority="22" stopIfTrue="1">
      <formula>MOD(ROW(),2)&lt;&gt;0</formula>
    </cfRule>
  </conditionalFormatting>
  <hyperlinks>
    <hyperlink ref="B24" location="Sheet1!A1" display="Assumptions" xr:uid="{8F09919B-A991-448F-8375-8594F16DBA6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148"/>
  <dimension ref="A1:I66"/>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WPS refunds - x-812</v>
      </c>
      <c r="B3" s="42"/>
      <c r="C3" s="42"/>
      <c r="D3" s="42"/>
      <c r="E3" s="42"/>
      <c r="F3" s="42"/>
      <c r="G3" s="42"/>
      <c r="H3" s="42"/>
      <c r="I3" s="42"/>
    </row>
    <row r="4" spans="1:9" x14ac:dyDescent="0.25">
      <c r="A4" s="44"/>
    </row>
    <row r="6" spans="1:9" x14ac:dyDescent="0.25">
      <c r="A6" s="76" t="s">
        <v>290</v>
      </c>
      <c r="B6" s="185" t="s">
        <v>291</v>
      </c>
    </row>
    <row r="7" spans="1:9" ht="26.1" customHeight="1" x14ac:dyDescent="0.25">
      <c r="A7" s="77" t="s">
        <v>804</v>
      </c>
      <c r="B7" s="185" t="s">
        <v>345</v>
      </c>
    </row>
    <row r="8" spans="1:9" x14ac:dyDescent="0.25">
      <c r="A8" s="77" t="s">
        <v>805</v>
      </c>
      <c r="B8" s="185" t="s">
        <v>86</v>
      </c>
    </row>
    <row r="9" spans="1:9" x14ac:dyDescent="0.25">
      <c r="A9" s="77" t="s">
        <v>296</v>
      </c>
      <c r="B9" s="185" t="s">
        <v>719</v>
      </c>
    </row>
    <row r="10" spans="1:9" ht="55.5" customHeight="1" x14ac:dyDescent="0.25">
      <c r="A10" s="77" t="s">
        <v>6</v>
      </c>
      <c r="B10" s="185" t="s">
        <v>723</v>
      </c>
    </row>
    <row r="11" spans="1:9" x14ac:dyDescent="0.25">
      <c r="A11" s="77" t="s">
        <v>299</v>
      </c>
      <c r="B11" s="185" t="s">
        <v>364</v>
      </c>
    </row>
    <row r="12" spans="1:9" x14ac:dyDescent="0.25">
      <c r="A12" s="77" t="s">
        <v>301</v>
      </c>
      <c r="B12" s="185" t="s">
        <v>328</v>
      </c>
    </row>
    <row r="13" spans="1:9" x14ac:dyDescent="0.25">
      <c r="A13" s="77" t="s">
        <v>806</v>
      </c>
      <c r="B13" s="185">
        <v>1</v>
      </c>
    </row>
    <row r="14" spans="1:9" x14ac:dyDescent="0.25">
      <c r="A14" s="77" t="s">
        <v>305</v>
      </c>
      <c r="B14" s="185">
        <v>812</v>
      </c>
    </row>
    <row r="15" spans="1:9" x14ac:dyDescent="0.25">
      <c r="A15" s="77" t="s">
        <v>307</v>
      </c>
      <c r="B15" s="185" t="s">
        <v>724</v>
      </c>
    </row>
    <row r="16" spans="1:9" x14ac:dyDescent="0.25">
      <c r="A16" s="77" t="s">
        <v>825</v>
      </c>
      <c r="B16" s="185" t="s">
        <v>725</v>
      </c>
    </row>
    <row r="17" spans="1:2" ht="199.5" customHeight="1" x14ac:dyDescent="0.25">
      <c r="A17" s="77" t="s">
        <v>803</v>
      </c>
      <c r="B17" s="185"/>
    </row>
    <row r="18" spans="1:2" x14ac:dyDescent="0.25">
      <c r="A18" s="77" t="s">
        <v>313</v>
      </c>
      <c r="B18" s="188">
        <v>45184</v>
      </c>
    </row>
    <row r="19" spans="1:2" x14ac:dyDescent="0.25">
      <c r="A19" s="77" t="s">
        <v>315</v>
      </c>
      <c r="B19" s="188"/>
    </row>
    <row r="20" spans="1:2" x14ac:dyDescent="0.25">
      <c r="A20" s="77" t="s">
        <v>317</v>
      </c>
      <c r="B20" s="185" t="s">
        <v>331</v>
      </c>
    </row>
    <row r="21" spans="1:2" x14ac:dyDescent="0.25">
      <c r="A21" s="77" t="s">
        <v>323</v>
      </c>
      <c r="B21" s="185" t="s">
        <v>332</v>
      </c>
    </row>
    <row r="23" spans="1:2" x14ac:dyDescent="0.25">
      <c r="B23" s="102" t="str">
        <f>HYPERLINK("#'Factor List'!A1","Back to Factor List")</f>
        <v>Back to Factor List</v>
      </c>
    </row>
    <row r="24" spans="1:2" x14ac:dyDescent="0.25">
      <c r="B24" s="102" t="s">
        <v>13</v>
      </c>
    </row>
    <row r="25" spans="1:2" x14ac:dyDescent="0.25">
      <c r="B25" s="102"/>
    </row>
    <row r="26" spans="1:2" x14ac:dyDescent="0.25">
      <c r="A26" s="73" t="s">
        <v>373</v>
      </c>
      <c r="B26" s="73" t="s">
        <v>824</v>
      </c>
    </row>
    <row r="27" spans="1:2" x14ac:dyDescent="0.25">
      <c r="A27" s="74">
        <v>20</v>
      </c>
      <c r="B27" s="100">
        <v>1.85</v>
      </c>
    </row>
    <row r="28" spans="1:2" x14ac:dyDescent="0.25">
      <c r="A28" s="74">
        <v>21</v>
      </c>
      <c r="B28" s="100">
        <v>1.85</v>
      </c>
    </row>
    <row r="29" spans="1:2" x14ac:dyDescent="0.25">
      <c r="A29" s="74">
        <v>22</v>
      </c>
      <c r="B29" s="100">
        <v>1.85</v>
      </c>
    </row>
    <row r="30" spans="1:2" x14ac:dyDescent="0.25">
      <c r="A30" s="74">
        <v>23</v>
      </c>
      <c r="B30" s="100">
        <v>1.85</v>
      </c>
    </row>
    <row r="31" spans="1:2" x14ac:dyDescent="0.25">
      <c r="A31" s="74">
        <v>24</v>
      </c>
      <c r="B31" s="100">
        <v>1.845</v>
      </c>
    </row>
    <row r="32" spans="1:2" x14ac:dyDescent="0.25">
      <c r="A32" s="74">
        <v>25</v>
      </c>
      <c r="B32" s="100">
        <v>1.835</v>
      </c>
    </row>
    <row r="33" spans="1:2" x14ac:dyDescent="0.25">
      <c r="A33" s="74">
        <v>26</v>
      </c>
      <c r="B33" s="100">
        <v>1.825</v>
      </c>
    </row>
    <row r="34" spans="1:2" x14ac:dyDescent="0.25">
      <c r="A34" s="74">
        <v>27</v>
      </c>
      <c r="B34" s="100">
        <v>1.81</v>
      </c>
    </row>
    <row r="35" spans="1:2" x14ac:dyDescent="0.25">
      <c r="A35" s="74">
        <v>28</v>
      </c>
      <c r="B35" s="100">
        <v>1.79</v>
      </c>
    </row>
    <row r="36" spans="1:2" x14ac:dyDescent="0.25">
      <c r="A36" s="74">
        <v>29</v>
      </c>
      <c r="B36" s="100">
        <v>1.7650000000000001</v>
      </c>
    </row>
    <row r="37" spans="1:2" x14ac:dyDescent="0.25">
      <c r="A37" s="74">
        <v>30</v>
      </c>
      <c r="B37" s="100">
        <v>1.74</v>
      </c>
    </row>
    <row r="38" spans="1:2" x14ac:dyDescent="0.25">
      <c r="A38" s="74">
        <v>31</v>
      </c>
      <c r="B38" s="100">
        <v>1.7050000000000001</v>
      </c>
    </row>
    <row r="39" spans="1:2" x14ac:dyDescent="0.25">
      <c r="A39" s="74">
        <v>32</v>
      </c>
      <c r="B39" s="100">
        <v>1.67</v>
      </c>
    </row>
    <row r="40" spans="1:2" x14ac:dyDescent="0.25">
      <c r="A40" s="74">
        <v>33</v>
      </c>
      <c r="B40" s="100">
        <v>1.6300000000000001</v>
      </c>
    </row>
    <row r="41" spans="1:2" x14ac:dyDescent="0.25">
      <c r="A41" s="74">
        <v>34</v>
      </c>
      <c r="B41" s="100">
        <v>1.595</v>
      </c>
    </row>
    <row r="42" spans="1:2" x14ac:dyDescent="0.25">
      <c r="A42" s="74">
        <v>35</v>
      </c>
      <c r="B42" s="100">
        <v>1.55</v>
      </c>
    </row>
    <row r="43" spans="1:2" x14ac:dyDescent="0.25">
      <c r="A43" s="74">
        <v>36</v>
      </c>
      <c r="B43" s="100">
        <v>1.5050000000000001</v>
      </c>
    </row>
    <row r="44" spans="1:2" x14ac:dyDescent="0.25">
      <c r="A44" s="74">
        <v>37</v>
      </c>
      <c r="B44" s="100">
        <v>1.46</v>
      </c>
    </row>
    <row r="45" spans="1:2" x14ac:dyDescent="0.25">
      <c r="A45" s="74">
        <v>38</v>
      </c>
      <c r="B45" s="100">
        <v>1.41</v>
      </c>
    </row>
    <row r="46" spans="1:2" x14ac:dyDescent="0.25">
      <c r="A46" s="74">
        <v>39</v>
      </c>
      <c r="B46" s="100">
        <v>1.355</v>
      </c>
    </row>
    <row r="47" spans="1:2" x14ac:dyDescent="0.25">
      <c r="A47" s="74">
        <v>40</v>
      </c>
      <c r="B47" s="100">
        <v>1.3</v>
      </c>
    </row>
    <row r="48" spans="1:2" x14ac:dyDescent="0.25">
      <c r="A48" s="74">
        <v>41</v>
      </c>
      <c r="B48" s="100">
        <v>1.2450000000000001</v>
      </c>
    </row>
    <row r="49" spans="1:2" x14ac:dyDescent="0.25">
      <c r="A49" s="74">
        <v>42</v>
      </c>
      <c r="B49" s="100">
        <v>1.1850000000000001</v>
      </c>
    </row>
    <row r="50" spans="1:2" x14ac:dyDescent="0.25">
      <c r="A50" s="74">
        <v>43</v>
      </c>
      <c r="B50" s="100">
        <v>1.125</v>
      </c>
    </row>
    <row r="51" spans="1:2" x14ac:dyDescent="0.25">
      <c r="A51" s="74">
        <v>44</v>
      </c>
      <c r="B51" s="100">
        <v>1.07</v>
      </c>
    </row>
    <row r="52" spans="1:2" x14ac:dyDescent="0.25">
      <c r="A52" s="74">
        <v>45</v>
      </c>
      <c r="B52" s="100">
        <v>1.0150000000000001</v>
      </c>
    </row>
    <row r="53" spans="1:2" x14ac:dyDescent="0.25">
      <c r="A53" s="74">
        <v>46</v>
      </c>
      <c r="B53" s="100">
        <v>0.96</v>
      </c>
    </row>
    <row r="54" spans="1:2" x14ac:dyDescent="0.25">
      <c r="A54" s="74">
        <v>47</v>
      </c>
      <c r="B54" s="100">
        <v>0.91</v>
      </c>
    </row>
    <row r="55" spans="1:2" x14ac:dyDescent="0.25">
      <c r="A55" s="74">
        <v>48</v>
      </c>
      <c r="B55" s="100">
        <v>0.86</v>
      </c>
    </row>
    <row r="56" spans="1:2" x14ac:dyDescent="0.25">
      <c r="A56" s="74">
        <v>49</v>
      </c>
      <c r="B56" s="100">
        <v>0.81</v>
      </c>
    </row>
    <row r="57" spans="1:2" x14ac:dyDescent="0.25">
      <c r="A57" s="74">
        <v>50</v>
      </c>
      <c r="B57" s="100">
        <v>0.755</v>
      </c>
    </row>
    <row r="58" spans="1:2" x14ac:dyDescent="0.25">
      <c r="A58" s="74">
        <v>51</v>
      </c>
      <c r="B58" s="100">
        <v>0.70499999999999996</v>
      </c>
    </row>
    <row r="59" spans="1:2" x14ac:dyDescent="0.25">
      <c r="A59" s="74">
        <v>52</v>
      </c>
      <c r="B59" s="100">
        <v>0.66</v>
      </c>
    </row>
    <row r="60" spans="1:2" x14ac:dyDescent="0.25">
      <c r="A60" s="74">
        <v>53</v>
      </c>
      <c r="B60" s="100">
        <v>0.61</v>
      </c>
    </row>
    <row r="61" spans="1:2" x14ac:dyDescent="0.25">
      <c r="A61" s="74">
        <v>54</v>
      </c>
      <c r="B61" s="100">
        <v>0.57500000000000007</v>
      </c>
    </row>
    <row r="62" spans="1:2" x14ac:dyDescent="0.25">
      <c r="A62" s="74">
        <v>55</v>
      </c>
      <c r="B62" s="100">
        <v>0.54500000000000004</v>
      </c>
    </row>
    <row r="63" spans="1:2" x14ac:dyDescent="0.25">
      <c r="A63" s="74">
        <v>56</v>
      </c>
      <c r="B63" s="100">
        <v>0.52</v>
      </c>
    </row>
    <row r="64" spans="1:2" x14ac:dyDescent="0.25">
      <c r="A64" s="74">
        <v>57</v>
      </c>
      <c r="B64" s="100">
        <v>0.5</v>
      </c>
    </row>
    <row r="65" spans="1:2" x14ac:dyDescent="0.25">
      <c r="A65" s="74">
        <v>58</v>
      </c>
      <c r="B65" s="100">
        <v>0.48499999999999999</v>
      </c>
    </row>
    <row r="66" spans="1:2" x14ac:dyDescent="0.25">
      <c r="A66" s="74">
        <v>59</v>
      </c>
      <c r="B66" s="100">
        <v>0.47500000000000003</v>
      </c>
    </row>
  </sheetData>
  <sheetProtection algorithmName="SHA-512" hashValue="yja9z1XqPJemtR8KtZNfI1YlNwlEU/HewYk7Pvgzx1ETUOzVl0YwrA3aE1y7efn//z5qCBSSuI+yzDdxUC6oXA==" saltValue="Vu5Jo1FiJlQCRd+CiDAXhA==" spinCount="100000" sheet="1" objects="1" scenarios="1"/>
  <conditionalFormatting sqref="A6:A21">
    <cfRule type="expression" dxfId="77" priority="1" stopIfTrue="1">
      <formula>MOD(ROW(),2)=0</formula>
    </cfRule>
    <cfRule type="expression" dxfId="76" priority="2" stopIfTrue="1">
      <formula>MOD(ROW(),2)&lt;&gt;0</formula>
    </cfRule>
  </conditionalFormatting>
  <conditionalFormatting sqref="A26:A66">
    <cfRule type="expression" dxfId="75" priority="15" stopIfTrue="1">
      <formula>MOD(ROW(),2)=0</formula>
    </cfRule>
    <cfRule type="expression" dxfId="74" priority="16" stopIfTrue="1">
      <formula>MOD(ROW(),2)&lt;&gt;0</formula>
    </cfRule>
  </conditionalFormatting>
  <conditionalFormatting sqref="B6">
    <cfRule type="expression" dxfId="73" priority="29" stopIfTrue="1">
      <formula>MOD(ROW(),2)=0</formula>
    </cfRule>
    <cfRule type="expression" dxfId="72" priority="30" stopIfTrue="1">
      <formula>MOD(ROW(),2)&lt;&gt;0</formula>
    </cfRule>
  </conditionalFormatting>
  <conditionalFormatting sqref="B6:B21">
    <cfRule type="expression" dxfId="71" priority="11" stopIfTrue="1">
      <formula>MOD(ROW(),2)=0</formula>
    </cfRule>
    <cfRule type="expression" dxfId="70" priority="12" stopIfTrue="1">
      <formula>MOD(ROW(),2)&lt;&gt;0</formula>
    </cfRule>
  </conditionalFormatting>
  <conditionalFormatting sqref="B8:B17">
    <cfRule type="expression" dxfId="69" priority="25" stopIfTrue="1">
      <formula>MOD(ROW(),2)=0</formula>
    </cfRule>
    <cfRule type="expression" dxfId="68" priority="26" stopIfTrue="1">
      <formula>MOD(ROW(),2)&lt;&gt;0</formula>
    </cfRule>
  </conditionalFormatting>
  <conditionalFormatting sqref="B18:B21">
    <cfRule type="expression" dxfId="67" priority="3" stopIfTrue="1">
      <formula>MOD(ROW(),2)=0</formula>
    </cfRule>
    <cfRule type="expression" dxfId="66" priority="4" stopIfTrue="1">
      <formula>MOD(ROW(),2)&lt;&gt;0</formula>
    </cfRule>
  </conditionalFormatting>
  <conditionalFormatting sqref="B26:B66">
    <cfRule type="expression" dxfId="65" priority="17" stopIfTrue="1">
      <formula>MOD(ROW(),2)=0</formula>
    </cfRule>
    <cfRule type="expression" dxfId="64" priority="18" stopIfTrue="1">
      <formula>MOD(ROW(),2)&lt;&gt;0</formula>
    </cfRule>
  </conditionalFormatting>
  <hyperlinks>
    <hyperlink ref="B24" location="Sheet1!A1" display="Assumptions" xr:uid="{64BA4852-E149-4607-BBF2-8D605D791EF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2"/>
  <dimension ref="A1:E85"/>
  <sheetViews>
    <sheetView showGridLines="0" zoomScale="85" zoomScaleNormal="85" workbookViewId="0">
      <selection activeCell="A4" sqref="A4"/>
    </sheetView>
  </sheetViews>
  <sheetFormatPr defaultColWidth="10" defaultRowHeight="13.2" x14ac:dyDescent="0.25"/>
  <cols>
    <col min="1" max="1" width="31.5546875" style="27" customWidth="1"/>
    <col min="2" max="5" width="22.5546875" style="27" customWidth="1"/>
    <col min="6" max="16384" width="10" style="27"/>
  </cols>
  <sheetData>
    <row r="1" spans="1:5" ht="21" x14ac:dyDescent="0.4">
      <c r="A1" s="39" t="s">
        <v>0</v>
      </c>
      <c r="B1" s="40"/>
      <c r="C1" s="40"/>
      <c r="D1" s="40"/>
      <c r="E1" s="40"/>
    </row>
    <row r="2" spans="1:5" ht="15.6" x14ac:dyDescent="0.3">
      <c r="A2" s="41" t="str">
        <f>IF(title="&gt; Enter workbook title here","Enter workbook title in Cover sheet",title)</f>
        <v>Civil Service Pension Schemes - Consolidated Factor Spreadsheet</v>
      </c>
      <c r="B2" s="42"/>
      <c r="C2" s="42"/>
      <c r="D2" s="42"/>
      <c r="E2" s="42"/>
    </row>
    <row r="3" spans="1:5" ht="15.6" x14ac:dyDescent="0.3">
      <c r="A3" s="43" t="str">
        <f>TABLE_FACTOR_TYPE_1&amp;" - x-"&amp;TABLE_SERIES_NUMBER_1</f>
        <v>CETV - x-204</v>
      </c>
      <c r="B3" s="42"/>
      <c r="C3" s="42"/>
      <c r="D3" s="42"/>
      <c r="E3" s="42"/>
    </row>
    <row r="4" spans="1:5" x14ac:dyDescent="0.25">
      <c r="A4" s="44"/>
    </row>
    <row r="6" spans="1:5" x14ac:dyDescent="0.25">
      <c r="A6" s="76" t="s">
        <v>290</v>
      </c>
      <c r="B6" s="129" t="s">
        <v>291</v>
      </c>
      <c r="C6" s="129"/>
      <c r="D6" s="129"/>
      <c r="E6" s="129"/>
    </row>
    <row r="7" spans="1:5" x14ac:dyDescent="0.25">
      <c r="A7" s="77" t="s">
        <v>804</v>
      </c>
      <c r="B7" s="129" t="s">
        <v>324</v>
      </c>
      <c r="C7" s="129"/>
      <c r="D7" s="129"/>
      <c r="E7" s="129"/>
    </row>
    <row r="8" spans="1:5" x14ac:dyDescent="0.25">
      <c r="A8" s="77" t="s">
        <v>805</v>
      </c>
      <c r="B8" s="129" t="s">
        <v>85</v>
      </c>
      <c r="C8" s="129"/>
      <c r="D8" s="129"/>
      <c r="E8" s="129"/>
    </row>
    <row r="9" spans="1:5" x14ac:dyDescent="0.25">
      <c r="A9" s="77" t="s">
        <v>296</v>
      </c>
      <c r="B9" s="129" t="s">
        <v>325</v>
      </c>
      <c r="C9" s="129"/>
      <c r="D9" s="129"/>
      <c r="E9" s="129"/>
    </row>
    <row r="10" spans="1:5" x14ac:dyDescent="0.25">
      <c r="A10" s="77" t="s">
        <v>6</v>
      </c>
      <c r="B10" s="129" t="s">
        <v>339</v>
      </c>
      <c r="C10" s="129"/>
      <c r="D10" s="129"/>
      <c r="E10" s="129"/>
    </row>
    <row r="11" spans="1:5" x14ac:dyDescent="0.25">
      <c r="A11" s="77" t="s">
        <v>299</v>
      </c>
      <c r="B11" s="129" t="s">
        <v>327</v>
      </c>
      <c r="C11" s="129"/>
      <c r="D11" s="129"/>
      <c r="E11" s="129"/>
    </row>
    <row r="12" spans="1:5" x14ac:dyDescent="0.25">
      <c r="A12" s="77" t="s">
        <v>301</v>
      </c>
      <c r="B12" s="129" t="s">
        <v>328</v>
      </c>
      <c r="C12" s="129"/>
      <c r="D12" s="129"/>
      <c r="E12" s="129"/>
    </row>
    <row r="13" spans="1:5" x14ac:dyDescent="0.25">
      <c r="A13" s="77" t="s">
        <v>806</v>
      </c>
      <c r="B13" s="129">
        <v>0</v>
      </c>
      <c r="C13" s="129"/>
      <c r="D13" s="129"/>
      <c r="E13" s="129"/>
    </row>
    <row r="14" spans="1:5" x14ac:dyDescent="0.25">
      <c r="A14" s="77" t="s">
        <v>305</v>
      </c>
      <c r="B14" s="129">
        <v>204</v>
      </c>
      <c r="C14" s="129"/>
      <c r="D14" s="129"/>
      <c r="E14" s="129"/>
    </row>
    <row r="15" spans="1:5" x14ac:dyDescent="0.25">
      <c r="A15" s="77" t="s">
        <v>307</v>
      </c>
      <c r="B15" s="129" t="s">
        <v>340</v>
      </c>
      <c r="C15" s="129"/>
      <c r="D15" s="129"/>
      <c r="E15" s="129"/>
    </row>
    <row r="16" spans="1:5" x14ac:dyDescent="0.25">
      <c r="A16" s="77" t="s">
        <v>309</v>
      </c>
      <c r="B16" s="129" t="s">
        <v>341</v>
      </c>
      <c r="C16" s="129"/>
      <c r="D16" s="129"/>
      <c r="E16" s="129"/>
    </row>
    <row r="17" spans="1:5" x14ac:dyDescent="0.25">
      <c r="A17" s="77" t="s">
        <v>803</v>
      </c>
      <c r="B17" s="129"/>
      <c r="C17" s="129"/>
      <c r="D17" s="129"/>
      <c r="E17" s="129"/>
    </row>
    <row r="18" spans="1:5" x14ac:dyDescent="0.25">
      <c r="A18" s="77" t="s">
        <v>313</v>
      </c>
      <c r="B18" s="187">
        <v>45071</v>
      </c>
      <c r="C18" s="129"/>
      <c r="D18" s="129"/>
      <c r="E18" s="129"/>
    </row>
    <row r="19" spans="1:5" x14ac:dyDescent="0.25">
      <c r="A19" s="77" t="s">
        <v>315</v>
      </c>
      <c r="B19" s="187"/>
      <c r="C19" s="129"/>
      <c r="D19" s="129"/>
      <c r="E19" s="129"/>
    </row>
    <row r="20" spans="1:5" x14ac:dyDescent="0.25">
      <c r="A20" s="77" t="s">
        <v>317</v>
      </c>
      <c r="B20" s="129" t="s">
        <v>331</v>
      </c>
      <c r="C20" s="129"/>
      <c r="D20" s="129"/>
      <c r="E20" s="129"/>
    </row>
    <row r="21" spans="1:5" x14ac:dyDescent="0.25">
      <c r="A21" s="77" t="s">
        <v>323</v>
      </c>
      <c r="B21" s="129" t="s">
        <v>332</v>
      </c>
      <c r="C21" s="129"/>
      <c r="D21" s="129"/>
      <c r="E21" s="129"/>
    </row>
    <row r="23" spans="1:5" x14ac:dyDescent="0.25">
      <c r="B23" s="102" t="str">
        <f>HYPERLINK("#'Factor List'!A1","Back to Factor List")</f>
        <v>Back to Factor List</v>
      </c>
    </row>
    <row r="24" spans="1:5" x14ac:dyDescent="0.25">
      <c r="B24" s="102" t="s">
        <v>13</v>
      </c>
    </row>
    <row r="25" spans="1:5" x14ac:dyDescent="0.25">
      <c r="B25" s="102"/>
    </row>
    <row r="26" spans="1:5" ht="26.4" x14ac:dyDescent="0.25">
      <c r="A26" s="103" t="s">
        <v>373</v>
      </c>
      <c r="B26" s="103" t="s">
        <v>807</v>
      </c>
      <c r="C26" s="103" t="s">
        <v>811</v>
      </c>
      <c r="D26" s="103" t="s">
        <v>809</v>
      </c>
      <c r="E26" s="103" t="s">
        <v>810</v>
      </c>
    </row>
    <row r="27" spans="1:5" x14ac:dyDescent="0.25">
      <c r="A27" s="104">
        <v>17</v>
      </c>
      <c r="B27" s="105">
        <v>3.06</v>
      </c>
      <c r="C27" s="105">
        <v>0.56999999999999995</v>
      </c>
      <c r="D27" s="105">
        <v>3.06</v>
      </c>
      <c r="E27" s="105">
        <v>0.56999999999999995</v>
      </c>
    </row>
    <row r="28" spans="1:5" x14ac:dyDescent="0.25">
      <c r="A28" s="104">
        <v>18</v>
      </c>
      <c r="B28" s="105">
        <v>3.17</v>
      </c>
      <c r="C28" s="105">
        <v>0.61</v>
      </c>
      <c r="D28" s="105">
        <v>3.17</v>
      </c>
      <c r="E28" s="105">
        <v>0.61</v>
      </c>
    </row>
    <row r="29" spans="1:5" x14ac:dyDescent="0.25">
      <c r="A29" s="104">
        <v>19</v>
      </c>
      <c r="B29" s="105">
        <v>3.27</v>
      </c>
      <c r="C29" s="105">
        <v>0.64</v>
      </c>
      <c r="D29" s="105">
        <v>3.27</v>
      </c>
      <c r="E29" s="105">
        <v>0.64</v>
      </c>
    </row>
    <row r="30" spans="1:5" x14ac:dyDescent="0.25">
      <c r="A30" s="104">
        <v>20</v>
      </c>
      <c r="B30" s="105">
        <v>3.39</v>
      </c>
      <c r="C30" s="105">
        <v>0.67</v>
      </c>
      <c r="D30" s="105">
        <v>3.39</v>
      </c>
      <c r="E30" s="105">
        <v>0.67</v>
      </c>
    </row>
    <row r="31" spans="1:5" x14ac:dyDescent="0.25">
      <c r="A31" s="104">
        <v>21</v>
      </c>
      <c r="B31" s="105">
        <v>3.5</v>
      </c>
      <c r="C31" s="105">
        <v>0.69</v>
      </c>
      <c r="D31" s="105">
        <v>3.5</v>
      </c>
      <c r="E31" s="105">
        <v>0.69</v>
      </c>
    </row>
    <row r="32" spans="1:5" x14ac:dyDescent="0.25">
      <c r="A32" s="104">
        <v>22</v>
      </c>
      <c r="B32" s="105">
        <v>3.62</v>
      </c>
      <c r="C32" s="105">
        <v>0.72</v>
      </c>
      <c r="D32" s="105">
        <v>3.62</v>
      </c>
      <c r="E32" s="105">
        <v>0.72</v>
      </c>
    </row>
    <row r="33" spans="1:5" x14ac:dyDescent="0.25">
      <c r="A33" s="104">
        <v>23</v>
      </c>
      <c r="B33" s="105">
        <v>3.75</v>
      </c>
      <c r="C33" s="105">
        <v>0.74</v>
      </c>
      <c r="D33" s="105">
        <v>3.75</v>
      </c>
      <c r="E33" s="105">
        <v>0.74</v>
      </c>
    </row>
    <row r="34" spans="1:5" x14ac:dyDescent="0.25">
      <c r="A34" s="104">
        <v>24</v>
      </c>
      <c r="B34" s="105">
        <v>3.87</v>
      </c>
      <c r="C34" s="105">
        <v>0.77</v>
      </c>
      <c r="D34" s="105">
        <v>3.87</v>
      </c>
      <c r="E34" s="105">
        <v>0.77</v>
      </c>
    </row>
    <row r="35" spans="1:5" x14ac:dyDescent="0.25">
      <c r="A35" s="104">
        <v>25</v>
      </c>
      <c r="B35" s="105">
        <v>4.01</v>
      </c>
      <c r="C35" s="105">
        <v>0.8</v>
      </c>
      <c r="D35" s="105">
        <v>4.01</v>
      </c>
      <c r="E35" s="105">
        <v>0.8</v>
      </c>
    </row>
    <row r="36" spans="1:5" x14ac:dyDescent="0.25">
      <c r="A36" s="104">
        <v>26</v>
      </c>
      <c r="B36" s="105">
        <v>4.1399999999999997</v>
      </c>
      <c r="C36" s="105">
        <v>0.83</v>
      </c>
      <c r="D36" s="105">
        <v>4.1399999999999997</v>
      </c>
      <c r="E36" s="105">
        <v>0.83</v>
      </c>
    </row>
    <row r="37" spans="1:5" x14ac:dyDescent="0.25">
      <c r="A37" s="104">
        <v>27</v>
      </c>
      <c r="B37" s="105">
        <v>4.29</v>
      </c>
      <c r="C37" s="105">
        <v>0.86</v>
      </c>
      <c r="D37" s="105">
        <v>4.29</v>
      </c>
      <c r="E37" s="105">
        <v>0.86</v>
      </c>
    </row>
    <row r="38" spans="1:5" x14ac:dyDescent="0.25">
      <c r="A38" s="104">
        <v>28</v>
      </c>
      <c r="B38" s="105">
        <v>4.43</v>
      </c>
      <c r="C38" s="105">
        <v>0.89</v>
      </c>
      <c r="D38" s="105">
        <v>4.43</v>
      </c>
      <c r="E38" s="105">
        <v>0.89</v>
      </c>
    </row>
    <row r="39" spans="1:5" x14ac:dyDescent="0.25">
      <c r="A39" s="104">
        <v>29</v>
      </c>
      <c r="B39" s="105">
        <v>4.58</v>
      </c>
      <c r="C39" s="105">
        <v>0.92</v>
      </c>
      <c r="D39" s="105">
        <v>4.58</v>
      </c>
      <c r="E39" s="105">
        <v>0.92</v>
      </c>
    </row>
    <row r="40" spans="1:5" x14ac:dyDescent="0.25">
      <c r="A40" s="104">
        <v>30</v>
      </c>
      <c r="B40" s="105">
        <v>4.74</v>
      </c>
      <c r="C40" s="105">
        <v>0.96</v>
      </c>
      <c r="D40" s="105">
        <v>4.74</v>
      </c>
      <c r="E40" s="105">
        <v>0.96</v>
      </c>
    </row>
    <row r="41" spans="1:5" x14ac:dyDescent="0.25">
      <c r="A41" s="104">
        <v>31</v>
      </c>
      <c r="B41" s="105">
        <v>4.9000000000000004</v>
      </c>
      <c r="C41" s="105">
        <v>0.99</v>
      </c>
      <c r="D41" s="105">
        <v>4.9000000000000004</v>
      </c>
      <c r="E41" s="105">
        <v>0.99</v>
      </c>
    </row>
    <row r="42" spans="1:5" x14ac:dyDescent="0.25">
      <c r="A42" s="104">
        <v>32</v>
      </c>
      <c r="B42" s="105">
        <v>5.07</v>
      </c>
      <c r="C42" s="105">
        <v>1.02</v>
      </c>
      <c r="D42" s="105">
        <v>5.07</v>
      </c>
      <c r="E42" s="105">
        <v>1.02</v>
      </c>
    </row>
    <row r="43" spans="1:5" x14ac:dyDescent="0.25">
      <c r="A43" s="104">
        <v>33</v>
      </c>
      <c r="B43" s="105">
        <v>5.24</v>
      </c>
      <c r="C43" s="105">
        <v>1.06</v>
      </c>
      <c r="D43" s="105">
        <v>5.24</v>
      </c>
      <c r="E43" s="105">
        <v>1.06</v>
      </c>
    </row>
    <row r="44" spans="1:5" x14ac:dyDescent="0.25">
      <c r="A44" s="104">
        <v>34</v>
      </c>
      <c r="B44" s="105">
        <v>5.42</v>
      </c>
      <c r="C44" s="105">
        <v>1.1000000000000001</v>
      </c>
      <c r="D44" s="105">
        <v>5.42</v>
      </c>
      <c r="E44" s="105">
        <v>1.1000000000000001</v>
      </c>
    </row>
    <row r="45" spans="1:5" x14ac:dyDescent="0.25">
      <c r="A45" s="104">
        <v>35</v>
      </c>
      <c r="B45" s="105">
        <v>5.61</v>
      </c>
      <c r="C45" s="105">
        <v>1.1299999999999999</v>
      </c>
      <c r="D45" s="105">
        <v>5.61</v>
      </c>
      <c r="E45" s="105">
        <v>1.1299999999999999</v>
      </c>
    </row>
    <row r="46" spans="1:5" x14ac:dyDescent="0.25">
      <c r="A46" s="104">
        <v>36</v>
      </c>
      <c r="B46" s="105">
        <v>5.8</v>
      </c>
      <c r="C46" s="105">
        <v>1.17</v>
      </c>
      <c r="D46" s="105">
        <v>5.8</v>
      </c>
      <c r="E46" s="105">
        <v>1.17</v>
      </c>
    </row>
    <row r="47" spans="1:5" x14ac:dyDescent="0.25">
      <c r="A47" s="104">
        <v>37</v>
      </c>
      <c r="B47" s="105">
        <v>6</v>
      </c>
      <c r="C47" s="105">
        <v>1.21</v>
      </c>
      <c r="D47" s="105">
        <v>6</v>
      </c>
      <c r="E47" s="105">
        <v>1.21</v>
      </c>
    </row>
    <row r="48" spans="1:5" x14ac:dyDescent="0.25">
      <c r="A48" s="104">
        <v>38</v>
      </c>
      <c r="B48" s="105">
        <v>6.21</v>
      </c>
      <c r="C48" s="105">
        <v>1.25</v>
      </c>
      <c r="D48" s="105">
        <v>6.21</v>
      </c>
      <c r="E48" s="105">
        <v>1.25</v>
      </c>
    </row>
    <row r="49" spans="1:5" x14ac:dyDescent="0.25">
      <c r="A49" s="104">
        <v>39</v>
      </c>
      <c r="B49" s="105">
        <v>6.42</v>
      </c>
      <c r="C49" s="105">
        <v>1.29</v>
      </c>
      <c r="D49" s="105">
        <v>6.42</v>
      </c>
      <c r="E49" s="105">
        <v>1.29</v>
      </c>
    </row>
    <row r="50" spans="1:5" x14ac:dyDescent="0.25">
      <c r="A50" s="104">
        <v>40</v>
      </c>
      <c r="B50" s="105">
        <v>6.64</v>
      </c>
      <c r="C50" s="105">
        <v>1.34</v>
      </c>
      <c r="D50" s="105">
        <v>6.64</v>
      </c>
      <c r="E50" s="105">
        <v>1.34</v>
      </c>
    </row>
    <row r="51" spans="1:5" x14ac:dyDescent="0.25">
      <c r="A51" s="104">
        <v>41</v>
      </c>
      <c r="B51" s="105">
        <v>6.87</v>
      </c>
      <c r="C51" s="105">
        <v>1.38</v>
      </c>
      <c r="D51" s="105">
        <v>6.87</v>
      </c>
      <c r="E51" s="105">
        <v>1.38</v>
      </c>
    </row>
    <row r="52" spans="1:5" x14ac:dyDescent="0.25">
      <c r="A52" s="104">
        <v>42</v>
      </c>
      <c r="B52" s="105">
        <v>7.11</v>
      </c>
      <c r="C52" s="105">
        <v>1.42</v>
      </c>
      <c r="D52" s="105">
        <v>7.11</v>
      </c>
      <c r="E52" s="105">
        <v>1.42</v>
      </c>
    </row>
    <row r="53" spans="1:5" x14ac:dyDescent="0.25">
      <c r="A53" s="104">
        <v>43</v>
      </c>
      <c r="B53" s="105">
        <v>7.36</v>
      </c>
      <c r="C53" s="105">
        <v>1.47</v>
      </c>
      <c r="D53" s="105">
        <v>7.36</v>
      </c>
      <c r="E53" s="105">
        <v>1.47</v>
      </c>
    </row>
    <row r="54" spans="1:5" x14ac:dyDescent="0.25">
      <c r="A54" s="104">
        <v>44</v>
      </c>
      <c r="B54" s="105">
        <v>7.61</v>
      </c>
      <c r="C54" s="105">
        <v>1.51</v>
      </c>
      <c r="D54" s="105">
        <v>7.61</v>
      </c>
      <c r="E54" s="105">
        <v>1.51</v>
      </c>
    </row>
    <row r="55" spans="1:5" x14ac:dyDescent="0.25">
      <c r="A55" s="104">
        <v>45</v>
      </c>
      <c r="B55" s="105">
        <v>7.88</v>
      </c>
      <c r="C55" s="105">
        <v>1.56</v>
      </c>
      <c r="D55" s="105">
        <v>7.88</v>
      </c>
      <c r="E55" s="105">
        <v>1.56</v>
      </c>
    </row>
    <row r="56" spans="1:5" x14ac:dyDescent="0.25">
      <c r="A56" s="104">
        <v>46</v>
      </c>
      <c r="B56" s="105">
        <v>8.15</v>
      </c>
      <c r="C56" s="105">
        <v>1.61</v>
      </c>
      <c r="D56" s="105">
        <v>8.15</v>
      </c>
      <c r="E56" s="105">
        <v>1.61</v>
      </c>
    </row>
    <row r="57" spans="1:5" x14ac:dyDescent="0.25">
      <c r="A57" s="104">
        <v>47</v>
      </c>
      <c r="B57" s="105">
        <v>8.44</v>
      </c>
      <c r="C57" s="105">
        <v>1.65</v>
      </c>
      <c r="D57" s="105">
        <v>8.44</v>
      </c>
      <c r="E57" s="105">
        <v>1.65</v>
      </c>
    </row>
    <row r="58" spans="1:5" x14ac:dyDescent="0.25">
      <c r="A58" s="104">
        <v>48</v>
      </c>
      <c r="B58" s="105">
        <v>8.73</v>
      </c>
      <c r="C58" s="105">
        <v>1.7</v>
      </c>
      <c r="D58" s="105">
        <v>8.73</v>
      </c>
      <c r="E58" s="105">
        <v>1.7</v>
      </c>
    </row>
    <row r="59" spans="1:5" x14ac:dyDescent="0.25">
      <c r="A59" s="104">
        <v>49</v>
      </c>
      <c r="B59" s="105">
        <v>9.0399999999999991</v>
      </c>
      <c r="C59" s="105">
        <v>1.75</v>
      </c>
      <c r="D59" s="105">
        <v>9.0399999999999991</v>
      </c>
      <c r="E59" s="105">
        <v>1.75</v>
      </c>
    </row>
    <row r="60" spans="1:5" x14ac:dyDescent="0.25">
      <c r="A60" s="104">
        <v>50</v>
      </c>
      <c r="B60" s="105">
        <v>9.36</v>
      </c>
      <c r="C60" s="105">
        <v>1.8</v>
      </c>
      <c r="D60" s="105">
        <v>9.36</v>
      </c>
      <c r="E60" s="105">
        <v>1.8</v>
      </c>
    </row>
    <row r="61" spans="1:5" x14ac:dyDescent="0.25">
      <c r="A61" s="104">
        <v>51</v>
      </c>
      <c r="B61" s="105">
        <v>9.69</v>
      </c>
      <c r="C61" s="105">
        <v>1.85</v>
      </c>
      <c r="D61" s="105">
        <v>9.69</v>
      </c>
      <c r="E61" s="105">
        <v>1.85</v>
      </c>
    </row>
    <row r="62" spans="1:5" x14ac:dyDescent="0.25">
      <c r="A62" s="104">
        <v>52</v>
      </c>
      <c r="B62" s="105">
        <v>10.029999999999999</v>
      </c>
      <c r="C62" s="105">
        <v>1.9</v>
      </c>
      <c r="D62" s="105">
        <v>10.029999999999999</v>
      </c>
      <c r="E62" s="105">
        <v>1.9</v>
      </c>
    </row>
    <row r="63" spans="1:5" x14ac:dyDescent="0.25">
      <c r="A63" s="104">
        <v>53</v>
      </c>
      <c r="B63" s="105">
        <v>10.39</v>
      </c>
      <c r="C63" s="105">
        <v>1.95</v>
      </c>
      <c r="D63" s="105">
        <v>10.39</v>
      </c>
      <c r="E63" s="105">
        <v>1.95</v>
      </c>
    </row>
    <row r="64" spans="1:5" x14ac:dyDescent="0.25">
      <c r="A64" s="104">
        <v>54</v>
      </c>
      <c r="B64" s="105">
        <v>10.76</v>
      </c>
      <c r="C64" s="105">
        <v>2</v>
      </c>
      <c r="D64" s="105">
        <v>10.76</v>
      </c>
      <c r="E64" s="105">
        <v>2</v>
      </c>
    </row>
    <row r="65" spans="1:5" x14ac:dyDescent="0.25">
      <c r="A65" s="104">
        <v>55</v>
      </c>
      <c r="B65" s="105">
        <v>11.15</v>
      </c>
      <c r="C65" s="105">
        <v>2.0499999999999998</v>
      </c>
      <c r="D65" s="105">
        <v>11.15</v>
      </c>
      <c r="E65" s="105">
        <v>2.0499999999999998</v>
      </c>
    </row>
    <row r="66" spans="1:5" x14ac:dyDescent="0.25">
      <c r="A66" s="104">
        <v>56</v>
      </c>
      <c r="B66" s="105">
        <v>11.55</v>
      </c>
      <c r="C66" s="105">
        <v>2.1</v>
      </c>
      <c r="D66" s="105">
        <v>11.55</v>
      </c>
      <c r="E66" s="105">
        <v>2.1</v>
      </c>
    </row>
    <row r="67" spans="1:5" x14ac:dyDescent="0.25">
      <c r="A67" s="104">
        <v>57</v>
      </c>
      <c r="B67" s="105">
        <v>11.97</v>
      </c>
      <c r="C67" s="105">
        <v>2.16</v>
      </c>
      <c r="D67" s="105">
        <v>11.97</v>
      </c>
      <c r="E67" s="105">
        <v>2.16</v>
      </c>
    </row>
    <row r="68" spans="1:5" x14ac:dyDescent="0.25">
      <c r="A68" s="104">
        <v>58</v>
      </c>
      <c r="B68" s="105">
        <v>12.41</v>
      </c>
      <c r="C68" s="105">
        <v>2.21</v>
      </c>
      <c r="D68" s="105">
        <v>12.41</v>
      </c>
      <c r="E68" s="105">
        <v>2.21</v>
      </c>
    </row>
    <row r="69" spans="1:5" x14ac:dyDescent="0.25">
      <c r="A69" s="104">
        <v>59</v>
      </c>
      <c r="B69" s="105">
        <v>12.87</v>
      </c>
      <c r="C69" s="105">
        <v>2.25</v>
      </c>
      <c r="D69" s="105">
        <v>12.87</v>
      </c>
      <c r="E69" s="105">
        <v>2.25</v>
      </c>
    </row>
    <row r="70" spans="1:5" x14ac:dyDescent="0.25">
      <c r="A70" s="104">
        <v>60</v>
      </c>
      <c r="B70" s="105">
        <v>13.36</v>
      </c>
      <c r="C70" s="105">
        <v>2.2999999999999998</v>
      </c>
      <c r="D70" s="105">
        <v>13.36</v>
      </c>
      <c r="E70" s="105">
        <v>2.2999999999999998</v>
      </c>
    </row>
    <row r="71" spans="1:5" x14ac:dyDescent="0.25">
      <c r="A71" s="104">
        <v>61</v>
      </c>
      <c r="B71" s="105">
        <v>13.86</v>
      </c>
      <c r="C71" s="105">
        <v>2.35</v>
      </c>
      <c r="D71" s="105">
        <v>13.86</v>
      </c>
      <c r="E71" s="105">
        <v>2.35</v>
      </c>
    </row>
    <row r="72" spans="1:5" x14ac:dyDescent="0.25">
      <c r="A72" s="104">
        <v>62</v>
      </c>
      <c r="B72" s="105">
        <v>14.4</v>
      </c>
      <c r="C72" s="105">
        <v>2.39</v>
      </c>
      <c r="D72" s="105">
        <v>14.4</v>
      </c>
      <c r="E72" s="105">
        <v>2.39</v>
      </c>
    </row>
    <row r="73" spans="1:5" x14ac:dyDescent="0.25">
      <c r="A73" s="104">
        <v>63</v>
      </c>
      <c r="B73" s="105">
        <v>14.96</v>
      </c>
      <c r="C73" s="105">
        <v>2.4300000000000002</v>
      </c>
      <c r="D73" s="105">
        <v>14.96</v>
      </c>
      <c r="E73" s="105">
        <v>2.4300000000000002</v>
      </c>
    </row>
    <row r="74" spans="1:5" x14ac:dyDescent="0.25">
      <c r="A74" s="104">
        <v>64</v>
      </c>
      <c r="B74" s="105">
        <v>15.55</v>
      </c>
      <c r="C74" s="105">
        <v>2.4700000000000002</v>
      </c>
      <c r="D74" s="105">
        <v>15.55</v>
      </c>
      <c r="E74" s="105">
        <v>2.4700000000000002</v>
      </c>
    </row>
    <row r="75" spans="1:5" x14ac:dyDescent="0.25">
      <c r="A75" s="104">
        <v>65</v>
      </c>
      <c r="B75" s="105">
        <v>16.18</v>
      </c>
      <c r="C75" s="105">
        <v>2.5099999999999998</v>
      </c>
      <c r="D75" s="105">
        <v>16.18</v>
      </c>
      <c r="E75" s="105">
        <v>2.5099999999999998</v>
      </c>
    </row>
    <row r="76" spans="1:5" x14ac:dyDescent="0.25">
      <c r="A76" s="104">
        <v>66</v>
      </c>
      <c r="B76" s="105">
        <v>16.84</v>
      </c>
      <c r="C76" s="105">
        <v>2.54</v>
      </c>
      <c r="D76" s="105">
        <v>16.84</v>
      </c>
      <c r="E76" s="105">
        <v>2.54</v>
      </c>
    </row>
    <row r="77" spans="1:5" x14ac:dyDescent="0.25">
      <c r="A77" s="104">
        <v>67</v>
      </c>
      <c r="B77" s="105">
        <v>16.850000000000001</v>
      </c>
      <c r="C77" s="105">
        <v>2.5499999999999998</v>
      </c>
      <c r="D77" s="105">
        <v>16.850000000000001</v>
      </c>
      <c r="E77" s="105">
        <v>2.5499999999999998</v>
      </c>
    </row>
    <row r="78" spans="1:5" x14ac:dyDescent="0.25">
      <c r="A78" s="104">
        <v>68</v>
      </c>
      <c r="B78" s="105">
        <v>16.18</v>
      </c>
      <c r="C78" s="105">
        <v>2.5499999999999998</v>
      </c>
      <c r="D78" s="105">
        <v>16.18</v>
      </c>
      <c r="E78" s="105">
        <v>2.5499999999999998</v>
      </c>
    </row>
    <row r="79" spans="1:5" x14ac:dyDescent="0.25">
      <c r="A79" s="104">
        <v>69</v>
      </c>
      <c r="B79" s="105">
        <v>15.51</v>
      </c>
      <c r="C79" s="105">
        <v>2.54</v>
      </c>
      <c r="D79" s="105">
        <v>15.51</v>
      </c>
      <c r="E79" s="105">
        <v>2.54</v>
      </c>
    </row>
    <row r="80" spans="1:5" x14ac:dyDescent="0.25">
      <c r="A80" s="104">
        <v>70</v>
      </c>
      <c r="B80" s="105">
        <v>14.85</v>
      </c>
      <c r="C80" s="105">
        <v>2.5299999999999998</v>
      </c>
      <c r="D80" s="105">
        <v>14.85</v>
      </c>
      <c r="E80" s="105">
        <v>2.5299999999999998</v>
      </c>
    </row>
    <row r="81" spans="1:5" x14ac:dyDescent="0.25">
      <c r="A81" s="104">
        <v>71</v>
      </c>
      <c r="B81" s="105">
        <v>14.2</v>
      </c>
      <c r="C81" s="105">
        <v>2.5099999999999998</v>
      </c>
      <c r="D81" s="105">
        <v>14.2</v>
      </c>
      <c r="E81" s="105">
        <v>2.5099999999999998</v>
      </c>
    </row>
    <row r="82" spans="1:5" x14ac:dyDescent="0.25">
      <c r="A82" s="104">
        <v>72</v>
      </c>
      <c r="B82" s="105">
        <v>13.57</v>
      </c>
      <c r="C82" s="105">
        <v>2.5</v>
      </c>
      <c r="D82" s="105">
        <v>13.57</v>
      </c>
      <c r="E82" s="105">
        <v>2.5</v>
      </c>
    </row>
    <row r="83" spans="1:5" x14ac:dyDescent="0.25">
      <c r="A83" s="104">
        <v>73</v>
      </c>
      <c r="B83" s="105">
        <v>12.94</v>
      </c>
      <c r="C83" s="105">
        <v>2.4700000000000002</v>
      </c>
      <c r="D83" s="105">
        <v>12.94</v>
      </c>
      <c r="E83" s="105">
        <v>2.4700000000000002</v>
      </c>
    </row>
    <row r="84" spans="1:5" x14ac:dyDescent="0.25">
      <c r="A84" s="104">
        <v>74</v>
      </c>
      <c r="B84" s="105">
        <v>12.31</v>
      </c>
      <c r="C84" s="105">
        <v>2.4500000000000002</v>
      </c>
      <c r="D84" s="105">
        <v>12.31</v>
      </c>
      <c r="E84" s="105">
        <v>2.4500000000000002</v>
      </c>
    </row>
    <row r="85" spans="1:5" x14ac:dyDescent="0.25">
      <c r="A85" s="104">
        <v>75</v>
      </c>
      <c r="B85" s="105">
        <v>11.69</v>
      </c>
      <c r="C85" s="105">
        <v>2.42</v>
      </c>
      <c r="D85" s="105">
        <v>11.69</v>
      </c>
      <c r="E85" s="105">
        <v>2.42</v>
      </c>
    </row>
  </sheetData>
  <sheetProtection algorithmName="SHA-512" hashValue="g6MEl8iSi58+Pwba9LXC8/GsSbORTTxmtflJQEg7w2DgO/5h1liNUxJnktVigIg/AGWbzYoZ+0NymROsk8UiMg==" saltValue="wDHpZEYd2UWFc/D5pjlKgQ==" spinCount="100000" sheet="1" objects="1" scenarios="1"/>
  <conditionalFormatting sqref="A6:A21">
    <cfRule type="expression" dxfId="1451" priority="1" stopIfTrue="1">
      <formula>MOD(ROW(),2)=0</formula>
    </cfRule>
    <cfRule type="expression" dxfId="1450" priority="2" stopIfTrue="1">
      <formula>MOD(ROW(),2)&lt;&gt;0</formula>
    </cfRule>
  </conditionalFormatting>
  <conditionalFormatting sqref="A26:A85">
    <cfRule type="expression" dxfId="1449" priority="7" stopIfTrue="1">
      <formula>MOD(ROW(),2)=0</formula>
    </cfRule>
    <cfRule type="expression" dxfId="1448" priority="8" stopIfTrue="1">
      <formula>MOD(ROW(),2)&lt;&gt;0</formula>
    </cfRule>
  </conditionalFormatting>
  <conditionalFormatting sqref="B12">
    <cfRule type="expression" dxfId="1447" priority="11" stopIfTrue="1">
      <formula>MOD(ROW(),2)=0</formula>
    </cfRule>
    <cfRule type="expression" dxfId="1446" priority="12" stopIfTrue="1">
      <formula>MOD(ROW(),2)&lt;&gt;0</formula>
    </cfRule>
  </conditionalFormatting>
  <conditionalFormatting sqref="B17:B20">
    <cfRule type="expression" dxfId="1445" priority="5" stopIfTrue="1">
      <formula>MOD(ROW(),2)=0</formula>
    </cfRule>
    <cfRule type="expression" dxfId="1444" priority="6" stopIfTrue="1">
      <formula>MOD(ROW(),2)&lt;&gt;0</formula>
    </cfRule>
  </conditionalFormatting>
  <conditionalFormatting sqref="B6:E6 C7:E7 B8:E11 C12:E12 B13:E16 C17:E20">
    <cfRule type="expression" dxfId="1443" priority="43" stopIfTrue="1">
      <formula>MOD(ROW(),2)=0</formula>
    </cfRule>
    <cfRule type="expression" dxfId="1442" priority="44" stopIfTrue="1">
      <formula>MOD(ROW(),2)&lt;&gt;0</formula>
    </cfRule>
  </conditionalFormatting>
  <conditionalFormatting sqref="B6:E21">
    <cfRule type="expression" dxfId="1441" priority="27" stopIfTrue="1">
      <formula>MOD(ROW(),2)=0</formula>
    </cfRule>
    <cfRule type="expression" dxfId="1440" priority="28" stopIfTrue="1">
      <formula>MOD(ROW(),2)&lt;&gt;0</formula>
    </cfRule>
  </conditionalFormatting>
  <conditionalFormatting sqref="B21:E21">
    <cfRule type="expression" dxfId="1439" priority="3" stopIfTrue="1">
      <formula>MOD(ROW(),2)=0</formula>
    </cfRule>
    <cfRule type="expression" dxfId="1438" priority="4" stopIfTrue="1">
      <formula>MOD(ROW(),2)&lt;&gt;0</formula>
    </cfRule>
  </conditionalFormatting>
  <conditionalFormatting sqref="B26:E85">
    <cfRule type="expression" dxfId="1437" priority="9" stopIfTrue="1">
      <formula>MOD(ROW(),2)=0</formula>
    </cfRule>
    <cfRule type="expression" dxfId="1436" priority="10" stopIfTrue="1">
      <formula>MOD(ROW(),2)&lt;&gt;0</formula>
    </cfRule>
  </conditionalFormatting>
  <hyperlinks>
    <hyperlink ref="B24" location="Sheet1!A1" display="Assumptions" xr:uid="{EF237BAE-FFB8-4233-A3EE-D4B6477519A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codeName="Sheet149"/>
  <dimension ref="A1:I36"/>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WPS refunds - x-813</v>
      </c>
      <c r="B3" s="42"/>
      <c r="C3" s="42"/>
      <c r="D3" s="42"/>
      <c r="E3" s="42"/>
      <c r="F3" s="42"/>
      <c r="G3" s="42"/>
      <c r="H3" s="42"/>
      <c r="I3" s="42"/>
    </row>
    <row r="4" spans="1:9" x14ac:dyDescent="0.25">
      <c r="A4" s="44"/>
    </row>
    <row r="6" spans="1:9" x14ac:dyDescent="0.25">
      <c r="A6" s="76" t="s">
        <v>290</v>
      </c>
      <c r="B6" s="185" t="s">
        <v>291</v>
      </c>
    </row>
    <row r="7" spans="1:9" ht="26.7" customHeight="1" x14ac:dyDescent="0.25">
      <c r="A7" s="77" t="s">
        <v>804</v>
      </c>
      <c r="B7" s="185" t="s">
        <v>345</v>
      </c>
    </row>
    <row r="8" spans="1:9" x14ac:dyDescent="0.25">
      <c r="A8" s="77" t="s">
        <v>805</v>
      </c>
      <c r="B8" s="185" t="s">
        <v>88</v>
      </c>
    </row>
    <row r="9" spans="1:9" x14ac:dyDescent="0.25">
      <c r="A9" s="77" t="s">
        <v>296</v>
      </c>
      <c r="B9" s="185" t="s">
        <v>719</v>
      </c>
    </row>
    <row r="10" spans="1:9" ht="63" customHeight="1" x14ac:dyDescent="0.25">
      <c r="A10" s="77" t="s">
        <v>6</v>
      </c>
      <c r="B10" s="185" t="s">
        <v>726</v>
      </c>
    </row>
    <row r="11" spans="1:9" x14ac:dyDescent="0.25">
      <c r="A11" s="77" t="s">
        <v>299</v>
      </c>
      <c r="B11" s="185" t="s">
        <v>364</v>
      </c>
    </row>
    <row r="12" spans="1:9" x14ac:dyDescent="0.25">
      <c r="A12" s="77" t="s">
        <v>301</v>
      </c>
      <c r="B12" s="185" t="s">
        <v>328</v>
      </c>
    </row>
    <row r="13" spans="1:9" x14ac:dyDescent="0.25">
      <c r="A13" s="77" t="s">
        <v>806</v>
      </c>
      <c r="B13" s="185">
        <v>1</v>
      </c>
    </row>
    <row r="14" spans="1:9" x14ac:dyDescent="0.25">
      <c r="A14" s="77" t="s">
        <v>305</v>
      </c>
      <c r="B14" s="185">
        <v>813</v>
      </c>
    </row>
    <row r="15" spans="1:9" x14ac:dyDescent="0.25">
      <c r="A15" s="77" t="s">
        <v>307</v>
      </c>
      <c r="B15" s="185" t="s">
        <v>727</v>
      </c>
    </row>
    <row r="16" spans="1:9" x14ac:dyDescent="0.25">
      <c r="A16" s="77" t="s">
        <v>825</v>
      </c>
      <c r="B16" s="185" t="s">
        <v>728</v>
      </c>
    </row>
    <row r="17" spans="1:2" ht="212.25" customHeight="1" x14ac:dyDescent="0.25">
      <c r="A17" s="77" t="s">
        <v>803</v>
      </c>
      <c r="B17" s="185"/>
    </row>
    <row r="18" spans="1:2" x14ac:dyDescent="0.25">
      <c r="A18" s="77" t="s">
        <v>313</v>
      </c>
      <c r="B18" s="188">
        <v>45184</v>
      </c>
    </row>
    <row r="19" spans="1:2" x14ac:dyDescent="0.25">
      <c r="A19" s="77" t="s">
        <v>315</v>
      </c>
      <c r="B19" s="188"/>
    </row>
    <row r="20" spans="1:2" x14ac:dyDescent="0.25">
      <c r="A20" s="77" t="s">
        <v>317</v>
      </c>
      <c r="B20" s="185" t="s">
        <v>331</v>
      </c>
    </row>
    <row r="21" spans="1:2" x14ac:dyDescent="0.25">
      <c r="A21" s="77" t="s">
        <v>323</v>
      </c>
      <c r="B21" s="185" t="s">
        <v>332</v>
      </c>
    </row>
    <row r="23" spans="1:2" x14ac:dyDescent="0.25">
      <c r="B23" s="102" t="str">
        <f>HYPERLINK("#'Factor List'!A1","Back to Factor List")</f>
        <v>Back to Factor List</v>
      </c>
    </row>
    <row r="24" spans="1:2" x14ac:dyDescent="0.25">
      <c r="B24" s="102" t="s">
        <v>13</v>
      </c>
    </row>
    <row r="25" spans="1:2" x14ac:dyDescent="0.25">
      <c r="B25" s="102"/>
    </row>
    <row r="26" spans="1:2" x14ac:dyDescent="0.25">
      <c r="A26" s="73" t="s">
        <v>373</v>
      </c>
      <c r="B26" s="73" t="s">
        <v>824</v>
      </c>
    </row>
    <row r="27" spans="1:2" x14ac:dyDescent="0.25">
      <c r="A27" s="74">
        <v>50</v>
      </c>
      <c r="B27" s="101">
        <v>2.7749999999999999</v>
      </c>
    </row>
    <row r="28" spans="1:2" x14ac:dyDescent="0.25">
      <c r="A28" s="74">
        <v>51</v>
      </c>
      <c r="B28" s="101">
        <v>2.5249999999999995</v>
      </c>
    </row>
    <row r="29" spans="1:2" x14ac:dyDescent="0.25">
      <c r="A29" s="74">
        <v>52</v>
      </c>
      <c r="B29" s="101">
        <v>2.2999999999999998</v>
      </c>
    </row>
    <row r="30" spans="1:2" x14ac:dyDescent="0.25">
      <c r="A30" s="74">
        <v>53</v>
      </c>
      <c r="B30" s="101">
        <v>2.0499999999999998</v>
      </c>
    </row>
    <row r="31" spans="1:2" x14ac:dyDescent="0.25">
      <c r="A31" s="74">
        <v>54</v>
      </c>
      <c r="B31" s="101">
        <v>1.875</v>
      </c>
    </row>
    <row r="32" spans="1:2" x14ac:dyDescent="0.25">
      <c r="A32" s="74">
        <v>55</v>
      </c>
      <c r="B32" s="101">
        <v>1.7250000000000001</v>
      </c>
    </row>
    <row r="33" spans="1:2" x14ac:dyDescent="0.25">
      <c r="A33" s="74">
        <v>56</v>
      </c>
      <c r="B33" s="101">
        <v>1.6</v>
      </c>
    </row>
    <row r="34" spans="1:2" x14ac:dyDescent="0.25">
      <c r="A34" s="74">
        <v>57</v>
      </c>
      <c r="B34" s="101">
        <v>1.5</v>
      </c>
    </row>
    <row r="35" spans="1:2" x14ac:dyDescent="0.25">
      <c r="A35" s="74">
        <v>58</v>
      </c>
      <c r="B35" s="101">
        <v>1.4249999999999998</v>
      </c>
    </row>
    <row r="36" spans="1:2" x14ac:dyDescent="0.25">
      <c r="A36" s="74">
        <v>59</v>
      </c>
      <c r="B36" s="101">
        <v>1.375</v>
      </c>
    </row>
  </sheetData>
  <sheetProtection algorithmName="SHA-512" hashValue="BHG+0V0+IMLwsOclWyNnwRS3PU7DUjXiTBb24zufuergZd8LqYOQTwJm1IRto8LKVuwTnw+CzyaZcrCBcuB4Ww==" saltValue="ksnBDrqrV0XRDswcmifoqw==" spinCount="100000" sheet="1" objects="1" scenarios="1"/>
  <conditionalFormatting sqref="A6:A21">
    <cfRule type="expression" dxfId="63" priority="1" stopIfTrue="1">
      <formula>MOD(ROW(),2)=0</formula>
    </cfRule>
    <cfRule type="expression" dxfId="62" priority="2" stopIfTrue="1">
      <formula>MOD(ROW(),2)&lt;&gt;0</formula>
    </cfRule>
  </conditionalFormatting>
  <conditionalFormatting sqref="A26:A36">
    <cfRule type="expression" dxfId="61" priority="17" stopIfTrue="1">
      <formula>MOD(ROW(),2)=0</formula>
    </cfRule>
    <cfRule type="expression" dxfId="60" priority="18" stopIfTrue="1">
      <formula>MOD(ROW(),2)&lt;&gt;0</formula>
    </cfRule>
  </conditionalFormatting>
  <conditionalFormatting sqref="B6">
    <cfRule type="expression" dxfId="59" priority="31" stopIfTrue="1">
      <formula>MOD(ROW(),2)=0</formula>
    </cfRule>
    <cfRule type="expression" dxfId="58" priority="32" stopIfTrue="1">
      <formula>MOD(ROW(),2)&lt;&gt;0</formula>
    </cfRule>
  </conditionalFormatting>
  <conditionalFormatting sqref="B6:B21">
    <cfRule type="expression" dxfId="57" priority="13" stopIfTrue="1">
      <formula>MOD(ROW(),2)=0</formula>
    </cfRule>
    <cfRule type="expression" dxfId="56" priority="14" stopIfTrue="1">
      <formula>MOD(ROW(),2)&lt;&gt;0</formula>
    </cfRule>
  </conditionalFormatting>
  <conditionalFormatting sqref="B8:B16">
    <cfRule type="expression" dxfId="55" priority="27" stopIfTrue="1">
      <formula>MOD(ROW(),2)=0</formula>
    </cfRule>
    <cfRule type="expression" dxfId="54" priority="28" stopIfTrue="1">
      <formula>MOD(ROW(),2)&lt;&gt;0</formula>
    </cfRule>
  </conditionalFormatting>
  <conditionalFormatting sqref="B17:B21">
    <cfRule type="expression" dxfId="53" priority="3" stopIfTrue="1">
      <formula>MOD(ROW(),2)=0</formula>
    </cfRule>
    <cfRule type="expression" dxfId="52" priority="4" stopIfTrue="1">
      <formula>MOD(ROW(),2)&lt;&gt;0</formula>
    </cfRule>
  </conditionalFormatting>
  <conditionalFormatting sqref="B26:B36">
    <cfRule type="expression" dxfId="51" priority="19" stopIfTrue="1">
      <formula>MOD(ROW(),2)=0</formula>
    </cfRule>
    <cfRule type="expression" dxfId="50" priority="20" stopIfTrue="1">
      <formula>MOD(ROW(),2)&lt;&gt;0</formula>
    </cfRule>
  </conditionalFormatting>
  <hyperlinks>
    <hyperlink ref="B24" location="Sheet1!A1" display="Assumptions" xr:uid="{24C1AB39-39F2-4152-AAE0-32380D9269F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sheetPr codeName="Sheet150"/>
  <dimension ref="A1:I66"/>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WPS refunds - x-814</v>
      </c>
      <c r="B3" s="42"/>
      <c r="C3" s="42"/>
      <c r="D3" s="42"/>
      <c r="E3" s="42"/>
      <c r="F3" s="42"/>
      <c r="G3" s="42"/>
      <c r="H3" s="42"/>
      <c r="I3" s="42"/>
    </row>
    <row r="4" spans="1:9" x14ac:dyDescent="0.25">
      <c r="A4" s="44"/>
    </row>
    <row r="6" spans="1:9" x14ac:dyDescent="0.25">
      <c r="A6" s="76" t="s">
        <v>290</v>
      </c>
      <c r="B6" s="185" t="s">
        <v>291</v>
      </c>
    </row>
    <row r="7" spans="1:9" ht="46.5" customHeight="1" x14ac:dyDescent="0.25">
      <c r="A7" s="77" t="s">
        <v>804</v>
      </c>
      <c r="B7" s="185" t="s">
        <v>345</v>
      </c>
    </row>
    <row r="8" spans="1:9" x14ac:dyDescent="0.25">
      <c r="A8" s="77" t="s">
        <v>805</v>
      </c>
      <c r="B8" s="185" t="s">
        <v>88</v>
      </c>
    </row>
    <row r="9" spans="1:9" x14ac:dyDescent="0.25">
      <c r="A9" s="77" t="s">
        <v>296</v>
      </c>
      <c r="B9" s="185" t="s">
        <v>719</v>
      </c>
    </row>
    <row r="10" spans="1:9" ht="67.2" customHeight="1" x14ac:dyDescent="0.25">
      <c r="A10" s="77" t="s">
        <v>6</v>
      </c>
      <c r="B10" s="185" t="s">
        <v>729</v>
      </c>
    </row>
    <row r="11" spans="1:9" x14ac:dyDescent="0.25">
      <c r="A11" s="77" t="s">
        <v>299</v>
      </c>
      <c r="B11" s="185" t="s">
        <v>364</v>
      </c>
    </row>
    <row r="12" spans="1:9" x14ac:dyDescent="0.25">
      <c r="A12" s="77" t="s">
        <v>301</v>
      </c>
      <c r="B12" s="185" t="s">
        <v>328</v>
      </c>
    </row>
    <row r="13" spans="1:9" x14ac:dyDescent="0.25">
      <c r="A13" s="77" t="s">
        <v>806</v>
      </c>
      <c r="B13" s="185">
        <v>1</v>
      </c>
    </row>
    <row r="14" spans="1:9" x14ac:dyDescent="0.25">
      <c r="A14" s="77" t="s">
        <v>305</v>
      </c>
      <c r="B14" s="185">
        <v>814</v>
      </c>
    </row>
    <row r="15" spans="1:9" x14ac:dyDescent="0.25">
      <c r="A15" s="77" t="s">
        <v>307</v>
      </c>
      <c r="B15" s="185" t="s">
        <v>730</v>
      </c>
    </row>
    <row r="16" spans="1:9" x14ac:dyDescent="0.25">
      <c r="A16" s="77" t="s">
        <v>825</v>
      </c>
      <c r="B16" s="185" t="s">
        <v>731</v>
      </c>
    </row>
    <row r="17" spans="1:2" ht="219" customHeight="1" x14ac:dyDescent="0.25">
      <c r="A17" s="77" t="s">
        <v>803</v>
      </c>
      <c r="B17" s="185"/>
    </row>
    <row r="18" spans="1:2" x14ac:dyDescent="0.25">
      <c r="A18" s="77" t="s">
        <v>313</v>
      </c>
      <c r="B18" s="188">
        <v>45184</v>
      </c>
    </row>
    <row r="19" spans="1:2" x14ac:dyDescent="0.25">
      <c r="A19" s="77" t="s">
        <v>315</v>
      </c>
      <c r="B19" s="188"/>
    </row>
    <row r="20" spans="1:2" x14ac:dyDescent="0.25">
      <c r="A20" s="77" t="s">
        <v>317</v>
      </c>
      <c r="B20" s="185" t="s">
        <v>331</v>
      </c>
    </row>
    <row r="21" spans="1:2" x14ac:dyDescent="0.25">
      <c r="A21" s="77" t="s">
        <v>323</v>
      </c>
      <c r="B21" s="185" t="s">
        <v>332</v>
      </c>
    </row>
    <row r="23" spans="1:2" x14ac:dyDescent="0.25">
      <c r="B23" s="102" t="str">
        <f>HYPERLINK("#'Factor List'!A1","Back to Factor List")</f>
        <v>Back to Factor List</v>
      </c>
    </row>
    <row r="24" spans="1:2" x14ac:dyDescent="0.25">
      <c r="B24" s="102" t="s">
        <v>13</v>
      </c>
    </row>
    <row r="25" spans="1:2" x14ac:dyDescent="0.25">
      <c r="B25" s="102"/>
    </row>
    <row r="26" spans="1:2" x14ac:dyDescent="0.25">
      <c r="A26" s="73" t="s">
        <v>373</v>
      </c>
      <c r="B26" s="73" t="s">
        <v>824</v>
      </c>
    </row>
    <row r="27" spans="1:2" x14ac:dyDescent="0.25">
      <c r="A27" s="74">
        <v>20</v>
      </c>
      <c r="B27" s="101">
        <v>8.25</v>
      </c>
    </row>
    <row r="28" spans="1:2" x14ac:dyDescent="0.25">
      <c r="A28" s="74">
        <v>21</v>
      </c>
      <c r="B28" s="101">
        <v>8.25</v>
      </c>
    </row>
    <row r="29" spans="1:2" x14ac:dyDescent="0.25">
      <c r="A29" s="74">
        <v>22</v>
      </c>
      <c r="B29" s="101">
        <v>8.25</v>
      </c>
    </row>
    <row r="30" spans="1:2" x14ac:dyDescent="0.25">
      <c r="A30" s="74">
        <v>23</v>
      </c>
      <c r="B30" s="101">
        <v>8.25</v>
      </c>
    </row>
    <row r="31" spans="1:2" x14ac:dyDescent="0.25">
      <c r="A31" s="74">
        <v>24</v>
      </c>
      <c r="B31" s="101">
        <v>8.2249999999999996</v>
      </c>
    </row>
    <row r="32" spans="1:2" x14ac:dyDescent="0.25">
      <c r="A32" s="74">
        <v>25</v>
      </c>
      <c r="B32" s="101">
        <v>8.1749999999999989</v>
      </c>
    </row>
    <row r="33" spans="1:2" x14ac:dyDescent="0.25">
      <c r="A33" s="74">
        <v>26</v>
      </c>
      <c r="B33" s="101">
        <v>8.125</v>
      </c>
    </row>
    <row r="34" spans="1:2" x14ac:dyDescent="0.25">
      <c r="A34" s="74">
        <v>27</v>
      </c>
      <c r="B34" s="101">
        <v>8.0499999999999989</v>
      </c>
    </row>
    <row r="35" spans="1:2" x14ac:dyDescent="0.25">
      <c r="A35" s="74">
        <v>28</v>
      </c>
      <c r="B35" s="101">
        <v>7.9499999999999993</v>
      </c>
    </row>
    <row r="36" spans="1:2" x14ac:dyDescent="0.25">
      <c r="A36" s="74">
        <v>29</v>
      </c>
      <c r="B36" s="101">
        <v>7.8249999999999993</v>
      </c>
    </row>
    <row r="37" spans="1:2" x14ac:dyDescent="0.25">
      <c r="A37" s="74">
        <v>30</v>
      </c>
      <c r="B37" s="101">
        <v>7.6999999999999993</v>
      </c>
    </row>
    <row r="38" spans="1:2" x14ac:dyDescent="0.25">
      <c r="A38" s="74">
        <v>31</v>
      </c>
      <c r="B38" s="101">
        <v>7.5250000000000004</v>
      </c>
    </row>
    <row r="39" spans="1:2" x14ac:dyDescent="0.25">
      <c r="A39" s="74">
        <v>32</v>
      </c>
      <c r="B39" s="101">
        <v>7.35</v>
      </c>
    </row>
    <row r="40" spans="1:2" x14ac:dyDescent="0.25">
      <c r="A40" s="74">
        <v>33</v>
      </c>
      <c r="B40" s="101">
        <v>7.15</v>
      </c>
    </row>
    <row r="41" spans="1:2" x14ac:dyDescent="0.25">
      <c r="A41" s="74">
        <v>34</v>
      </c>
      <c r="B41" s="101">
        <v>6.9749999999999996</v>
      </c>
    </row>
    <row r="42" spans="1:2" x14ac:dyDescent="0.25">
      <c r="A42" s="74">
        <v>35</v>
      </c>
      <c r="B42" s="101">
        <v>6.75</v>
      </c>
    </row>
    <row r="43" spans="1:2" x14ac:dyDescent="0.25">
      <c r="A43" s="74">
        <v>36</v>
      </c>
      <c r="B43" s="101">
        <v>6.5250000000000004</v>
      </c>
    </row>
    <row r="44" spans="1:2" x14ac:dyDescent="0.25">
      <c r="A44" s="74">
        <v>37</v>
      </c>
      <c r="B44" s="101">
        <v>6.3</v>
      </c>
    </row>
    <row r="45" spans="1:2" x14ac:dyDescent="0.25">
      <c r="A45" s="74">
        <v>38</v>
      </c>
      <c r="B45" s="101">
        <v>6.0499999999999989</v>
      </c>
    </row>
    <row r="46" spans="1:2" x14ac:dyDescent="0.25">
      <c r="A46" s="74">
        <v>39</v>
      </c>
      <c r="B46" s="101">
        <v>5.7749999999999995</v>
      </c>
    </row>
    <row r="47" spans="1:2" x14ac:dyDescent="0.25">
      <c r="A47" s="74">
        <v>40</v>
      </c>
      <c r="B47" s="101">
        <v>5.5</v>
      </c>
    </row>
    <row r="48" spans="1:2" x14ac:dyDescent="0.25">
      <c r="A48" s="74">
        <v>41</v>
      </c>
      <c r="B48" s="101">
        <v>5.2250000000000005</v>
      </c>
    </row>
    <row r="49" spans="1:2" x14ac:dyDescent="0.25">
      <c r="A49" s="74">
        <v>42</v>
      </c>
      <c r="B49" s="101">
        <v>4.9249999999999998</v>
      </c>
    </row>
    <row r="50" spans="1:2" x14ac:dyDescent="0.25">
      <c r="A50" s="74">
        <v>43</v>
      </c>
      <c r="B50" s="101">
        <v>4.625</v>
      </c>
    </row>
    <row r="51" spans="1:2" x14ac:dyDescent="0.25">
      <c r="A51" s="74">
        <v>44</v>
      </c>
      <c r="B51" s="101">
        <v>4.3499999999999996</v>
      </c>
    </row>
    <row r="52" spans="1:2" x14ac:dyDescent="0.25">
      <c r="A52" s="74">
        <v>45</v>
      </c>
      <c r="B52" s="101">
        <v>4.0750000000000002</v>
      </c>
    </row>
    <row r="53" spans="1:2" x14ac:dyDescent="0.25">
      <c r="A53" s="74">
        <v>46</v>
      </c>
      <c r="B53" s="101">
        <v>3.8</v>
      </c>
    </row>
    <row r="54" spans="1:2" x14ac:dyDescent="0.25">
      <c r="A54" s="74">
        <v>47</v>
      </c>
      <c r="B54" s="101">
        <v>3.55</v>
      </c>
    </row>
    <row r="55" spans="1:2" x14ac:dyDescent="0.25">
      <c r="A55" s="74">
        <v>48</v>
      </c>
      <c r="B55" s="101">
        <v>3.3</v>
      </c>
    </row>
    <row r="56" spans="1:2" x14ac:dyDescent="0.25">
      <c r="A56" s="74">
        <v>49</v>
      </c>
      <c r="B56" s="101">
        <v>3.05</v>
      </c>
    </row>
    <row r="57" spans="1:2" x14ac:dyDescent="0.25">
      <c r="A57" s="74">
        <v>50</v>
      </c>
      <c r="B57" s="101">
        <v>2.7749999999999999</v>
      </c>
    </row>
    <row r="58" spans="1:2" x14ac:dyDescent="0.25">
      <c r="A58" s="74">
        <v>51</v>
      </c>
      <c r="B58" s="101">
        <v>2.5249999999999995</v>
      </c>
    </row>
    <row r="59" spans="1:2" x14ac:dyDescent="0.25">
      <c r="A59" s="74">
        <v>52</v>
      </c>
      <c r="B59" s="101">
        <v>2.2999999999999998</v>
      </c>
    </row>
    <row r="60" spans="1:2" x14ac:dyDescent="0.25">
      <c r="A60" s="74">
        <v>53</v>
      </c>
      <c r="B60" s="101">
        <v>2.0499999999999998</v>
      </c>
    </row>
    <row r="61" spans="1:2" x14ac:dyDescent="0.25">
      <c r="A61" s="74">
        <v>54</v>
      </c>
      <c r="B61" s="101">
        <v>1.875</v>
      </c>
    </row>
    <row r="62" spans="1:2" x14ac:dyDescent="0.25">
      <c r="A62" s="74">
        <v>55</v>
      </c>
      <c r="B62" s="101">
        <v>1.7250000000000001</v>
      </c>
    </row>
    <row r="63" spans="1:2" x14ac:dyDescent="0.25">
      <c r="A63" s="74">
        <v>56</v>
      </c>
      <c r="B63" s="101">
        <v>1.6</v>
      </c>
    </row>
    <row r="64" spans="1:2" x14ac:dyDescent="0.25">
      <c r="A64" s="74">
        <v>57</v>
      </c>
      <c r="B64" s="101">
        <v>1.5</v>
      </c>
    </row>
    <row r="65" spans="1:2" x14ac:dyDescent="0.25">
      <c r="A65" s="74">
        <v>58</v>
      </c>
      <c r="B65" s="101">
        <v>1.4249999999999998</v>
      </c>
    </row>
    <row r="66" spans="1:2" x14ac:dyDescent="0.25">
      <c r="A66" s="74">
        <v>59</v>
      </c>
      <c r="B66" s="101">
        <v>1.375</v>
      </c>
    </row>
  </sheetData>
  <sheetProtection algorithmName="SHA-512" hashValue="GpMRgI7uGJVzJUwvtONBsB99r/fGkQAwZQ48OQDBeBkarCZDeBczsVvaswUcYIa1R9Q7UnAFSSqXAavUgW/ltQ==" saltValue="anbr4trxgw6V1LhGooljIg==" spinCount="100000" sheet="1" objects="1" scenarios="1"/>
  <conditionalFormatting sqref="A6:A21">
    <cfRule type="expression" dxfId="49" priority="1" stopIfTrue="1">
      <formula>MOD(ROW(),2)=0</formula>
    </cfRule>
    <cfRule type="expression" dxfId="48" priority="2" stopIfTrue="1">
      <formula>MOD(ROW(),2)&lt;&gt;0</formula>
    </cfRule>
  </conditionalFormatting>
  <conditionalFormatting sqref="A26:A66">
    <cfRule type="expression" dxfId="47" priority="19" stopIfTrue="1">
      <formula>MOD(ROW(),2)=0</formula>
    </cfRule>
    <cfRule type="expression" dxfId="46" priority="20" stopIfTrue="1">
      <formula>MOD(ROW(),2)&lt;&gt;0</formula>
    </cfRule>
  </conditionalFormatting>
  <conditionalFormatting sqref="B6">
    <cfRule type="expression" dxfId="45" priority="33" stopIfTrue="1">
      <formula>MOD(ROW(),2)=0</formula>
    </cfRule>
    <cfRule type="expression" dxfId="44" priority="34" stopIfTrue="1">
      <formula>MOD(ROW(),2)&lt;&gt;0</formula>
    </cfRule>
  </conditionalFormatting>
  <conditionalFormatting sqref="B6:B21">
    <cfRule type="expression" dxfId="43" priority="15" stopIfTrue="1">
      <formula>MOD(ROW(),2)=0</formula>
    </cfRule>
    <cfRule type="expression" dxfId="42" priority="16" stopIfTrue="1">
      <formula>MOD(ROW(),2)&lt;&gt;0</formula>
    </cfRule>
  </conditionalFormatting>
  <conditionalFormatting sqref="B8:B9">
    <cfRule type="expression" dxfId="41" priority="13" stopIfTrue="1">
      <formula>MOD(ROW(),2)=0</formula>
    </cfRule>
    <cfRule type="expression" dxfId="40" priority="14" stopIfTrue="1">
      <formula>MOD(ROW(),2)&lt;&gt;0</formula>
    </cfRule>
  </conditionalFormatting>
  <conditionalFormatting sqref="B10:B16">
    <cfRule type="expression" dxfId="39" priority="29" stopIfTrue="1">
      <formula>MOD(ROW(),2)=0</formula>
    </cfRule>
    <cfRule type="expression" dxfId="38" priority="30" stopIfTrue="1">
      <formula>MOD(ROW(),2)&lt;&gt;0</formula>
    </cfRule>
  </conditionalFormatting>
  <conditionalFormatting sqref="B17:B21">
    <cfRule type="expression" dxfId="37" priority="3" stopIfTrue="1">
      <formula>MOD(ROW(),2)=0</formula>
    </cfRule>
    <cfRule type="expression" dxfId="36" priority="4" stopIfTrue="1">
      <formula>MOD(ROW(),2)&lt;&gt;0</formula>
    </cfRule>
  </conditionalFormatting>
  <conditionalFormatting sqref="B26:B66">
    <cfRule type="expression" dxfId="35" priority="21" stopIfTrue="1">
      <formula>MOD(ROW(),2)=0</formula>
    </cfRule>
    <cfRule type="expression" dxfId="34" priority="22" stopIfTrue="1">
      <formula>MOD(ROW(),2)&lt;&gt;0</formula>
    </cfRule>
  </conditionalFormatting>
  <hyperlinks>
    <hyperlink ref="B24" location="Sheet1!A1" display="Assumptions" xr:uid="{A6AB0C8F-8543-4368-9B39-2D6D52B48CE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54645-5B9E-41B9-B011-63CD48E7A188}">
  <sheetPr codeName="Sheet152"/>
  <dimension ref="A1:I30"/>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GMP test - x-815</v>
      </c>
      <c r="B3" s="42"/>
      <c r="C3" s="42"/>
      <c r="D3" s="42"/>
      <c r="E3" s="42"/>
      <c r="F3" s="42"/>
      <c r="G3" s="42"/>
      <c r="H3" s="42"/>
      <c r="I3" s="42"/>
    </row>
    <row r="4" spans="1:9" x14ac:dyDescent="0.25">
      <c r="A4" s="44"/>
    </row>
    <row r="6" spans="1:9" x14ac:dyDescent="0.25">
      <c r="A6" s="76" t="s">
        <v>290</v>
      </c>
      <c r="B6" s="185" t="s">
        <v>291</v>
      </c>
    </row>
    <row r="7" spans="1:9" ht="46.5" customHeight="1" x14ac:dyDescent="0.25">
      <c r="A7" s="77" t="s">
        <v>804</v>
      </c>
      <c r="B7" s="185" t="s">
        <v>324</v>
      </c>
    </row>
    <row r="8" spans="1:9" x14ac:dyDescent="0.25">
      <c r="A8" s="77" t="s">
        <v>805</v>
      </c>
      <c r="B8" s="185" t="s">
        <v>85</v>
      </c>
    </row>
    <row r="9" spans="1:9" x14ac:dyDescent="0.25">
      <c r="A9" s="77" t="s">
        <v>296</v>
      </c>
      <c r="B9" s="185" t="s">
        <v>732</v>
      </c>
    </row>
    <row r="10" spans="1:9" ht="33.6" customHeight="1" x14ac:dyDescent="0.25">
      <c r="A10" s="77" t="s">
        <v>6</v>
      </c>
      <c r="B10" s="185" t="s">
        <v>733</v>
      </c>
    </row>
    <row r="11" spans="1:9" x14ac:dyDescent="0.25">
      <c r="A11" s="77" t="s">
        <v>299</v>
      </c>
      <c r="B11" s="185" t="s">
        <v>364</v>
      </c>
    </row>
    <row r="12" spans="1:9" x14ac:dyDescent="0.25">
      <c r="A12" s="77" t="s">
        <v>301</v>
      </c>
      <c r="B12" s="185" t="s">
        <v>328</v>
      </c>
    </row>
    <row r="13" spans="1:9" x14ac:dyDescent="0.25">
      <c r="A13" s="77" t="s">
        <v>806</v>
      </c>
      <c r="B13" s="185">
        <v>1</v>
      </c>
    </row>
    <row r="14" spans="1:9" x14ac:dyDescent="0.25">
      <c r="A14" s="77" t="s">
        <v>305</v>
      </c>
      <c r="B14" s="185">
        <v>815</v>
      </c>
    </row>
    <row r="15" spans="1:9" x14ac:dyDescent="0.25">
      <c r="A15" s="77" t="s">
        <v>307</v>
      </c>
      <c r="B15" s="185" t="s">
        <v>734</v>
      </c>
    </row>
    <row r="16" spans="1:9" x14ac:dyDescent="0.25">
      <c r="A16" s="77" t="s">
        <v>825</v>
      </c>
      <c r="B16" s="185" t="s">
        <v>735</v>
      </c>
    </row>
    <row r="17" spans="1:2" ht="61.2" customHeight="1" x14ac:dyDescent="0.25">
      <c r="A17" s="77" t="s">
        <v>803</v>
      </c>
      <c r="B17" s="185"/>
    </row>
    <row r="18" spans="1:2" x14ac:dyDescent="0.25">
      <c r="A18" s="77" t="s">
        <v>313</v>
      </c>
      <c r="B18" s="188">
        <v>43812</v>
      </c>
    </row>
    <row r="19" spans="1:2" x14ac:dyDescent="0.25">
      <c r="A19" s="77" t="s">
        <v>315</v>
      </c>
      <c r="B19" s="188"/>
    </row>
    <row r="20" spans="1:2" x14ac:dyDescent="0.25">
      <c r="A20" s="77" t="s">
        <v>317</v>
      </c>
      <c r="B20" s="185" t="s">
        <v>331</v>
      </c>
    </row>
    <row r="21" spans="1:2" x14ac:dyDescent="0.25">
      <c r="A21" s="77" t="s">
        <v>323</v>
      </c>
      <c r="B21" s="185" t="s">
        <v>332</v>
      </c>
    </row>
    <row r="23" spans="1:2" x14ac:dyDescent="0.25">
      <c r="B23" s="102" t="str">
        <f>HYPERLINK("#'Factor List'!A1","Back to Factor List")</f>
        <v>Back to Factor List</v>
      </c>
    </row>
    <row r="24" spans="1:2" x14ac:dyDescent="0.25">
      <c r="B24" s="102" t="s">
        <v>13</v>
      </c>
    </row>
    <row r="25" spans="1:2" x14ac:dyDescent="0.25">
      <c r="B25" s="102"/>
    </row>
    <row r="26" spans="1:2" ht="26.4" x14ac:dyDescent="0.25">
      <c r="A26" s="73" t="s">
        <v>979</v>
      </c>
      <c r="B26" s="73" t="s">
        <v>824</v>
      </c>
    </row>
    <row r="27" spans="1:2" x14ac:dyDescent="0.25">
      <c r="A27" s="74" t="s">
        <v>980</v>
      </c>
      <c r="B27" s="166">
        <v>18</v>
      </c>
    </row>
    <row r="28" spans="1:2" x14ac:dyDescent="0.25">
      <c r="A28" s="74" t="s">
        <v>981</v>
      </c>
      <c r="B28" s="166">
        <v>18</v>
      </c>
    </row>
    <row r="29" spans="1:2" x14ac:dyDescent="0.25">
      <c r="A29" s="74" t="s">
        <v>982</v>
      </c>
      <c r="B29" s="166">
        <v>18</v>
      </c>
    </row>
    <row r="30" spans="1:2" x14ac:dyDescent="0.25">
      <c r="A30" s="74" t="s">
        <v>983</v>
      </c>
      <c r="B30" s="166">
        <v>19</v>
      </c>
    </row>
  </sheetData>
  <sheetProtection algorithmName="SHA-512" hashValue="WDV6hkmYRnE1oQGY/v0vA0wyijcO79Nt9kwW45YGxE0ZOmLT0OwXOg8S9rmZmpJGzI9ZfXtH8zPHCvtcbjA9Gw==" saltValue="kImHhS9HXLF0pvdWDobkog==" spinCount="100000" sheet="1" objects="1" scenarios="1"/>
  <conditionalFormatting sqref="A6:A21">
    <cfRule type="expression" dxfId="33" priority="1" stopIfTrue="1">
      <formula>MOD(ROW(),2)=0</formula>
    </cfRule>
    <cfRule type="expression" dxfId="32" priority="2" stopIfTrue="1">
      <formula>MOD(ROW(),2)&lt;&gt;0</formula>
    </cfRule>
  </conditionalFormatting>
  <conditionalFormatting sqref="A26:A30">
    <cfRule type="expression" dxfId="31" priority="21" stopIfTrue="1">
      <formula>MOD(ROW(),2)=0</formula>
    </cfRule>
    <cfRule type="expression" dxfId="30" priority="22" stopIfTrue="1">
      <formula>MOD(ROW(),2)&lt;&gt;0</formula>
    </cfRule>
  </conditionalFormatting>
  <conditionalFormatting sqref="B6">
    <cfRule type="expression" dxfId="29" priority="29" stopIfTrue="1">
      <formula>MOD(ROW(),2)=0</formula>
    </cfRule>
    <cfRule type="expression" dxfId="28" priority="30" stopIfTrue="1">
      <formula>MOD(ROW(),2)&lt;&gt;0</formula>
    </cfRule>
  </conditionalFormatting>
  <conditionalFormatting sqref="B6:B21">
    <cfRule type="expression" dxfId="27" priority="13" stopIfTrue="1">
      <formula>MOD(ROW(),2)=0</formula>
    </cfRule>
    <cfRule type="expression" dxfId="26" priority="14" stopIfTrue="1">
      <formula>MOD(ROW(),2)&lt;&gt;0</formula>
    </cfRule>
  </conditionalFormatting>
  <conditionalFormatting sqref="B8:B9">
    <cfRule type="expression" dxfId="25" priority="11" stopIfTrue="1">
      <formula>MOD(ROW(),2)=0</formula>
    </cfRule>
    <cfRule type="expression" dxfId="24" priority="12" stopIfTrue="1">
      <formula>MOD(ROW(),2)&lt;&gt;0</formula>
    </cfRule>
  </conditionalFormatting>
  <conditionalFormatting sqref="B10:B16">
    <cfRule type="expression" dxfId="23" priority="25" stopIfTrue="1">
      <formula>MOD(ROW(),2)=0</formula>
    </cfRule>
    <cfRule type="expression" dxfId="22" priority="26" stopIfTrue="1">
      <formula>MOD(ROW(),2)&lt;&gt;0</formula>
    </cfRule>
  </conditionalFormatting>
  <conditionalFormatting sqref="B17:B21">
    <cfRule type="expression" dxfId="21" priority="3" stopIfTrue="1">
      <formula>MOD(ROW(),2)=0</formula>
    </cfRule>
    <cfRule type="expression" dxfId="20" priority="4" stopIfTrue="1">
      <formula>MOD(ROW(),2)&lt;&gt;0</formula>
    </cfRule>
  </conditionalFormatting>
  <conditionalFormatting sqref="B26:B30">
    <cfRule type="expression" dxfId="19" priority="23" stopIfTrue="1">
      <formula>MOD(ROW(),2)=0</formula>
    </cfRule>
    <cfRule type="expression" dxfId="18" priority="24" stopIfTrue="1">
      <formula>MOD(ROW(),2)&lt;&gt;0</formula>
    </cfRule>
  </conditionalFormatting>
  <hyperlinks>
    <hyperlink ref="B24" location="Sheet1!A1" display="Assumptions" xr:uid="{0AA7C575-9EFC-4CB6-B8D0-F7B268A089B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9E8AB-B333-4847-9E97-8A05007D0C69}">
  <sheetPr codeName="Sheet154"/>
  <dimension ref="A1:I30"/>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GMP test - x-816</v>
      </c>
      <c r="B3" s="42"/>
      <c r="C3" s="42"/>
      <c r="D3" s="42"/>
      <c r="E3" s="42"/>
      <c r="F3" s="42"/>
      <c r="G3" s="42"/>
      <c r="H3" s="42"/>
      <c r="I3" s="42"/>
    </row>
    <row r="4" spans="1:9" x14ac:dyDescent="0.25">
      <c r="A4" s="44"/>
    </row>
    <row r="6" spans="1:9" x14ac:dyDescent="0.25">
      <c r="A6" s="76" t="s">
        <v>290</v>
      </c>
      <c r="B6" s="185" t="s">
        <v>291</v>
      </c>
    </row>
    <row r="7" spans="1:9" ht="46.5" customHeight="1" x14ac:dyDescent="0.25">
      <c r="A7" s="77" t="s">
        <v>804</v>
      </c>
      <c r="B7" s="185" t="s">
        <v>736</v>
      </c>
    </row>
    <row r="8" spans="1:9" x14ac:dyDescent="0.25">
      <c r="A8" s="77" t="s">
        <v>805</v>
      </c>
      <c r="B8" s="185" t="s">
        <v>737</v>
      </c>
    </row>
    <row r="9" spans="1:9" x14ac:dyDescent="0.25">
      <c r="A9" s="77" t="s">
        <v>296</v>
      </c>
      <c r="B9" s="185" t="s">
        <v>732</v>
      </c>
    </row>
    <row r="10" spans="1:9" ht="33.6" customHeight="1" x14ac:dyDescent="0.25">
      <c r="A10" s="77" t="s">
        <v>6</v>
      </c>
      <c r="B10" s="185" t="s">
        <v>733</v>
      </c>
    </row>
    <row r="11" spans="1:9" x14ac:dyDescent="0.25">
      <c r="A11" s="77" t="s">
        <v>299</v>
      </c>
      <c r="B11" s="185" t="s">
        <v>364</v>
      </c>
    </row>
    <row r="12" spans="1:9" x14ac:dyDescent="0.25">
      <c r="A12" s="77" t="s">
        <v>301</v>
      </c>
      <c r="B12" s="185" t="s">
        <v>328</v>
      </c>
    </row>
    <row r="13" spans="1:9" x14ac:dyDescent="0.25">
      <c r="A13" s="77" t="s">
        <v>806</v>
      </c>
      <c r="B13" s="185">
        <v>1</v>
      </c>
    </row>
    <row r="14" spans="1:9" x14ac:dyDescent="0.25">
      <c r="A14" s="77" t="s">
        <v>305</v>
      </c>
      <c r="B14" s="185">
        <v>816</v>
      </c>
    </row>
    <row r="15" spans="1:9" x14ac:dyDescent="0.25">
      <c r="A15" s="77" t="s">
        <v>307</v>
      </c>
      <c r="B15" s="185" t="s">
        <v>738</v>
      </c>
    </row>
    <row r="16" spans="1:9" x14ac:dyDescent="0.25">
      <c r="A16" s="77" t="s">
        <v>825</v>
      </c>
      <c r="B16" s="185" t="s">
        <v>735</v>
      </c>
    </row>
    <row r="17" spans="1:2" ht="75" customHeight="1" x14ac:dyDescent="0.25">
      <c r="A17" s="77" t="s">
        <v>803</v>
      </c>
      <c r="B17" s="185"/>
    </row>
    <row r="18" spans="1:2" x14ac:dyDescent="0.25">
      <c r="A18" s="77" t="s">
        <v>313</v>
      </c>
      <c r="B18" s="188">
        <v>43812</v>
      </c>
    </row>
    <row r="19" spans="1:2" x14ac:dyDescent="0.25">
      <c r="A19" s="77" t="s">
        <v>315</v>
      </c>
      <c r="B19" s="188"/>
    </row>
    <row r="20" spans="1:2" x14ac:dyDescent="0.25">
      <c r="A20" s="77" t="s">
        <v>317</v>
      </c>
      <c r="B20" s="185" t="s">
        <v>331</v>
      </c>
    </row>
    <row r="21" spans="1:2" x14ac:dyDescent="0.25">
      <c r="A21" s="77" t="s">
        <v>323</v>
      </c>
      <c r="B21" s="185" t="s">
        <v>332</v>
      </c>
    </row>
    <row r="23" spans="1:2" x14ac:dyDescent="0.25">
      <c r="B23" s="102" t="str">
        <f>HYPERLINK("#'Factor List'!A1","Back to Factor List")</f>
        <v>Back to Factor List</v>
      </c>
    </row>
    <row r="24" spans="1:2" x14ac:dyDescent="0.25">
      <c r="B24" s="102" t="s">
        <v>13</v>
      </c>
    </row>
    <row r="25" spans="1:2" x14ac:dyDescent="0.25">
      <c r="B25" s="102"/>
    </row>
    <row r="26" spans="1:2" ht="26.4" x14ac:dyDescent="0.25">
      <c r="A26" s="73" t="s">
        <v>979</v>
      </c>
      <c r="B26" s="73" t="s">
        <v>824</v>
      </c>
    </row>
    <row r="27" spans="1:2" x14ac:dyDescent="0.25">
      <c r="A27" s="74" t="s">
        <v>980</v>
      </c>
      <c r="B27" s="166">
        <v>17</v>
      </c>
    </row>
    <row r="28" spans="1:2" x14ac:dyDescent="0.25">
      <c r="A28" s="74" t="s">
        <v>981</v>
      </c>
      <c r="B28" s="166">
        <v>17</v>
      </c>
    </row>
    <row r="29" spans="1:2" x14ac:dyDescent="0.25">
      <c r="A29" s="74" t="s">
        <v>982</v>
      </c>
      <c r="B29" s="166">
        <v>17</v>
      </c>
    </row>
    <row r="30" spans="1:2" x14ac:dyDescent="0.25">
      <c r="A30" s="74" t="s">
        <v>983</v>
      </c>
      <c r="B30" s="166">
        <v>18</v>
      </c>
    </row>
  </sheetData>
  <sheetProtection algorithmName="SHA-512" hashValue="Nu2QvzMhAmEdlG9/9GYgj8yCNfJwA1d/PrczAmMDK2y3lrMwf5gxtR4+sGqdFleL0AuRGzdbKt3EJQ/uRetuPg==" saltValue="i+2ax8hMfmVQhxZMphV4ig==" spinCount="100000" sheet="1" objects="1" scenarios="1"/>
  <conditionalFormatting sqref="A6:A21">
    <cfRule type="expression" dxfId="17" priority="1" stopIfTrue="1">
      <formula>MOD(ROW(),2)=0</formula>
    </cfRule>
    <cfRule type="expression" dxfId="16" priority="2" stopIfTrue="1">
      <formula>MOD(ROW(),2)&lt;&gt;0</formula>
    </cfRule>
  </conditionalFormatting>
  <conditionalFormatting sqref="A26:A30">
    <cfRule type="expression" dxfId="15" priority="17" stopIfTrue="1">
      <formula>MOD(ROW(),2)=0</formula>
    </cfRule>
    <cfRule type="expression" dxfId="14" priority="18" stopIfTrue="1">
      <formula>MOD(ROW(),2)&lt;&gt;0</formula>
    </cfRule>
  </conditionalFormatting>
  <conditionalFormatting sqref="B6">
    <cfRule type="expression" dxfId="13" priority="25" stopIfTrue="1">
      <formula>MOD(ROW(),2)=0</formula>
    </cfRule>
    <cfRule type="expression" dxfId="12" priority="26" stopIfTrue="1">
      <formula>MOD(ROW(),2)&lt;&gt;0</formula>
    </cfRule>
  </conditionalFormatting>
  <conditionalFormatting sqref="B6:B21">
    <cfRule type="expression" dxfId="11" priority="13" stopIfTrue="1">
      <formula>MOD(ROW(),2)=0</formula>
    </cfRule>
    <cfRule type="expression" dxfId="10" priority="14" stopIfTrue="1">
      <formula>MOD(ROW(),2)&lt;&gt;0</formula>
    </cfRule>
  </conditionalFormatting>
  <conditionalFormatting sqref="B8:B9">
    <cfRule type="expression" dxfId="9" priority="11" stopIfTrue="1">
      <formula>MOD(ROW(),2)=0</formula>
    </cfRule>
    <cfRule type="expression" dxfId="8" priority="12" stopIfTrue="1">
      <formula>MOD(ROW(),2)&lt;&gt;0</formula>
    </cfRule>
  </conditionalFormatting>
  <conditionalFormatting sqref="B10:B16">
    <cfRule type="expression" dxfId="7" priority="21" stopIfTrue="1">
      <formula>MOD(ROW(),2)=0</formula>
    </cfRule>
    <cfRule type="expression" dxfId="6" priority="22" stopIfTrue="1">
      <formula>MOD(ROW(),2)&lt;&gt;0</formula>
    </cfRule>
  </conditionalFormatting>
  <conditionalFormatting sqref="B17:B21">
    <cfRule type="expression" dxfId="5" priority="3" stopIfTrue="1">
      <formula>MOD(ROW(),2)=0</formula>
    </cfRule>
    <cfRule type="expression" dxfId="4" priority="4" stopIfTrue="1">
      <formula>MOD(ROW(),2)&lt;&gt;0</formula>
    </cfRule>
  </conditionalFormatting>
  <conditionalFormatting sqref="B26:B30">
    <cfRule type="expression" dxfId="3" priority="19" stopIfTrue="1">
      <formula>MOD(ROW(),2)=0</formula>
    </cfRule>
    <cfRule type="expression" dxfId="2" priority="20" stopIfTrue="1">
      <formula>MOD(ROW(),2)&lt;&gt;0</formula>
    </cfRule>
  </conditionalFormatting>
  <hyperlinks>
    <hyperlink ref="B24" location="Sheet1!A1" display="Assumptions" xr:uid="{385BB308-3CEC-43B0-B88F-F3854638960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3"/>
  <dimension ref="A1:E85"/>
  <sheetViews>
    <sheetView showGridLines="0" zoomScale="85" zoomScaleNormal="85" workbookViewId="0">
      <selection activeCell="A4" sqref="A4"/>
    </sheetView>
  </sheetViews>
  <sheetFormatPr defaultColWidth="10" defaultRowHeight="13.2" x14ac:dyDescent="0.25"/>
  <cols>
    <col min="1" max="1" width="31.5546875" style="27" customWidth="1"/>
    <col min="2" max="5" width="22.5546875" style="27" customWidth="1"/>
    <col min="6" max="16384" width="10" style="27"/>
  </cols>
  <sheetData>
    <row r="1" spans="1:5" ht="21" x14ac:dyDescent="0.4">
      <c r="A1" s="39" t="s">
        <v>0</v>
      </c>
      <c r="B1" s="40"/>
      <c r="C1" s="40"/>
      <c r="D1" s="40"/>
      <c r="E1" s="40"/>
    </row>
    <row r="2" spans="1:5" ht="15.6" x14ac:dyDescent="0.3">
      <c r="A2" s="41" t="str">
        <f>IF(title="&gt; Enter workbook title here","Enter workbook title in Cover sheet",title)</f>
        <v>Civil Service Pension Schemes - Consolidated Factor Spreadsheet</v>
      </c>
      <c r="B2" s="42"/>
      <c r="C2" s="42"/>
      <c r="D2" s="42"/>
      <c r="E2" s="42"/>
    </row>
    <row r="3" spans="1:5" ht="15.6" x14ac:dyDescent="0.3">
      <c r="A3" s="43" t="str">
        <f>TABLE_FACTOR_TYPE_1&amp;" - x-"&amp;TABLE_SERIES_NUMBER_1</f>
        <v>CETV - x-205</v>
      </c>
      <c r="B3" s="42"/>
      <c r="C3" s="42"/>
      <c r="D3" s="42"/>
      <c r="E3" s="42"/>
    </row>
    <row r="4" spans="1:5" x14ac:dyDescent="0.25">
      <c r="A4" s="44"/>
    </row>
    <row r="6" spans="1:5" x14ac:dyDescent="0.25">
      <c r="A6" s="76" t="s">
        <v>290</v>
      </c>
      <c r="B6" s="129" t="s">
        <v>291</v>
      </c>
      <c r="C6" s="129"/>
      <c r="D6" s="129"/>
      <c r="E6" s="129"/>
    </row>
    <row r="7" spans="1:5" x14ac:dyDescent="0.25">
      <c r="A7" s="77" t="s">
        <v>804</v>
      </c>
      <c r="B7" s="129" t="s">
        <v>324</v>
      </c>
      <c r="C7" s="129"/>
      <c r="D7" s="129"/>
      <c r="E7" s="129"/>
    </row>
    <row r="8" spans="1:5" x14ac:dyDescent="0.25">
      <c r="A8" s="77" t="s">
        <v>805</v>
      </c>
      <c r="B8" s="129" t="s">
        <v>85</v>
      </c>
      <c r="C8" s="129"/>
      <c r="D8" s="129"/>
      <c r="E8" s="129"/>
    </row>
    <row r="9" spans="1:5" x14ac:dyDescent="0.25">
      <c r="A9" s="77" t="s">
        <v>296</v>
      </c>
      <c r="B9" s="129" t="s">
        <v>325</v>
      </c>
      <c r="C9" s="129"/>
      <c r="D9" s="129"/>
      <c r="E9" s="129"/>
    </row>
    <row r="10" spans="1:5" x14ac:dyDescent="0.25">
      <c r="A10" s="77" t="s">
        <v>6</v>
      </c>
      <c r="B10" s="129" t="s">
        <v>342</v>
      </c>
      <c r="C10" s="129"/>
      <c r="D10" s="129"/>
      <c r="E10" s="129"/>
    </row>
    <row r="11" spans="1:5" x14ac:dyDescent="0.25">
      <c r="A11" s="77" t="s">
        <v>299</v>
      </c>
      <c r="B11" s="129" t="s">
        <v>327</v>
      </c>
      <c r="C11" s="129"/>
      <c r="D11" s="129"/>
      <c r="E11" s="129"/>
    </row>
    <row r="12" spans="1:5" x14ac:dyDescent="0.25">
      <c r="A12" s="77" t="s">
        <v>301</v>
      </c>
      <c r="B12" s="129" t="s">
        <v>328</v>
      </c>
      <c r="C12" s="129"/>
      <c r="D12" s="129"/>
      <c r="E12" s="129"/>
    </row>
    <row r="13" spans="1:5" x14ac:dyDescent="0.25">
      <c r="A13" s="77" t="s">
        <v>806</v>
      </c>
      <c r="B13" s="129">
        <v>0</v>
      </c>
      <c r="C13" s="129"/>
      <c r="D13" s="129"/>
      <c r="E13" s="129"/>
    </row>
    <row r="14" spans="1:5" x14ac:dyDescent="0.25">
      <c r="A14" s="77" t="s">
        <v>305</v>
      </c>
      <c r="B14" s="129">
        <v>205</v>
      </c>
      <c r="C14" s="129"/>
      <c r="D14" s="129"/>
      <c r="E14" s="129"/>
    </row>
    <row r="15" spans="1:5" x14ac:dyDescent="0.25">
      <c r="A15" s="77" t="s">
        <v>307</v>
      </c>
      <c r="B15" s="129" t="s">
        <v>343</v>
      </c>
      <c r="C15" s="129"/>
      <c r="D15" s="129"/>
      <c r="E15" s="129"/>
    </row>
    <row r="16" spans="1:5" x14ac:dyDescent="0.25">
      <c r="A16" s="77" t="s">
        <v>309</v>
      </c>
      <c r="B16" s="129" t="s">
        <v>344</v>
      </c>
      <c r="C16" s="129"/>
      <c r="D16" s="129"/>
      <c r="E16" s="129"/>
    </row>
    <row r="17" spans="1:5" x14ac:dyDescent="0.25">
      <c r="A17" s="77" t="s">
        <v>803</v>
      </c>
      <c r="B17" s="129"/>
      <c r="C17" s="129"/>
      <c r="D17" s="129"/>
      <c r="E17" s="129"/>
    </row>
    <row r="18" spans="1:5" x14ac:dyDescent="0.25">
      <c r="A18" s="77" t="s">
        <v>313</v>
      </c>
      <c r="B18" s="187">
        <v>45071</v>
      </c>
      <c r="C18" s="129"/>
      <c r="D18" s="129"/>
      <c r="E18" s="129"/>
    </row>
    <row r="19" spans="1:5" x14ac:dyDescent="0.25">
      <c r="A19" s="77" t="s">
        <v>315</v>
      </c>
      <c r="B19" s="187"/>
      <c r="C19" s="129"/>
      <c r="D19" s="129"/>
      <c r="E19" s="129"/>
    </row>
    <row r="20" spans="1:5" x14ac:dyDescent="0.25">
      <c r="A20" s="77" t="s">
        <v>317</v>
      </c>
      <c r="B20" s="129" t="s">
        <v>331</v>
      </c>
      <c r="C20" s="129"/>
      <c r="D20" s="129"/>
      <c r="E20" s="129"/>
    </row>
    <row r="21" spans="1:5" x14ac:dyDescent="0.25">
      <c r="A21" s="77" t="s">
        <v>323</v>
      </c>
      <c r="B21" s="129" t="s">
        <v>332</v>
      </c>
      <c r="C21" s="129"/>
      <c r="D21" s="129"/>
      <c r="E21" s="129"/>
    </row>
    <row r="23" spans="1:5" x14ac:dyDescent="0.25">
      <c r="B23" s="102" t="str">
        <f>HYPERLINK("#'Factor List'!A1","Back to Factor List")</f>
        <v>Back to Factor List</v>
      </c>
    </row>
    <row r="24" spans="1:5" x14ac:dyDescent="0.25">
      <c r="B24" s="102" t="s">
        <v>13</v>
      </c>
    </row>
    <row r="25" spans="1:5" x14ac:dyDescent="0.25">
      <c r="B25" s="102"/>
    </row>
    <row r="26" spans="1:5" ht="26.4" x14ac:dyDescent="0.25">
      <c r="A26" s="103" t="s">
        <v>373</v>
      </c>
      <c r="B26" s="103" t="s">
        <v>807</v>
      </c>
      <c r="C26" s="103" t="s">
        <v>808</v>
      </c>
      <c r="D26" s="103" t="s">
        <v>809</v>
      </c>
      <c r="E26" s="103" t="s">
        <v>810</v>
      </c>
    </row>
    <row r="27" spans="1:5" x14ac:dyDescent="0.25">
      <c r="A27" s="104">
        <v>17</v>
      </c>
      <c r="B27" s="105">
        <v>2.85</v>
      </c>
      <c r="C27" s="105">
        <v>0.56000000000000005</v>
      </c>
      <c r="D27" s="105">
        <v>2.85</v>
      </c>
      <c r="E27" s="105">
        <v>0.56000000000000005</v>
      </c>
    </row>
    <row r="28" spans="1:5" x14ac:dyDescent="0.25">
      <c r="A28" s="104">
        <v>18</v>
      </c>
      <c r="B28" s="105">
        <v>2.95</v>
      </c>
      <c r="C28" s="105">
        <v>0.6</v>
      </c>
      <c r="D28" s="105">
        <v>2.95</v>
      </c>
      <c r="E28" s="105">
        <v>0.6</v>
      </c>
    </row>
    <row r="29" spans="1:5" x14ac:dyDescent="0.25">
      <c r="A29" s="104">
        <v>19</v>
      </c>
      <c r="B29" s="105">
        <v>3.05</v>
      </c>
      <c r="C29" s="105">
        <v>0.63</v>
      </c>
      <c r="D29" s="105">
        <v>3.05</v>
      </c>
      <c r="E29" s="105">
        <v>0.63</v>
      </c>
    </row>
    <row r="30" spans="1:5" x14ac:dyDescent="0.25">
      <c r="A30" s="104">
        <v>20</v>
      </c>
      <c r="B30" s="105">
        <v>3.15</v>
      </c>
      <c r="C30" s="105">
        <v>0.66</v>
      </c>
      <c r="D30" s="105">
        <v>3.15</v>
      </c>
      <c r="E30" s="105">
        <v>0.66</v>
      </c>
    </row>
    <row r="31" spans="1:5" x14ac:dyDescent="0.25">
      <c r="A31" s="104">
        <v>21</v>
      </c>
      <c r="B31" s="105">
        <v>3.26</v>
      </c>
      <c r="C31" s="105">
        <v>0.68</v>
      </c>
      <c r="D31" s="105">
        <v>3.26</v>
      </c>
      <c r="E31" s="105">
        <v>0.68</v>
      </c>
    </row>
    <row r="32" spans="1:5" x14ac:dyDescent="0.25">
      <c r="A32" s="104">
        <v>22</v>
      </c>
      <c r="B32" s="105">
        <v>3.37</v>
      </c>
      <c r="C32" s="105">
        <v>0.71</v>
      </c>
      <c r="D32" s="105">
        <v>3.37</v>
      </c>
      <c r="E32" s="105">
        <v>0.71</v>
      </c>
    </row>
    <row r="33" spans="1:5" x14ac:dyDescent="0.25">
      <c r="A33" s="104">
        <v>23</v>
      </c>
      <c r="B33" s="105">
        <v>3.49</v>
      </c>
      <c r="C33" s="105">
        <v>0.73</v>
      </c>
      <c r="D33" s="105">
        <v>3.49</v>
      </c>
      <c r="E33" s="105">
        <v>0.73</v>
      </c>
    </row>
    <row r="34" spans="1:5" x14ac:dyDescent="0.25">
      <c r="A34" s="104">
        <v>24</v>
      </c>
      <c r="B34" s="105">
        <v>3.61</v>
      </c>
      <c r="C34" s="105">
        <v>0.76</v>
      </c>
      <c r="D34" s="105">
        <v>3.61</v>
      </c>
      <c r="E34" s="105">
        <v>0.76</v>
      </c>
    </row>
    <row r="35" spans="1:5" x14ac:dyDescent="0.25">
      <c r="A35" s="104">
        <v>25</v>
      </c>
      <c r="B35" s="105">
        <v>3.73</v>
      </c>
      <c r="C35" s="105">
        <v>0.79</v>
      </c>
      <c r="D35" s="105">
        <v>3.73</v>
      </c>
      <c r="E35" s="105">
        <v>0.79</v>
      </c>
    </row>
    <row r="36" spans="1:5" x14ac:dyDescent="0.25">
      <c r="A36" s="104">
        <v>26</v>
      </c>
      <c r="B36" s="105">
        <v>3.86</v>
      </c>
      <c r="C36" s="105">
        <v>0.82</v>
      </c>
      <c r="D36" s="105">
        <v>3.86</v>
      </c>
      <c r="E36" s="105">
        <v>0.82</v>
      </c>
    </row>
    <row r="37" spans="1:5" x14ac:dyDescent="0.25">
      <c r="A37" s="104">
        <v>27</v>
      </c>
      <c r="B37" s="105">
        <v>3.99</v>
      </c>
      <c r="C37" s="105">
        <v>0.85</v>
      </c>
      <c r="D37" s="105">
        <v>3.99</v>
      </c>
      <c r="E37" s="105">
        <v>0.85</v>
      </c>
    </row>
    <row r="38" spans="1:5" x14ac:dyDescent="0.25">
      <c r="A38" s="104">
        <v>28</v>
      </c>
      <c r="B38" s="105">
        <v>4.12</v>
      </c>
      <c r="C38" s="105">
        <v>0.88</v>
      </c>
      <c r="D38" s="105">
        <v>4.12</v>
      </c>
      <c r="E38" s="105">
        <v>0.88</v>
      </c>
    </row>
    <row r="39" spans="1:5" x14ac:dyDescent="0.25">
      <c r="A39" s="104">
        <v>29</v>
      </c>
      <c r="B39" s="105">
        <v>4.26</v>
      </c>
      <c r="C39" s="105">
        <v>0.91</v>
      </c>
      <c r="D39" s="105">
        <v>4.26</v>
      </c>
      <c r="E39" s="105">
        <v>0.91</v>
      </c>
    </row>
    <row r="40" spans="1:5" x14ac:dyDescent="0.25">
      <c r="A40" s="104">
        <v>30</v>
      </c>
      <c r="B40" s="105">
        <v>4.41</v>
      </c>
      <c r="C40" s="105">
        <v>0.94</v>
      </c>
      <c r="D40" s="105">
        <v>4.41</v>
      </c>
      <c r="E40" s="105">
        <v>0.94</v>
      </c>
    </row>
    <row r="41" spans="1:5" x14ac:dyDescent="0.25">
      <c r="A41" s="104">
        <v>31</v>
      </c>
      <c r="B41" s="105">
        <v>4.5599999999999996</v>
      </c>
      <c r="C41" s="105">
        <v>0.98</v>
      </c>
      <c r="D41" s="105">
        <v>4.5599999999999996</v>
      </c>
      <c r="E41" s="105">
        <v>0.98</v>
      </c>
    </row>
    <row r="42" spans="1:5" x14ac:dyDescent="0.25">
      <c r="A42" s="104">
        <v>32</v>
      </c>
      <c r="B42" s="105">
        <v>4.71</v>
      </c>
      <c r="C42" s="105">
        <v>1.01</v>
      </c>
      <c r="D42" s="105">
        <v>4.71</v>
      </c>
      <c r="E42" s="105">
        <v>1.01</v>
      </c>
    </row>
    <row r="43" spans="1:5" x14ac:dyDescent="0.25">
      <c r="A43" s="104">
        <v>33</v>
      </c>
      <c r="B43" s="105">
        <v>4.88</v>
      </c>
      <c r="C43" s="105">
        <v>1.05</v>
      </c>
      <c r="D43" s="105">
        <v>4.88</v>
      </c>
      <c r="E43" s="105">
        <v>1.05</v>
      </c>
    </row>
    <row r="44" spans="1:5" x14ac:dyDescent="0.25">
      <c r="A44" s="104">
        <v>34</v>
      </c>
      <c r="B44" s="105">
        <v>5.04</v>
      </c>
      <c r="C44" s="105">
        <v>1.08</v>
      </c>
      <c r="D44" s="105">
        <v>5.04</v>
      </c>
      <c r="E44" s="105">
        <v>1.08</v>
      </c>
    </row>
    <row r="45" spans="1:5" x14ac:dyDescent="0.25">
      <c r="A45" s="104">
        <v>35</v>
      </c>
      <c r="B45" s="105">
        <v>5.21</v>
      </c>
      <c r="C45" s="105">
        <v>1.1200000000000001</v>
      </c>
      <c r="D45" s="105">
        <v>5.21</v>
      </c>
      <c r="E45" s="105">
        <v>1.1200000000000001</v>
      </c>
    </row>
    <row r="46" spans="1:5" x14ac:dyDescent="0.25">
      <c r="A46" s="104">
        <v>36</v>
      </c>
      <c r="B46" s="105">
        <v>5.39</v>
      </c>
      <c r="C46" s="105">
        <v>1.1599999999999999</v>
      </c>
      <c r="D46" s="105">
        <v>5.39</v>
      </c>
      <c r="E46" s="105">
        <v>1.1599999999999999</v>
      </c>
    </row>
    <row r="47" spans="1:5" x14ac:dyDescent="0.25">
      <c r="A47" s="104">
        <v>37</v>
      </c>
      <c r="B47" s="105">
        <v>5.58</v>
      </c>
      <c r="C47" s="105">
        <v>1.2</v>
      </c>
      <c r="D47" s="105">
        <v>5.58</v>
      </c>
      <c r="E47" s="105">
        <v>1.2</v>
      </c>
    </row>
    <row r="48" spans="1:5" x14ac:dyDescent="0.25">
      <c r="A48" s="104">
        <v>38</v>
      </c>
      <c r="B48" s="105">
        <v>5.77</v>
      </c>
      <c r="C48" s="105">
        <v>1.24</v>
      </c>
      <c r="D48" s="105">
        <v>5.77</v>
      </c>
      <c r="E48" s="105">
        <v>1.24</v>
      </c>
    </row>
    <row r="49" spans="1:5" x14ac:dyDescent="0.25">
      <c r="A49" s="104">
        <v>39</v>
      </c>
      <c r="B49" s="105">
        <v>5.97</v>
      </c>
      <c r="C49" s="105">
        <v>1.28</v>
      </c>
      <c r="D49" s="105">
        <v>5.97</v>
      </c>
      <c r="E49" s="105">
        <v>1.28</v>
      </c>
    </row>
    <row r="50" spans="1:5" x14ac:dyDescent="0.25">
      <c r="A50" s="104">
        <v>40</v>
      </c>
      <c r="B50" s="105">
        <v>6.17</v>
      </c>
      <c r="C50" s="105">
        <v>1.32</v>
      </c>
      <c r="D50" s="105">
        <v>6.17</v>
      </c>
      <c r="E50" s="105">
        <v>1.32</v>
      </c>
    </row>
    <row r="51" spans="1:5" x14ac:dyDescent="0.25">
      <c r="A51" s="104">
        <v>41</v>
      </c>
      <c r="B51" s="105">
        <v>6.38</v>
      </c>
      <c r="C51" s="105">
        <v>1.36</v>
      </c>
      <c r="D51" s="105">
        <v>6.38</v>
      </c>
      <c r="E51" s="105">
        <v>1.36</v>
      </c>
    </row>
    <row r="52" spans="1:5" x14ac:dyDescent="0.25">
      <c r="A52" s="104">
        <v>42</v>
      </c>
      <c r="B52" s="105">
        <v>6.6</v>
      </c>
      <c r="C52" s="105">
        <v>1.4</v>
      </c>
      <c r="D52" s="105">
        <v>6.6</v>
      </c>
      <c r="E52" s="105">
        <v>1.4</v>
      </c>
    </row>
    <row r="53" spans="1:5" x14ac:dyDescent="0.25">
      <c r="A53" s="104">
        <v>43</v>
      </c>
      <c r="B53" s="105">
        <v>6.83</v>
      </c>
      <c r="C53" s="105">
        <v>1.45</v>
      </c>
      <c r="D53" s="105">
        <v>6.83</v>
      </c>
      <c r="E53" s="105">
        <v>1.45</v>
      </c>
    </row>
    <row r="54" spans="1:5" x14ac:dyDescent="0.25">
      <c r="A54" s="104">
        <v>44</v>
      </c>
      <c r="B54" s="105">
        <v>7.06</v>
      </c>
      <c r="C54" s="105">
        <v>1.49</v>
      </c>
      <c r="D54" s="105">
        <v>7.06</v>
      </c>
      <c r="E54" s="105">
        <v>1.49</v>
      </c>
    </row>
    <row r="55" spans="1:5" x14ac:dyDescent="0.25">
      <c r="A55" s="104">
        <v>45</v>
      </c>
      <c r="B55" s="105">
        <v>7.31</v>
      </c>
      <c r="C55" s="105">
        <v>1.54</v>
      </c>
      <c r="D55" s="105">
        <v>7.31</v>
      </c>
      <c r="E55" s="105">
        <v>1.54</v>
      </c>
    </row>
    <row r="56" spans="1:5" x14ac:dyDescent="0.25">
      <c r="A56" s="104">
        <v>46</v>
      </c>
      <c r="B56" s="105">
        <v>7.56</v>
      </c>
      <c r="C56" s="105">
        <v>1.59</v>
      </c>
      <c r="D56" s="105">
        <v>7.56</v>
      </c>
      <c r="E56" s="105">
        <v>1.59</v>
      </c>
    </row>
    <row r="57" spans="1:5" x14ac:dyDescent="0.25">
      <c r="A57" s="104">
        <v>47</v>
      </c>
      <c r="B57" s="105">
        <v>7.83</v>
      </c>
      <c r="C57" s="105">
        <v>1.63</v>
      </c>
      <c r="D57" s="105">
        <v>7.83</v>
      </c>
      <c r="E57" s="105">
        <v>1.63</v>
      </c>
    </row>
    <row r="58" spans="1:5" x14ac:dyDescent="0.25">
      <c r="A58" s="104">
        <v>48</v>
      </c>
      <c r="B58" s="105">
        <v>8.1</v>
      </c>
      <c r="C58" s="105">
        <v>1.68</v>
      </c>
      <c r="D58" s="105">
        <v>8.1</v>
      </c>
      <c r="E58" s="105">
        <v>1.68</v>
      </c>
    </row>
    <row r="59" spans="1:5" x14ac:dyDescent="0.25">
      <c r="A59" s="104">
        <v>49</v>
      </c>
      <c r="B59" s="105">
        <v>8.3800000000000008</v>
      </c>
      <c r="C59" s="105">
        <v>1.73</v>
      </c>
      <c r="D59" s="105">
        <v>8.3800000000000008</v>
      </c>
      <c r="E59" s="105">
        <v>1.73</v>
      </c>
    </row>
    <row r="60" spans="1:5" x14ac:dyDescent="0.25">
      <c r="A60" s="104">
        <v>50</v>
      </c>
      <c r="B60" s="105">
        <v>8.67</v>
      </c>
      <c r="C60" s="105">
        <v>1.78</v>
      </c>
      <c r="D60" s="105">
        <v>8.67</v>
      </c>
      <c r="E60" s="105">
        <v>1.78</v>
      </c>
    </row>
    <row r="61" spans="1:5" x14ac:dyDescent="0.25">
      <c r="A61" s="104">
        <v>51</v>
      </c>
      <c r="B61" s="105">
        <v>8.98</v>
      </c>
      <c r="C61" s="105">
        <v>1.83</v>
      </c>
      <c r="D61" s="105">
        <v>8.98</v>
      </c>
      <c r="E61" s="105">
        <v>1.83</v>
      </c>
    </row>
    <row r="62" spans="1:5" x14ac:dyDescent="0.25">
      <c r="A62" s="104">
        <v>52</v>
      </c>
      <c r="B62" s="105">
        <v>9.3000000000000007</v>
      </c>
      <c r="C62" s="105">
        <v>1.88</v>
      </c>
      <c r="D62" s="105">
        <v>9.3000000000000007</v>
      </c>
      <c r="E62" s="105">
        <v>1.88</v>
      </c>
    </row>
    <row r="63" spans="1:5" x14ac:dyDescent="0.25">
      <c r="A63" s="104">
        <v>53</v>
      </c>
      <c r="B63" s="105">
        <v>9.6300000000000008</v>
      </c>
      <c r="C63" s="105">
        <v>1.93</v>
      </c>
      <c r="D63" s="105">
        <v>9.6300000000000008</v>
      </c>
      <c r="E63" s="105">
        <v>1.93</v>
      </c>
    </row>
    <row r="64" spans="1:5" x14ac:dyDescent="0.25">
      <c r="A64" s="104">
        <v>54</v>
      </c>
      <c r="B64" s="105">
        <v>9.9700000000000006</v>
      </c>
      <c r="C64" s="105">
        <v>1.98</v>
      </c>
      <c r="D64" s="105">
        <v>9.9700000000000006</v>
      </c>
      <c r="E64" s="105">
        <v>1.98</v>
      </c>
    </row>
    <row r="65" spans="1:5" x14ac:dyDescent="0.25">
      <c r="A65" s="104">
        <v>55</v>
      </c>
      <c r="B65" s="105">
        <v>10.33</v>
      </c>
      <c r="C65" s="105">
        <v>2.0299999999999998</v>
      </c>
      <c r="D65" s="105">
        <v>10.33</v>
      </c>
      <c r="E65" s="105">
        <v>2.0299999999999998</v>
      </c>
    </row>
    <row r="66" spans="1:5" x14ac:dyDescent="0.25">
      <c r="A66" s="104">
        <v>56</v>
      </c>
      <c r="B66" s="105">
        <v>10.7</v>
      </c>
      <c r="C66" s="105">
        <v>2.08</v>
      </c>
      <c r="D66" s="105">
        <v>10.7</v>
      </c>
      <c r="E66" s="105">
        <v>2.08</v>
      </c>
    </row>
    <row r="67" spans="1:5" x14ac:dyDescent="0.25">
      <c r="A67" s="104">
        <v>57</v>
      </c>
      <c r="B67" s="105">
        <v>11.09</v>
      </c>
      <c r="C67" s="105">
        <v>2.13</v>
      </c>
      <c r="D67" s="105">
        <v>11.09</v>
      </c>
      <c r="E67" s="105">
        <v>2.13</v>
      </c>
    </row>
    <row r="68" spans="1:5" x14ac:dyDescent="0.25">
      <c r="A68" s="104">
        <v>58</v>
      </c>
      <c r="B68" s="105">
        <v>11.49</v>
      </c>
      <c r="C68" s="105">
        <v>2.1800000000000002</v>
      </c>
      <c r="D68" s="105">
        <v>11.49</v>
      </c>
      <c r="E68" s="105">
        <v>2.1800000000000002</v>
      </c>
    </row>
    <row r="69" spans="1:5" x14ac:dyDescent="0.25">
      <c r="A69" s="104">
        <v>59</v>
      </c>
      <c r="B69" s="105">
        <v>11.92</v>
      </c>
      <c r="C69" s="105">
        <v>2.23</v>
      </c>
      <c r="D69" s="105">
        <v>11.92</v>
      </c>
      <c r="E69" s="105">
        <v>2.23</v>
      </c>
    </row>
    <row r="70" spans="1:5" x14ac:dyDescent="0.25">
      <c r="A70" s="104">
        <v>60</v>
      </c>
      <c r="B70" s="105">
        <v>12.36</v>
      </c>
      <c r="C70" s="105">
        <v>2.27</v>
      </c>
      <c r="D70" s="105">
        <v>12.36</v>
      </c>
      <c r="E70" s="105">
        <v>2.27</v>
      </c>
    </row>
    <row r="71" spans="1:5" x14ac:dyDescent="0.25">
      <c r="A71" s="104">
        <v>61</v>
      </c>
      <c r="B71" s="105">
        <v>12.83</v>
      </c>
      <c r="C71" s="105">
        <v>2.3199999999999998</v>
      </c>
      <c r="D71" s="105">
        <v>12.83</v>
      </c>
      <c r="E71" s="105">
        <v>2.3199999999999998</v>
      </c>
    </row>
    <row r="72" spans="1:5" x14ac:dyDescent="0.25">
      <c r="A72" s="104">
        <v>62</v>
      </c>
      <c r="B72" s="105">
        <v>13.32</v>
      </c>
      <c r="C72" s="105">
        <v>2.36</v>
      </c>
      <c r="D72" s="105">
        <v>13.32</v>
      </c>
      <c r="E72" s="105">
        <v>2.36</v>
      </c>
    </row>
    <row r="73" spans="1:5" x14ac:dyDescent="0.25">
      <c r="A73" s="104">
        <v>63</v>
      </c>
      <c r="B73" s="105">
        <v>13.83</v>
      </c>
      <c r="C73" s="105">
        <v>2.41</v>
      </c>
      <c r="D73" s="105">
        <v>13.83</v>
      </c>
      <c r="E73" s="105">
        <v>2.41</v>
      </c>
    </row>
    <row r="74" spans="1:5" x14ac:dyDescent="0.25">
      <c r="A74" s="104">
        <v>64</v>
      </c>
      <c r="B74" s="105">
        <v>14.38</v>
      </c>
      <c r="C74" s="105">
        <v>2.44</v>
      </c>
      <c r="D74" s="105">
        <v>14.38</v>
      </c>
      <c r="E74" s="105">
        <v>2.44</v>
      </c>
    </row>
    <row r="75" spans="1:5" x14ac:dyDescent="0.25">
      <c r="A75" s="104">
        <v>65</v>
      </c>
      <c r="B75" s="105">
        <v>14.96</v>
      </c>
      <c r="C75" s="105">
        <v>2.48</v>
      </c>
      <c r="D75" s="105">
        <v>14.96</v>
      </c>
      <c r="E75" s="105">
        <v>2.48</v>
      </c>
    </row>
    <row r="76" spans="1:5" x14ac:dyDescent="0.25">
      <c r="A76" s="104">
        <v>66</v>
      </c>
      <c r="B76" s="105">
        <v>15.57</v>
      </c>
      <c r="C76" s="105">
        <v>2.5099999999999998</v>
      </c>
      <c r="D76" s="105">
        <v>15.57</v>
      </c>
      <c r="E76" s="105">
        <v>2.5099999999999998</v>
      </c>
    </row>
    <row r="77" spans="1:5" x14ac:dyDescent="0.25">
      <c r="A77" s="104">
        <v>67</v>
      </c>
      <c r="B77" s="105">
        <v>16.22</v>
      </c>
      <c r="C77" s="105">
        <v>2.54</v>
      </c>
      <c r="D77" s="105">
        <v>16.22</v>
      </c>
      <c r="E77" s="105">
        <v>2.54</v>
      </c>
    </row>
    <row r="78" spans="1:5" x14ac:dyDescent="0.25">
      <c r="A78" s="104">
        <v>68</v>
      </c>
      <c r="B78" s="105">
        <v>16.22</v>
      </c>
      <c r="C78" s="105">
        <v>2.5499999999999998</v>
      </c>
      <c r="D78" s="105">
        <v>16.22</v>
      </c>
      <c r="E78" s="105">
        <v>2.5499999999999998</v>
      </c>
    </row>
    <row r="79" spans="1:5" x14ac:dyDescent="0.25">
      <c r="A79" s="104">
        <v>69</v>
      </c>
      <c r="B79" s="105">
        <v>15.54</v>
      </c>
      <c r="C79" s="105">
        <v>2.54</v>
      </c>
      <c r="D79" s="105">
        <v>15.54</v>
      </c>
      <c r="E79" s="105">
        <v>2.54</v>
      </c>
    </row>
    <row r="80" spans="1:5" x14ac:dyDescent="0.25">
      <c r="A80" s="104">
        <v>70</v>
      </c>
      <c r="B80" s="105">
        <v>14.88</v>
      </c>
      <c r="C80" s="105">
        <v>2.5299999999999998</v>
      </c>
      <c r="D80" s="105">
        <v>14.88</v>
      </c>
      <c r="E80" s="105">
        <v>2.5299999999999998</v>
      </c>
    </row>
    <row r="81" spans="1:5" x14ac:dyDescent="0.25">
      <c r="A81" s="104">
        <v>71</v>
      </c>
      <c r="B81" s="105">
        <v>14.22</v>
      </c>
      <c r="C81" s="105">
        <v>2.5099999999999998</v>
      </c>
      <c r="D81" s="105">
        <v>14.22</v>
      </c>
      <c r="E81" s="105">
        <v>2.5099999999999998</v>
      </c>
    </row>
    <row r="82" spans="1:5" x14ac:dyDescent="0.25">
      <c r="A82" s="104">
        <v>72</v>
      </c>
      <c r="B82" s="105">
        <v>13.57</v>
      </c>
      <c r="C82" s="105">
        <v>2.5</v>
      </c>
      <c r="D82" s="105">
        <v>13.57</v>
      </c>
      <c r="E82" s="105">
        <v>2.5</v>
      </c>
    </row>
    <row r="83" spans="1:5" x14ac:dyDescent="0.25">
      <c r="A83" s="104">
        <v>73</v>
      </c>
      <c r="B83" s="105">
        <v>12.94</v>
      </c>
      <c r="C83" s="105">
        <v>2.4700000000000002</v>
      </c>
      <c r="D83" s="105">
        <v>12.94</v>
      </c>
      <c r="E83" s="105">
        <v>2.4700000000000002</v>
      </c>
    </row>
    <row r="84" spans="1:5" x14ac:dyDescent="0.25">
      <c r="A84" s="104">
        <v>74</v>
      </c>
      <c r="B84" s="105">
        <v>12.31</v>
      </c>
      <c r="C84" s="105">
        <v>2.4500000000000002</v>
      </c>
      <c r="D84" s="105">
        <v>12.31</v>
      </c>
      <c r="E84" s="105">
        <v>2.4500000000000002</v>
      </c>
    </row>
    <row r="85" spans="1:5" x14ac:dyDescent="0.25">
      <c r="A85" s="104">
        <v>75</v>
      </c>
      <c r="B85" s="105">
        <v>11.69</v>
      </c>
      <c r="C85" s="105">
        <v>2.42</v>
      </c>
      <c r="D85" s="105">
        <v>11.69</v>
      </c>
      <c r="E85" s="105">
        <v>2.42</v>
      </c>
    </row>
  </sheetData>
  <sheetProtection algorithmName="SHA-512" hashValue="5+65jNzU0Sa5X/oVWZrdDPI8ybJPV9rgffSYjltLspszP/FMcKvBZCY8BxVWiUd51QESiTzuWy3nxei7hj5Zbg==" saltValue="orL+eTsvwt0oBWmbculctw==" spinCount="100000" sheet="1" objects="1" scenarios="1"/>
  <conditionalFormatting sqref="A6:A21">
    <cfRule type="expression" dxfId="1435" priority="1" stopIfTrue="1">
      <formula>MOD(ROW(),2)=0</formula>
    </cfRule>
    <cfRule type="expression" dxfId="1434" priority="2" stopIfTrue="1">
      <formula>MOD(ROW(),2)&lt;&gt;0</formula>
    </cfRule>
  </conditionalFormatting>
  <conditionalFormatting sqref="A26:A85">
    <cfRule type="expression" dxfId="1433" priority="7" stopIfTrue="1">
      <formula>MOD(ROW(),2)=0</formula>
    </cfRule>
    <cfRule type="expression" dxfId="1432" priority="8" stopIfTrue="1">
      <formula>MOD(ROW(),2)&lt;&gt;0</formula>
    </cfRule>
  </conditionalFormatting>
  <conditionalFormatting sqref="B12">
    <cfRule type="expression" dxfId="1431" priority="11" stopIfTrue="1">
      <formula>MOD(ROW(),2)=0</formula>
    </cfRule>
    <cfRule type="expression" dxfId="1430" priority="12" stopIfTrue="1">
      <formula>MOD(ROW(),2)&lt;&gt;0</formula>
    </cfRule>
  </conditionalFormatting>
  <conditionalFormatting sqref="B17:B20">
    <cfRule type="expression" dxfId="1429" priority="5" stopIfTrue="1">
      <formula>MOD(ROW(),2)=0</formula>
    </cfRule>
    <cfRule type="expression" dxfId="1428" priority="6" stopIfTrue="1">
      <formula>MOD(ROW(),2)&lt;&gt;0</formula>
    </cfRule>
  </conditionalFormatting>
  <conditionalFormatting sqref="B6:E6 C7:E7 B8:E11 C12:E12 B13:E16 C17:E20">
    <cfRule type="expression" dxfId="1427" priority="43" stopIfTrue="1">
      <formula>MOD(ROW(),2)=0</formula>
    </cfRule>
    <cfRule type="expression" dxfId="1426" priority="44" stopIfTrue="1">
      <formula>MOD(ROW(),2)&lt;&gt;0</formula>
    </cfRule>
  </conditionalFormatting>
  <conditionalFormatting sqref="B6:E21">
    <cfRule type="expression" dxfId="1425" priority="27" stopIfTrue="1">
      <formula>MOD(ROW(),2)=0</formula>
    </cfRule>
    <cfRule type="expression" dxfId="1424" priority="28" stopIfTrue="1">
      <formula>MOD(ROW(),2)&lt;&gt;0</formula>
    </cfRule>
  </conditionalFormatting>
  <conditionalFormatting sqref="B21:E21">
    <cfRule type="expression" dxfId="1423" priority="3" stopIfTrue="1">
      <formula>MOD(ROW(),2)=0</formula>
    </cfRule>
    <cfRule type="expression" dxfId="1422" priority="4" stopIfTrue="1">
      <formula>MOD(ROW(),2)&lt;&gt;0</formula>
    </cfRule>
  </conditionalFormatting>
  <conditionalFormatting sqref="B26:E85">
    <cfRule type="expression" dxfId="1421" priority="9" stopIfTrue="1">
      <formula>MOD(ROW(),2)=0</formula>
    </cfRule>
    <cfRule type="expression" dxfId="1420" priority="10" stopIfTrue="1">
      <formula>MOD(ROW(),2)&lt;&gt;0</formula>
    </cfRule>
  </conditionalFormatting>
  <hyperlinks>
    <hyperlink ref="B24" location="Sheet1!A1" display="Assumptions" xr:uid="{CE339E96-569F-4295-8C9B-162539876D1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5"/>
  <dimension ref="A1:I85"/>
  <sheetViews>
    <sheetView showGridLines="0" zoomScale="85" zoomScaleNormal="85" workbookViewId="0">
      <selection activeCell="A4" sqref="A4"/>
    </sheetView>
  </sheetViews>
  <sheetFormatPr defaultColWidth="10" defaultRowHeight="13.2" x14ac:dyDescent="0.25"/>
  <cols>
    <col min="1" max="1" width="31.5546875" style="27" customWidth="1"/>
    <col min="2" max="9" width="22.5546875" style="27" customWidth="1"/>
    <col min="10"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CETV - x-207</v>
      </c>
      <c r="B3" s="42"/>
      <c r="C3" s="42"/>
      <c r="D3" s="42"/>
      <c r="E3" s="42"/>
      <c r="F3" s="42"/>
      <c r="G3" s="42"/>
      <c r="H3" s="42"/>
      <c r="I3" s="42"/>
    </row>
    <row r="4" spans="1:9" x14ac:dyDescent="0.25">
      <c r="A4" s="44"/>
    </row>
    <row r="6" spans="1:9" x14ac:dyDescent="0.25">
      <c r="A6" s="76" t="s">
        <v>290</v>
      </c>
      <c r="B6" s="129" t="s">
        <v>291</v>
      </c>
      <c r="C6" s="129"/>
      <c r="D6" s="129"/>
      <c r="E6" s="129"/>
      <c r="F6" s="129"/>
      <c r="G6" s="129"/>
      <c r="H6" s="129"/>
      <c r="I6" s="129"/>
    </row>
    <row r="7" spans="1:9" x14ac:dyDescent="0.25">
      <c r="A7" s="77" t="s">
        <v>804</v>
      </c>
      <c r="B7" s="129" t="s">
        <v>345</v>
      </c>
      <c r="C7" s="129"/>
      <c r="D7" s="129"/>
      <c r="E7" s="129"/>
      <c r="F7" s="129"/>
      <c r="G7" s="129"/>
      <c r="H7" s="129"/>
      <c r="I7" s="129"/>
    </row>
    <row r="8" spans="1:9" x14ac:dyDescent="0.25">
      <c r="A8" s="77" t="s">
        <v>805</v>
      </c>
      <c r="B8" s="129" t="s">
        <v>346</v>
      </c>
      <c r="C8" s="129"/>
      <c r="D8" s="129"/>
      <c r="E8" s="129"/>
      <c r="F8" s="129"/>
      <c r="G8" s="129"/>
      <c r="H8" s="129"/>
      <c r="I8" s="129"/>
    </row>
    <row r="9" spans="1:9" x14ac:dyDescent="0.25">
      <c r="A9" s="77" t="s">
        <v>296</v>
      </c>
      <c r="B9" s="129" t="s">
        <v>325</v>
      </c>
      <c r="C9" s="129"/>
      <c r="D9" s="129"/>
      <c r="E9" s="129"/>
      <c r="F9" s="129"/>
      <c r="G9" s="129"/>
      <c r="H9" s="129"/>
      <c r="I9" s="129"/>
    </row>
    <row r="10" spans="1:9" x14ac:dyDescent="0.25">
      <c r="A10" s="77" t="s">
        <v>6</v>
      </c>
      <c r="B10" s="129" t="s">
        <v>347</v>
      </c>
      <c r="C10" s="129"/>
      <c r="D10" s="129"/>
      <c r="E10" s="129"/>
      <c r="F10" s="129"/>
      <c r="G10" s="129"/>
      <c r="H10" s="129"/>
      <c r="I10" s="129"/>
    </row>
    <row r="11" spans="1:9" x14ac:dyDescent="0.25">
      <c r="A11" s="77" t="s">
        <v>299</v>
      </c>
      <c r="B11" s="129" t="s">
        <v>327</v>
      </c>
      <c r="C11" s="129"/>
      <c r="D11" s="129"/>
      <c r="E11" s="129"/>
      <c r="F11" s="129"/>
      <c r="G11" s="129"/>
      <c r="H11" s="129"/>
      <c r="I11" s="129"/>
    </row>
    <row r="12" spans="1:9" x14ac:dyDescent="0.25">
      <c r="A12" s="77" t="s">
        <v>301</v>
      </c>
      <c r="B12" s="129" t="s">
        <v>328</v>
      </c>
      <c r="C12" s="129"/>
      <c r="D12" s="129"/>
      <c r="E12" s="129"/>
      <c r="F12" s="129"/>
      <c r="G12" s="129"/>
      <c r="H12" s="129"/>
      <c r="I12" s="129"/>
    </row>
    <row r="13" spans="1:9" x14ac:dyDescent="0.25">
      <c r="A13" s="77" t="s">
        <v>806</v>
      </c>
      <c r="B13" s="129">
        <v>1</v>
      </c>
      <c r="C13" s="129"/>
      <c r="D13" s="129"/>
      <c r="E13" s="129"/>
      <c r="F13" s="129"/>
      <c r="G13" s="129"/>
      <c r="H13" s="129"/>
      <c r="I13" s="129"/>
    </row>
    <row r="14" spans="1:9" x14ac:dyDescent="0.25">
      <c r="A14" s="77" t="s">
        <v>305</v>
      </c>
      <c r="B14" s="129">
        <v>207</v>
      </c>
      <c r="C14" s="129"/>
      <c r="D14" s="129"/>
      <c r="E14" s="129"/>
      <c r="F14" s="129"/>
      <c r="G14" s="129"/>
      <c r="H14" s="129"/>
      <c r="I14" s="129"/>
    </row>
    <row r="15" spans="1:9" x14ac:dyDescent="0.25">
      <c r="A15" s="77" t="s">
        <v>307</v>
      </c>
      <c r="B15" s="129" t="s">
        <v>348</v>
      </c>
      <c r="C15" s="129"/>
      <c r="D15" s="129"/>
      <c r="E15" s="129"/>
      <c r="F15" s="129"/>
      <c r="G15" s="129"/>
      <c r="H15" s="129"/>
      <c r="I15" s="129"/>
    </row>
    <row r="16" spans="1:9" x14ac:dyDescent="0.25">
      <c r="A16" s="77" t="s">
        <v>309</v>
      </c>
      <c r="B16" s="129" t="s">
        <v>349</v>
      </c>
      <c r="C16" s="129"/>
      <c r="D16" s="129"/>
      <c r="E16" s="129"/>
      <c r="F16" s="129"/>
      <c r="G16" s="129"/>
      <c r="H16" s="129"/>
      <c r="I16" s="129"/>
    </row>
    <row r="17" spans="1:9" x14ac:dyDescent="0.25">
      <c r="A17" s="77" t="s">
        <v>803</v>
      </c>
      <c r="B17" s="129"/>
      <c r="C17" s="129"/>
      <c r="D17" s="129"/>
      <c r="E17" s="129"/>
      <c r="F17" s="129"/>
      <c r="G17" s="129"/>
      <c r="H17" s="129"/>
      <c r="I17" s="129"/>
    </row>
    <row r="18" spans="1:9" x14ac:dyDescent="0.25">
      <c r="A18" s="77" t="s">
        <v>313</v>
      </c>
      <c r="B18" s="187">
        <v>45071</v>
      </c>
      <c r="C18" s="129"/>
      <c r="D18" s="129"/>
      <c r="E18" s="129"/>
      <c r="F18" s="129"/>
      <c r="G18" s="129"/>
      <c r="H18" s="129"/>
      <c r="I18" s="129"/>
    </row>
    <row r="19" spans="1:9" x14ac:dyDescent="0.25">
      <c r="A19" s="77" t="s">
        <v>315</v>
      </c>
      <c r="B19" s="187"/>
      <c r="C19" s="129"/>
      <c r="D19" s="129"/>
      <c r="E19" s="129"/>
      <c r="F19" s="129"/>
      <c r="G19" s="129"/>
      <c r="H19" s="129"/>
      <c r="I19" s="129"/>
    </row>
    <row r="20" spans="1:9" x14ac:dyDescent="0.25">
      <c r="A20" s="77" t="s">
        <v>317</v>
      </c>
      <c r="B20" s="129" t="s">
        <v>331</v>
      </c>
      <c r="C20" s="129"/>
      <c r="D20" s="129"/>
      <c r="E20" s="129"/>
      <c r="F20" s="129"/>
      <c r="G20" s="129"/>
      <c r="H20" s="129"/>
      <c r="I20" s="129"/>
    </row>
    <row r="21" spans="1:9" x14ac:dyDescent="0.25">
      <c r="A21" s="77" t="s">
        <v>323</v>
      </c>
      <c r="B21" s="129" t="s">
        <v>332</v>
      </c>
      <c r="C21" s="129"/>
      <c r="D21" s="129"/>
      <c r="E21" s="129"/>
      <c r="F21" s="129"/>
      <c r="G21" s="129"/>
      <c r="H21" s="129"/>
      <c r="I21" s="129"/>
    </row>
    <row r="23" spans="1:9" x14ac:dyDescent="0.25">
      <c r="B23" s="102" t="str">
        <f>HYPERLINK("#'Factor List'!A1","Back to Factor List")</f>
        <v>Back to Factor List</v>
      </c>
    </row>
    <row r="24" spans="1:9" x14ac:dyDescent="0.25">
      <c r="B24" s="102" t="s">
        <v>13</v>
      </c>
    </row>
    <row r="25" spans="1:9" x14ac:dyDescent="0.25">
      <c r="B25" s="102"/>
    </row>
    <row r="26" spans="1:9" ht="26.4" x14ac:dyDescent="0.25">
      <c r="A26" s="103" t="s">
        <v>373</v>
      </c>
      <c r="B26" s="103" t="s">
        <v>807</v>
      </c>
      <c r="C26" s="103" t="s">
        <v>812</v>
      </c>
      <c r="D26" s="103" t="s">
        <v>813</v>
      </c>
      <c r="E26" s="103" t="s">
        <v>808</v>
      </c>
      <c r="F26" s="103" t="s">
        <v>809</v>
      </c>
      <c r="G26" s="103" t="s">
        <v>814</v>
      </c>
      <c r="H26" s="103" t="s">
        <v>815</v>
      </c>
      <c r="I26" s="103" t="s">
        <v>810</v>
      </c>
    </row>
    <row r="27" spans="1:9" x14ac:dyDescent="0.25">
      <c r="A27" s="104">
        <v>17</v>
      </c>
      <c r="B27" s="105">
        <v>11.24</v>
      </c>
      <c r="C27" s="105">
        <v>0</v>
      </c>
      <c r="D27" s="105">
        <v>0.49</v>
      </c>
      <c r="E27" s="105">
        <v>1.45</v>
      </c>
      <c r="F27" s="105">
        <v>11.24</v>
      </c>
      <c r="G27" s="105">
        <v>0</v>
      </c>
      <c r="H27" s="105">
        <v>0.49</v>
      </c>
      <c r="I27" s="105">
        <v>1.45</v>
      </c>
    </row>
    <row r="28" spans="1:9" x14ac:dyDescent="0.25">
      <c r="A28" s="104">
        <v>18</v>
      </c>
      <c r="B28" s="105">
        <v>11.41</v>
      </c>
      <c r="C28" s="105">
        <v>0</v>
      </c>
      <c r="D28" s="105">
        <v>0.5</v>
      </c>
      <c r="E28" s="105">
        <v>1.54</v>
      </c>
      <c r="F28" s="105">
        <v>11.41</v>
      </c>
      <c r="G28" s="105">
        <v>0</v>
      </c>
      <c r="H28" s="105">
        <v>0.5</v>
      </c>
      <c r="I28" s="105">
        <v>1.54</v>
      </c>
    </row>
    <row r="29" spans="1:9" x14ac:dyDescent="0.25">
      <c r="A29" s="104">
        <v>19</v>
      </c>
      <c r="B29" s="105">
        <v>11.57</v>
      </c>
      <c r="C29" s="105">
        <v>0</v>
      </c>
      <c r="D29" s="105">
        <v>0.51</v>
      </c>
      <c r="E29" s="105">
        <v>1.61</v>
      </c>
      <c r="F29" s="105">
        <v>11.57</v>
      </c>
      <c r="G29" s="105">
        <v>0</v>
      </c>
      <c r="H29" s="105">
        <v>0.51</v>
      </c>
      <c r="I29" s="105">
        <v>1.61</v>
      </c>
    </row>
    <row r="30" spans="1:9" x14ac:dyDescent="0.25">
      <c r="A30" s="104">
        <v>20</v>
      </c>
      <c r="B30" s="105">
        <v>11.74</v>
      </c>
      <c r="C30" s="105">
        <v>0</v>
      </c>
      <c r="D30" s="105">
        <v>0.51</v>
      </c>
      <c r="E30" s="105">
        <v>1.63</v>
      </c>
      <c r="F30" s="105">
        <v>11.74</v>
      </c>
      <c r="G30" s="105">
        <v>0</v>
      </c>
      <c r="H30" s="105">
        <v>0.51</v>
      </c>
      <c r="I30" s="105">
        <v>1.63</v>
      </c>
    </row>
    <row r="31" spans="1:9" x14ac:dyDescent="0.25">
      <c r="A31" s="104">
        <v>21</v>
      </c>
      <c r="B31" s="105">
        <v>11.92</v>
      </c>
      <c r="C31" s="105">
        <v>0</v>
      </c>
      <c r="D31" s="105">
        <v>0.52</v>
      </c>
      <c r="E31" s="105">
        <v>1.66</v>
      </c>
      <c r="F31" s="105">
        <v>11.92</v>
      </c>
      <c r="G31" s="105">
        <v>0</v>
      </c>
      <c r="H31" s="105">
        <v>0.52</v>
      </c>
      <c r="I31" s="105">
        <v>1.66</v>
      </c>
    </row>
    <row r="32" spans="1:9" x14ac:dyDescent="0.25">
      <c r="A32" s="104">
        <v>22</v>
      </c>
      <c r="B32" s="105">
        <v>12.09</v>
      </c>
      <c r="C32" s="105">
        <v>0</v>
      </c>
      <c r="D32" s="105">
        <v>0.53</v>
      </c>
      <c r="E32" s="105">
        <v>1.69</v>
      </c>
      <c r="F32" s="105">
        <v>12.09</v>
      </c>
      <c r="G32" s="105">
        <v>0</v>
      </c>
      <c r="H32" s="105">
        <v>0.53</v>
      </c>
      <c r="I32" s="105">
        <v>1.69</v>
      </c>
    </row>
    <row r="33" spans="1:9" x14ac:dyDescent="0.25">
      <c r="A33" s="104">
        <v>23</v>
      </c>
      <c r="B33" s="105">
        <v>12.27</v>
      </c>
      <c r="C33" s="105">
        <v>0</v>
      </c>
      <c r="D33" s="105">
        <v>0.54</v>
      </c>
      <c r="E33" s="105">
        <v>1.71</v>
      </c>
      <c r="F33" s="105">
        <v>12.27</v>
      </c>
      <c r="G33" s="105">
        <v>0</v>
      </c>
      <c r="H33" s="105">
        <v>0.54</v>
      </c>
      <c r="I33" s="105">
        <v>1.71</v>
      </c>
    </row>
    <row r="34" spans="1:9" x14ac:dyDescent="0.25">
      <c r="A34" s="104">
        <v>24</v>
      </c>
      <c r="B34" s="105">
        <v>12.45</v>
      </c>
      <c r="C34" s="105">
        <v>0</v>
      </c>
      <c r="D34" s="105">
        <v>0.55000000000000004</v>
      </c>
      <c r="E34" s="105">
        <v>1.74</v>
      </c>
      <c r="F34" s="105">
        <v>12.45</v>
      </c>
      <c r="G34" s="105">
        <v>0</v>
      </c>
      <c r="H34" s="105">
        <v>0.55000000000000004</v>
      </c>
      <c r="I34" s="105">
        <v>1.74</v>
      </c>
    </row>
    <row r="35" spans="1:9" x14ac:dyDescent="0.25">
      <c r="A35" s="104">
        <v>25</v>
      </c>
      <c r="B35" s="105">
        <v>12.63</v>
      </c>
      <c r="C35" s="105">
        <v>0</v>
      </c>
      <c r="D35" s="105">
        <v>0.56000000000000005</v>
      </c>
      <c r="E35" s="105">
        <v>1.77</v>
      </c>
      <c r="F35" s="105">
        <v>12.63</v>
      </c>
      <c r="G35" s="105">
        <v>0</v>
      </c>
      <c r="H35" s="105">
        <v>0.56000000000000005</v>
      </c>
      <c r="I35" s="105">
        <v>1.77</v>
      </c>
    </row>
    <row r="36" spans="1:9" x14ac:dyDescent="0.25">
      <c r="A36" s="104">
        <v>26</v>
      </c>
      <c r="B36" s="105">
        <v>12.82</v>
      </c>
      <c r="C36" s="105">
        <v>0</v>
      </c>
      <c r="D36" s="105">
        <v>0.56999999999999995</v>
      </c>
      <c r="E36" s="105">
        <v>1.8</v>
      </c>
      <c r="F36" s="105">
        <v>12.82</v>
      </c>
      <c r="G36" s="105">
        <v>0</v>
      </c>
      <c r="H36" s="105">
        <v>0.56999999999999995</v>
      </c>
      <c r="I36" s="105">
        <v>1.8</v>
      </c>
    </row>
    <row r="37" spans="1:9" x14ac:dyDescent="0.25">
      <c r="A37" s="104">
        <v>27</v>
      </c>
      <c r="B37" s="105">
        <v>13.01</v>
      </c>
      <c r="C37" s="105">
        <v>0</v>
      </c>
      <c r="D37" s="105">
        <v>0.57999999999999996</v>
      </c>
      <c r="E37" s="105">
        <v>1.83</v>
      </c>
      <c r="F37" s="105">
        <v>13.01</v>
      </c>
      <c r="G37" s="105">
        <v>0</v>
      </c>
      <c r="H37" s="105">
        <v>0.57999999999999996</v>
      </c>
      <c r="I37" s="105">
        <v>1.83</v>
      </c>
    </row>
    <row r="38" spans="1:9" x14ac:dyDescent="0.25">
      <c r="A38" s="104">
        <v>28</v>
      </c>
      <c r="B38" s="105">
        <v>13.2</v>
      </c>
      <c r="C38" s="105">
        <v>0</v>
      </c>
      <c r="D38" s="105">
        <v>0.59</v>
      </c>
      <c r="E38" s="105">
        <v>1.85</v>
      </c>
      <c r="F38" s="105">
        <v>13.2</v>
      </c>
      <c r="G38" s="105">
        <v>0</v>
      </c>
      <c r="H38" s="105">
        <v>0.59</v>
      </c>
      <c r="I38" s="105">
        <v>1.85</v>
      </c>
    </row>
    <row r="39" spans="1:9" x14ac:dyDescent="0.25">
      <c r="A39" s="104">
        <v>29</v>
      </c>
      <c r="B39" s="105">
        <v>13.39</v>
      </c>
      <c r="C39" s="105">
        <v>0</v>
      </c>
      <c r="D39" s="105">
        <v>0.6</v>
      </c>
      <c r="E39" s="105">
        <v>1.88</v>
      </c>
      <c r="F39" s="105">
        <v>13.39</v>
      </c>
      <c r="G39" s="105">
        <v>0</v>
      </c>
      <c r="H39" s="105">
        <v>0.6</v>
      </c>
      <c r="I39" s="105">
        <v>1.88</v>
      </c>
    </row>
    <row r="40" spans="1:9" x14ac:dyDescent="0.25">
      <c r="A40" s="104">
        <v>30</v>
      </c>
      <c r="B40" s="105">
        <v>13.59</v>
      </c>
      <c r="C40" s="105">
        <v>0</v>
      </c>
      <c r="D40" s="105">
        <v>0.61</v>
      </c>
      <c r="E40" s="105">
        <v>1.91</v>
      </c>
      <c r="F40" s="105">
        <v>13.59</v>
      </c>
      <c r="G40" s="105">
        <v>0</v>
      </c>
      <c r="H40" s="105">
        <v>0.61</v>
      </c>
      <c r="I40" s="105">
        <v>1.91</v>
      </c>
    </row>
    <row r="41" spans="1:9" x14ac:dyDescent="0.25">
      <c r="A41" s="104">
        <v>31</v>
      </c>
      <c r="B41" s="105">
        <v>13.79</v>
      </c>
      <c r="C41" s="105">
        <v>0</v>
      </c>
      <c r="D41" s="105">
        <v>0.62</v>
      </c>
      <c r="E41" s="105">
        <v>1.94</v>
      </c>
      <c r="F41" s="105">
        <v>13.79</v>
      </c>
      <c r="G41" s="105">
        <v>0</v>
      </c>
      <c r="H41" s="105">
        <v>0.62</v>
      </c>
      <c r="I41" s="105">
        <v>1.94</v>
      </c>
    </row>
    <row r="42" spans="1:9" x14ac:dyDescent="0.25">
      <c r="A42" s="104">
        <v>32</v>
      </c>
      <c r="B42" s="105">
        <v>14</v>
      </c>
      <c r="C42" s="105">
        <v>0</v>
      </c>
      <c r="D42" s="105">
        <v>0.63</v>
      </c>
      <c r="E42" s="105">
        <v>1.97</v>
      </c>
      <c r="F42" s="105">
        <v>14</v>
      </c>
      <c r="G42" s="105">
        <v>0</v>
      </c>
      <c r="H42" s="105">
        <v>0.63</v>
      </c>
      <c r="I42" s="105">
        <v>1.97</v>
      </c>
    </row>
    <row r="43" spans="1:9" x14ac:dyDescent="0.25">
      <c r="A43" s="104">
        <v>33</v>
      </c>
      <c r="B43" s="105">
        <v>14.2</v>
      </c>
      <c r="C43" s="105">
        <v>0</v>
      </c>
      <c r="D43" s="105">
        <v>0.64</v>
      </c>
      <c r="E43" s="105">
        <v>1.99</v>
      </c>
      <c r="F43" s="105">
        <v>14.2</v>
      </c>
      <c r="G43" s="105">
        <v>0</v>
      </c>
      <c r="H43" s="105">
        <v>0.64</v>
      </c>
      <c r="I43" s="105">
        <v>1.99</v>
      </c>
    </row>
    <row r="44" spans="1:9" x14ac:dyDescent="0.25">
      <c r="A44" s="104">
        <v>34</v>
      </c>
      <c r="B44" s="105">
        <v>14.42</v>
      </c>
      <c r="C44" s="105">
        <v>0</v>
      </c>
      <c r="D44" s="105">
        <v>0.65</v>
      </c>
      <c r="E44" s="105">
        <v>2.02</v>
      </c>
      <c r="F44" s="105">
        <v>14.42</v>
      </c>
      <c r="G44" s="105">
        <v>0</v>
      </c>
      <c r="H44" s="105">
        <v>0.65</v>
      </c>
      <c r="I44" s="105">
        <v>2.02</v>
      </c>
    </row>
    <row r="45" spans="1:9" x14ac:dyDescent="0.25">
      <c r="A45" s="104">
        <v>35</v>
      </c>
      <c r="B45" s="105">
        <v>14.63</v>
      </c>
      <c r="C45" s="105">
        <v>0</v>
      </c>
      <c r="D45" s="105">
        <v>0.66</v>
      </c>
      <c r="E45" s="105">
        <v>2.0499999999999998</v>
      </c>
      <c r="F45" s="105">
        <v>14.63</v>
      </c>
      <c r="G45" s="105">
        <v>0</v>
      </c>
      <c r="H45" s="105">
        <v>0.66</v>
      </c>
      <c r="I45" s="105">
        <v>2.0499999999999998</v>
      </c>
    </row>
    <row r="46" spans="1:9" x14ac:dyDescent="0.25">
      <c r="A46" s="104">
        <v>36</v>
      </c>
      <c r="B46" s="105">
        <v>14.85</v>
      </c>
      <c r="C46" s="105">
        <v>0</v>
      </c>
      <c r="D46" s="105">
        <v>0.67</v>
      </c>
      <c r="E46" s="105">
        <v>2.08</v>
      </c>
      <c r="F46" s="105">
        <v>14.85</v>
      </c>
      <c r="G46" s="105">
        <v>0</v>
      </c>
      <c r="H46" s="105">
        <v>0.67</v>
      </c>
      <c r="I46" s="105">
        <v>2.08</v>
      </c>
    </row>
    <row r="47" spans="1:9" x14ac:dyDescent="0.25">
      <c r="A47" s="104">
        <v>37</v>
      </c>
      <c r="B47" s="105">
        <v>15.07</v>
      </c>
      <c r="C47" s="105">
        <v>0</v>
      </c>
      <c r="D47" s="105">
        <v>0.68</v>
      </c>
      <c r="E47" s="105">
        <v>2.1</v>
      </c>
      <c r="F47" s="105">
        <v>15.07</v>
      </c>
      <c r="G47" s="105">
        <v>0</v>
      </c>
      <c r="H47" s="105">
        <v>0.68</v>
      </c>
      <c r="I47" s="105">
        <v>2.1</v>
      </c>
    </row>
    <row r="48" spans="1:9" x14ac:dyDescent="0.25">
      <c r="A48" s="104">
        <v>38</v>
      </c>
      <c r="B48" s="105">
        <v>15.3</v>
      </c>
      <c r="C48" s="105">
        <v>0</v>
      </c>
      <c r="D48" s="105">
        <v>0.7</v>
      </c>
      <c r="E48" s="105">
        <v>2.13</v>
      </c>
      <c r="F48" s="105">
        <v>15.3</v>
      </c>
      <c r="G48" s="105">
        <v>0</v>
      </c>
      <c r="H48" s="105">
        <v>0.7</v>
      </c>
      <c r="I48" s="105">
        <v>2.13</v>
      </c>
    </row>
    <row r="49" spans="1:9" x14ac:dyDescent="0.25">
      <c r="A49" s="104">
        <v>39</v>
      </c>
      <c r="B49" s="105">
        <v>15.53</v>
      </c>
      <c r="C49" s="105">
        <v>0</v>
      </c>
      <c r="D49" s="105">
        <v>0.71</v>
      </c>
      <c r="E49" s="105">
        <v>2.16</v>
      </c>
      <c r="F49" s="105">
        <v>15.53</v>
      </c>
      <c r="G49" s="105">
        <v>0</v>
      </c>
      <c r="H49" s="105">
        <v>0.71</v>
      </c>
      <c r="I49" s="105">
        <v>2.16</v>
      </c>
    </row>
    <row r="50" spans="1:9" x14ac:dyDescent="0.25">
      <c r="A50" s="104">
        <v>40</v>
      </c>
      <c r="B50" s="105">
        <v>15.76</v>
      </c>
      <c r="C50" s="105">
        <v>0</v>
      </c>
      <c r="D50" s="105">
        <v>0.72</v>
      </c>
      <c r="E50" s="105">
        <v>2.1800000000000002</v>
      </c>
      <c r="F50" s="105">
        <v>15.76</v>
      </c>
      <c r="G50" s="105">
        <v>0</v>
      </c>
      <c r="H50" s="105">
        <v>0.72</v>
      </c>
      <c r="I50" s="105">
        <v>2.1800000000000002</v>
      </c>
    </row>
    <row r="51" spans="1:9" x14ac:dyDescent="0.25">
      <c r="A51" s="104">
        <v>41</v>
      </c>
      <c r="B51" s="105">
        <v>16</v>
      </c>
      <c r="C51" s="105">
        <v>0</v>
      </c>
      <c r="D51" s="105">
        <v>0.73</v>
      </c>
      <c r="E51" s="105">
        <v>2.21</v>
      </c>
      <c r="F51" s="105">
        <v>16</v>
      </c>
      <c r="G51" s="105">
        <v>0</v>
      </c>
      <c r="H51" s="105">
        <v>0.73</v>
      </c>
      <c r="I51" s="105">
        <v>2.21</v>
      </c>
    </row>
    <row r="52" spans="1:9" x14ac:dyDescent="0.25">
      <c r="A52" s="104">
        <v>42</v>
      </c>
      <c r="B52" s="105">
        <v>16.239999999999998</v>
      </c>
      <c r="C52" s="105">
        <v>0</v>
      </c>
      <c r="D52" s="105">
        <v>0.74</v>
      </c>
      <c r="E52" s="105">
        <v>2.23</v>
      </c>
      <c r="F52" s="105">
        <v>16.239999999999998</v>
      </c>
      <c r="G52" s="105">
        <v>0</v>
      </c>
      <c r="H52" s="105">
        <v>0.74</v>
      </c>
      <c r="I52" s="105">
        <v>2.23</v>
      </c>
    </row>
    <row r="53" spans="1:9" x14ac:dyDescent="0.25">
      <c r="A53" s="104">
        <v>43</v>
      </c>
      <c r="B53" s="105">
        <v>16.489999999999998</v>
      </c>
      <c r="C53" s="105">
        <v>0</v>
      </c>
      <c r="D53" s="105">
        <v>0.76</v>
      </c>
      <c r="E53" s="105">
        <v>2.2599999999999998</v>
      </c>
      <c r="F53" s="105">
        <v>16.489999999999998</v>
      </c>
      <c r="G53" s="105">
        <v>0</v>
      </c>
      <c r="H53" s="105">
        <v>0.76</v>
      </c>
      <c r="I53" s="105">
        <v>2.2599999999999998</v>
      </c>
    </row>
    <row r="54" spans="1:9" x14ac:dyDescent="0.25">
      <c r="A54" s="104">
        <v>44</v>
      </c>
      <c r="B54" s="105">
        <v>16.739999999999998</v>
      </c>
      <c r="C54" s="105">
        <v>0</v>
      </c>
      <c r="D54" s="105">
        <v>0.77</v>
      </c>
      <c r="E54" s="105">
        <v>2.2799999999999998</v>
      </c>
      <c r="F54" s="105">
        <v>16.739999999999998</v>
      </c>
      <c r="G54" s="105">
        <v>0</v>
      </c>
      <c r="H54" s="105">
        <v>0.77</v>
      </c>
      <c r="I54" s="105">
        <v>2.2799999999999998</v>
      </c>
    </row>
    <row r="55" spans="1:9" x14ac:dyDescent="0.25">
      <c r="A55" s="104">
        <v>45</v>
      </c>
      <c r="B55" s="105">
        <v>17</v>
      </c>
      <c r="C55" s="105">
        <v>0</v>
      </c>
      <c r="D55" s="105">
        <v>0.78</v>
      </c>
      <c r="E55" s="105">
        <v>2.2999999999999998</v>
      </c>
      <c r="F55" s="105">
        <v>17</v>
      </c>
      <c r="G55" s="105">
        <v>0</v>
      </c>
      <c r="H55" s="105">
        <v>0.78</v>
      </c>
      <c r="I55" s="105">
        <v>2.2999999999999998</v>
      </c>
    </row>
    <row r="56" spans="1:9" x14ac:dyDescent="0.25">
      <c r="A56" s="104">
        <v>46</v>
      </c>
      <c r="B56" s="105">
        <v>17.260000000000002</v>
      </c>
      <c r="C56" s="105">
        <v>0</v>
      </c>
      <c r="D56" s="105">
        <v>0.8</v>
      </c>
      <c r="E56" s="105">
        <v>2.3199999999999998</v>
      </c>
      <c r="F56" s="105">
        <v>17.260000000000002</v>
      </c>
      <c r="G56" s="105">
        <v>0</v>
      </c>
      <c r="H56" s="105">
        <v>0.8</v>
      </c>
      <c r="I56" s="105">
        <v>2.3199999999999998</v>
      </c>
    </row>
    <row r="57" spans="1:9" x14ac:dyDescent="0.25">
      <c r="A57" s="104">
        <v>47</v>
      </c>
      <c r="B57" s="105">
        <v>17.53</v>
      </c>
      <c r="C57" s="105">
        <v>0</v>
      </c>
      <c r="D57" s="105">
        <v>0.81</v>
      </c>
      <c r="E57" s="105">
        <v>2.35</v>
      </c>
      <c r="F57" s="105">
        <v>17.53</v>
      </c>
      <c r="G57" s="105">
        <v>0</v>
      </c>
      <c r="H57" s="105">
        <v>0.81</v>
      </c>
      <c r="I57" s="105">
        <v>2.35</v>
      </c>
    </row>
    <row r="58" spans="1:9" x14ac:dyDescent="0.25">
      <c r="A58" s="104">
        <v>48</v>
      </c>
      <c r="B58" s="105">
        <v>17.809999999999999</v>
      </c>
      <c r="C58" s="105">
        <v>0</v>
      </c>
      <c r="D58" s="105">
        <v>0.82</v>
      </c>
      <c r="E58" s="105">
        <v>2.37</v>
      </c>
      <c r="F58" s="105">
        <v>17.809999999999999</v>
      </c>
      <c r="G58" s="105">
        <v>0</v>
      </c>
      <c r="H58" s="105">
        <v>0.82</v>
      </c>
      <c r="I58" s="105">
        <v>2.37</v>
      </c>
    </row>
    <row r="59" spans="1:9" x14ac:dyDescent="0.25">
      <c r="A59" s="104">
        <v>49</v>
      </c>
      <c r="B59" s="105">
        <v>18.09</v>
      </c>
      <c r="C59" s="105">
        <v>0</v>
      </c>
      <c r="D59" s="105">
        <v>0.84</v>
      </c>
      <c r="E59" s="105">
        <v>2.38</v>
      </c>
      <c r="F59" s="105">
        <v>18.09</v>
      </c>
      <c r="G59" s="105">
        <v>0</v>
      </c>
      <c r="H59" s="105">
        <v>0.84</v>
      </c>
      <c r="I59" s="105">
        <v>2.38</v>
      </c>
    </row>
    <row r="60" spans="1:9" x14ac:dyDescent="0.25">
      <c r="A60" s="104">
        <v>50</v>
      </c>
      <c r="B60" s="105">
        <v>18.37</v>
      </c>
      <c r="C60" s="105">
        <v>0</v>
      </c>
      <c r="D60" s="105">
        <v>0.85</v>
      </c>
      <c r="E60" s="105">
        <v>2.4</v>
      </c>
      <c r="F60" s="105">
        <v>18.37</v>
      </c>
      <c r="G60" s="105">
        <v>0</v>
      </c>
      <c r="H60" s="105">
        <v>0.85</v>
      </c>
      <c r="I60" s="105">
        <v>2.4</v>
      </c>
    </row>
    <row r="61" spans="1:9" x14ac:dyDescent="0.25">
      <c r="A61" s="104">
        <v>51</v>
      </c>
      <c r="B61" s="105">
        <v>18.670000000000002</v>
      </c>
      <c r="C61" s="105">
        <v>0</v>
      </c>
      <c r="D61" s="105">
        <v>0.87</v>
      </c>
      <c r="E61" s="105">
        <v>2.42</v>
      </c>
      <c r="F61" s="105">
        <v>18.670000000000002</v>
      </c>
      <c r="G61" s="105">
        <v>0</v>
      </c>
      <c r="H61" s="105">
        <v>0.87</v>
      </c>
      <c r="I61" s="105">
        <v>2.42</v>
      </c>
    </row>
    <row r="62" spans="1:9" x14ac:dyDescent="0.25">
      <c r="A62" s="104">
        <v>52</v>
      </c>
      <c r="B62" s="105">
        <v>18.97</v>
      </c>
      <c r="C62" s="105">
        <v>0</v>
      </c>
      <c r="D62" s="105">
        <v>0.88</v>
      </c>
      <c r="E62" s="105">
        <v>2.44</v>
      </c>
      <c r="F62" s="105">
        <v>18.97</v>
      </c>
      <c r="G62" s="105">
        <v>0</v>
      </c>
      <c r="H62" s="105">
        <v>0.88</v>
      </c>
      <c r="I62" s="105">
        <v>2.44</v>
      </c>
    </row>
    <row r="63" spans="1:9" x14ac:dyDescent="0.25">
      <c r="A63" s="104">
        <v>53</v>
      </c>
      <c r="B63" s="105">
        <v>19.28</v>
      </c>
      <c r="C63" s="105">
        <v>0</v>
      </c>
      <c r="D63" s="105">
        <v>0.9</v>
      </c>
      <c r="E63" s="105">
        <v>2.4500000000000002</v>
      </c>
      <c r="F63" s="105">
        <v>19.28</v>
      </c>
      <c r="G63" s="105">
        <v>0</v>
      </c>
      <c r="H63" s="105">
        <v>0.9</v>
      </c>
      <c r="I63" s="105">
        <v>2.4500000000000002</v>
      </c>
    </row>
    <row r="64" spans="1:9" x14ac:dyDescent="0.25">
      <c r="A64" s="104">
        <v>54</v>
      </c>
      <c r="B64" s="105">
        <v>19.600000000000001</v>
      </c>
      <c r="C64" s="105">
        <v>0</v>
      </c>
      <c r="D64" s="105">
        <v>0.91</v>
      </c>
      <c r="E64" s="105">
        <v>2.46</v>
      </c>
      <c r="F64" s="105">
        <v>19.600000000000001</v>
      </c>
      <c r="G64" s="105">
        <v>0</v>
      </c>
      <c r="H64" s="105">
        <v>0.91</v>
      </c>
      <c r="I64" s="105">
        <v>2.46</v>
      </c>
    </row>
    <row r="65" spans="1:9" x14ac:dyDescent="0.25">
      <c r="A65" s="104">
        <v>55</v>
      </c>
      <c r="B65" s="105">
        <v>19.920000000000002</v>
      </c>
      <c r="C65" s="105">
        <v>0</v>
      </c>
      <c r="D65" s="105">
        <v>0.93</v>
      </c>
      <c r="E65" s="105">
        <v>2.48</v>
      </c>
      <c r="F65" s="105">
        <v>19.920000000000002</v>
      </c>
      <c r="G65" s="105">
        <v>0</v>
      </c>
      <c r="H65" s="105">
        <v>0.93</v>
      </c>
      <c r="I65" s="105">
        <v>2.48</v>
      </c>
    </row>
    <row r="66" spans="1:9" x14ac:dyDescent="0.25">
      <c r="A66" s="104">
        <v>56</v>
      </c>
      <c r="B66" s="105">
        <v>20.260000000000002</v>
      </c>
      <c r="C66" s="105">
        <v>0</v>
      </c>
      <c r="D66" s="105">
        <v>0.94</v>
      </c>
      <c r="E66" s="105">
        <v>2.4900000000000002</v>
      </c>
      <c r="F66" s="105">
        <v>20.260000000000002</v>
      </c>
      <c r="G66" s="105">
        <v>0</v>
      </c>
      <c r="H66" s="105">
        <v>0.94</v>
      </c>
      <c r="I66" s="105">
        <v>2.4900000000000002</v>
      </c>
    </row>
    <row r="67" spans="1:9" x14ac:dyDescent="0.25">
      <c r="A67" s="104">
        <v>57</v>
      </c>
      <c r="B67" s="105">
        <v>20.61</v>
      </c>
      <c r="C67" s="105">
        <v>0</v>
      </c>
      <c r="D67" s="105">
        <v>0.96</v>
      </c>
      <c r="E67" s="105">
        <v>2.5</v>
      </c>
      <c r="F67" s="105">
        <v>20.61</v>
      </c>
      <c r="G67" s="105">
        <v>0</v>
      </c>
      <c r="H67" s="105">
        <v>0.96</v>
      </c>
      <c r="I67" s="105">
        <v>2.5</v>
      </c>
    </row>
    <row r="68" spans="1:9" x14ac:dyDescent="0.25">
      <c r="A68" s="104">
        <v>58</v>
      </c>
      <c r="B68" s="105">
        <v>20.97</v>
      </c>
      <c r="C68" s="105">
        <v>0</v>
      </c>
      <c r="D68" s="105">
        <v>0.98</v>
      </c>
      <c r="E68" s="105">
        <v>2.5</v>
      </c>
      <c r="F68" s="105">
        <v>20.97</v>
      </c>
      <c r="G68" s="105">
        <v>0</v>
      </c>
      <c r="H68" s="105">
        <v>0.98</v>
      </c>
      <c r="I68" s="105">
        <v>2.5</v>
      </c>
    </row>
    <row r="69" spans="1:9" x14ac:dyDescent="0.25">
      <c r="A69" s="104">
        <v>59</v>
      </c>
      <c r="B69" s="105">
        <v>21.34</v>
      </c>
      <c r="C69" s="105">
        <v>0</v>
      </c>
      <c r="D69" s="105">
        <v>0.99</v>
      </c>
      <c r="E69" s="105">
        <v>2.5099999999999998</v>
      </c>
      <c r="F69" s="105">
        <v>21.34</v>
      </c>
      <c r="G69" s="105">
        <v>0</v>
      </c>
      <c r="H69" s="105">
        <v>0.99</v>
      </c>
      <c r="I69" s="105">
        <v>2.5099999999999998</v>
      </c>
    </row>
    <row r="70" spans="1:9" x14ac:dyDescent="0.25">
      <c r="A70" s="104">
        <v>60</v>
      </c>
      <c r="B70" s="105">
        <v>21.21</v>
      </c>
      <c r="C70" s="105">
        <v>0</v>
      </c>
      <c r="D70" s="105">
        <v>1</v>
      </c>
      <c r="E70" s="105">
        <v>2.52</v>
      </c>
      <c r="F70" s="105">
        <v>21.21</v>
      </c>
      <c r="G70" s="105">
        <v>0</v>
      </c>
      <c r="H70" s="105">
        <v>1</v>
      </c>
      <c r="I70" s="105">
        <v>2.52</v>
      </c>
    </row>
    <row r="71" spans="1:9" x14ac:dyDescent="0.25">
      <c r="A71" s="104">
        <v>61</v>
      </c>
      <c r="B71" s="105">
        <v>20.58</v>
      </c>
      <c r="C71" s="105">
        <v>0</v>
      </c>
      <c r="D71" s="105">
        <v>1</v>
      </c>
      <c r="E71" s="105">
        <v>2.5299999999999998</v>
      </c>
      <c r="F71" s="105">
        <v>20.58</v>
      </c>
      <c r="G71" s="105">
        <v>0</v>
      </c>
      <c r="H71" s="105">
        <v>1</v>
      </c>
      <c r="I71" s="105">
        <v>2.5299999999999998</v>
      </c>
    </row>
    <row r="72" spans="1:9" x14ac:dyDescent="0.25">
      <c r="A72" s="104">
        <v>62</v>
      </c>
      <c r="B72" s="105">
        <v>19.940000000000001</v>
      </c>
      <c r="C72" s="105">
        <v>0</v>
      </c>
      <c r="D72" s="105">
        <v>1</v>
      </c>
      <c r="E72" s="105">
        <v>2.54</v>
      </c>
      <c r="F72" s="105">
        <v>19.940000000000001</v>
      </c>
      <c r="G72" s="105">
        <v>0</v>
      </c>
      <c r="H72" s="105">
        <v>1</v>
      </c>
      <c r="I72" s="105">
        <v>2.54</v>
      </c>
    </row>
    <row r="73" spans="1:9" x14ac:dyDescent="0.25">
      <c r="A73" s="104">
        <v>63</v>
      </c>
      <c r="B73" s="105">
        <v>19.309999999999999</v>
      </c>
      <c r="C73" s="105">
        <v>0</v>
      </c>
      <c r="D73" s="105">
        <v>1</v>
      </c>
      <c r="E73" s="105">
        <v>2.5499999999999998</v>
      </c>
      <c r="F73" s="105">
        <v>19.309999999999999</v>
      </c>
      <c r="G73" s="105">
        <v>0</v>
      </c>
      <c r="H73" s="105">
        <v>1</v>
      </c>
      <c r="I73" s="105">
        <v>2.5499999999999998</v>
      </c>
    </row>
    <row r="74" spans="1:9" x14ac:dyDescent="0.25">
      <c r="A74" s="104">
        <v>64</v>
      </c>
      <c r="B74" s="105">
        <v>18.670000000000002</v>
      </c>
      <c r="C74" s="105">
        <v>0</v>
      </c>
      <c r="D74" s="105">
        <v>1</v>
      </c>
      <c r="E74" s="105">
        <v>2.5499999999999998</v>
      </c>
      <c r="F74" s="105">
        <v>18.670000000000002</v>
      </c>
      <c r="G74" s="105">
        <v>0</v>
      </c>
      <c r="H74" s="105">
        <v>1</v>
      </c>
      <c r="I74" s="105">
        <v>2.5499999999999998</v>
      </c>
    </row>
    <row r="75" spans="1:9" x14ac:dyDescent="0.25">
      <c r="A75" s="104">
        <v>65</v>
      </c>
      <c r="B75" s="105">
        <v>18.04</v>
      </c>
      <c r="C75" s="105">
        <v>0</v>
      </c>
      <c r="D75" s="105">
        <v>1</v>
      </c>
      <c r="E75" s="105">
        <v>2.5499999999999998</v>
      </c>
      <c r="F75" s="105">
        <v>18.04</v>
      </c>
      <c r="G75" s="105">
        <v>0</v>
      </c>
      <c r="H75" s="105">
        <v>1</v>
      </c>
      <c r="I75" s="105">
        <v>2.5499999999999998</v>
      </c>
    </row>
    <row r="76" spans="1:9" x14ac:dyDescent="0.25">
      <c r="A76" s="104">
        <v>66</v>
      </c>
      <c r="B76" s="105">
        <v>17.399999999999999</v>
      </c>
      <c r="C76" s="105">
        <v>0</v>
      </c>
      <c r="D76" s="105">
        <v>1</v>
      </c>
      <c r="E76" s="105">
        <v>2.5499999999999998</v>
      </c>
      <c r="F76" s="105">
        <v>17.399999999999999</v>
      </c>
      <c r="G76" s="105">
        <v>0</v>
      </c>
      <c r="H76" s="105">
        <v>1</v>
      </c>
      <c r="I76" s="105">
        <v>2.5499999999999998</v>
      </c>
    </row>
    <row r="77" spans="1:9" x14ac:dyDescent="0.25">
      <c r="A77" s="104">
        <v>67</v>
      </c>
      <c r="B77" s="105">
        <v>16.760000000000002</v>
      </c>
      <c r="C77" s="105">
        <v>0</v>
      </c>
      <c r="D77" s="105">
        <v>1</v>
      </c>
      <c r="E77" s="105">
        <v>2.5499999999999998</v>
      </c>
      <c r="F77" s="105">
        <v>16.760000000000002</v>
      </c>
      <c r="G77" s="105">
        <v>0</v>
      </c>
      <c r="H77" s="105">
        <v>1</v>
      </c>
      <c r="I77" s="105">
        <v>2.5499999999999998</v>
      </c>
    </row>
    <row r="78" spans="1:9" x14ac:dyDescent="0.25">
      <c r="A78" s="104">
        <v>68</v>
      </c>
      <c r="B78" s="105">
        <v>16.12</v>
      </c>
      <c r="C78" s="105">
        <v>0</v>
      </c>
      <c r="D78" s="105">
        <v>1</v>
      </c>
      <c r="E78" s="105">
        <v>2.5499999999999998</v>
      </c>
      <c r="F78" s="105">
        <v>16.12</v>
      </c>
      <c r="G78" s="105">
        <v>0</v>
      </c>
      <c r="H78" s="105">
        <v>1</v>
      </c>
      <c r="I78" s="105">
        <v>2.5499999999999998</v>
      </c>
    </row>
    <row r="79" spans="1:9" x14ac:dyDescent="0.25">
      <c r="A79" s="104">
        <v>69</v>
      </c>
      <c r="B79" s="105">
        <v>15.48</v>
      </c>
      <c r="C79" s="105">
        <v>0</v>
      </c>
      <c r="D79" s="105">
        <v>1</v>
      </c>
      <c r="E79" s="105">
        <v>2.54</v>
      </c>
      <c r="F79" s="105">
        <v>15.48</v>
      </c>
      <c r="G79" s="105">
        <v>0</v>
      </c>
      <c r="H79" s="105">
        <v>1</v>
      </c>
      <c r="I79" s="105">
        <v>2.54</v>
      </c>
    </row>
    <row r="80" spans="1:9" x14ac:dyDescent="0.25">
      <c r="A80" s="104">
        <v>70</v>
      </c>
      <c r="B80" s="105">
        <v>14.84</v>
      </c>
      <c r="C80" s="105">
        <v>0</v>
      </c>
      <c r="D80" s="105">
        <v>1</v>
      </c>
      <c r="E80" s="105">
        <v>2.5299999999999998</v>
      </c>
      <c r="F80" s="105">
        <v>14.84</v>
      </c>
      <c r="G80" s="105">
        <v>0</v>
      </c>
      <c r="H80" s="105">
        <v>1</v>
      </c>
      <c r="I80" s="105">
        <v>2.5299999999999998</v>
      </c>
    </row>
    <row r="81" spans="1:9" x14ac:dyDescent="0.25">
      <c r="A81" s="104">
        <v>71</v>
      </c>
      <c r="B81" s="105">
        <v>14.2</v>
      </c>
      <c r="C81" s="105">
        <v>0</v>
      </c>
      <c r="D81" s="105">
        <v>1</v>
      </c>
      <c r="E81" s="105">
        <v>2.5099999999999998</v>
      </c>
      <c r="F81" s="105">
        <v>14.2</v>
      </c>
      <c r="G81" s="105">
        <v>0</v>
      </c>
      <c r="H81" s="105">
        <v>1</v>
      </c>
      <c r="I81" s="105">
        <v>2.5099999999999998</v>
      </c>
    </row>
    <row r="82" spans="1:9" x14ac:dyDescent="0.25">
      <c r="A82" s="104">
        <v>72</v>
      </c>
      <c r="B82" s="105">
        <v>13.57</v>
      </c>
      <c r="C82" s="105">
        <v>0</v>
      </c>
      <c r="D82" s="105">
        <v>1</v>
      </c>
      <c r="E82" s="105">
        <v>2.5</v>
      </c>
      <c r="F82" s="105">
        <v>13.57</v>
      </c>
      <c r="G82" s="105">
        <v>0</v>
      </c>
      <c r="H82" s="105">
        <v>1</v>
      </c>
      <c r="I82" s="105">
        <v>2.5</v>
      </c>
    </row>
    <row r="83" spans="1:9" x14ac:dyDescent="0.25">
      <c r="A83" s="104">
        <v>73</v>
      </c>
      <c r="B83" s="105">
        <v>12.94</v>
      </c>
      <c r="C83" s="105">
        <v>0</v>
      </c>
      <c r="D83" s="105">
        <v>1</v>
      </c>
      <c r="E83" s="105">
        <v>2.4700000000000002</v>
      </c>
      <c r="F83" s="105">
        <v>12.94</v>
      </c>
      <c r="G83" s="105">
        <v>0</v>
      </c>
      <c r="H83" s="105">
        <v>1</v>
      </c>
      <c r="I83" s="105">
        <v>2.4700000000000002</v>
      </c>
    </row>
    <row r="84" spans="1:9" x14ac:dyDescent="0.25">
      <c r="A84" s="104">
        <v>74</v>
      </c>
      <c r="B84" s="105">
        <v>12.31</v>
      </c>
      <c r="C84" s="105">
        <v>0</v>
      </c>
      <c r="D84" s="105">
        <v>1</v>
      </c>
      <c r="E84" s="105">
        <v>2.4500000000000002</v>
      </c>
      <c r="F84" s="105">
        <v>12.31</v>
      </c>
      <c r="G84" s="105">
        <v>0</v>
      </c>
      <c r="H84" s="105">
        <v>1</v>
      </c>
      <c r="I84" s="105">
        <v>2.4500000000000002</v>
      </c>
    </row>
    <row r="85" spans="1:9" x14ac:dyDescent="0.25">
      <c r="A85" s="104">
        <v>75</v>
      </c>
      <c r="B85" s="105">
        <v>11.69</v>
      </c>
      <c r="C85" s="105">
        <v>0</v>
      </c>
      <c r="D85" s="105">
        <v>1</v>
      </c>
      <c r="E85" s="105">
        <v>2.42</v>
      </c>
      <c r="F85" s="105">
        <v>11.69</v>
      </c>
      <c r="G85" s="105">
        <v>0</v>
      </c>
      <c r="H85" s="105">
        <v>1</v>
      </c>
      <c r="I85" s="105">
        <v>2.42</v>
      </c>
    </row>
  </sheetData>
  <sheetProtection algorithmName="SHA-512" hashValue="PE3ie8BNCa2ehd4DuFkcSKsiUzoh9Fr6Ey5jz9GY5XO/avUM8kofxo6yc+Pu4o6rCFXT2yUF6MsWu/K2NMterg==" saltValue="+42EowccFfvZdcsFd79vug==" spinCount="100000" sheet="1" objects="1" scenarios="1"/>
  <conditionalFormatting sqref="A6:A21">
    <cfRule type="expression" dxfId="1419" priority="1" stopIfTrue="1">
      <formula>MOD(ROW(),2)=0</formula>
    </cfRule>
    <cfRule type="expression" dxfId="1418" priority="2" stopIfTrue="1">
      <formula>MOD(ROW(),2)&lt;&gt;0</formula>
    </cfRule>
  </conditionalFormatting>
  <conditionalFormatting sqref="A26:A85">
    <cfRule type="expression" dxfId="1417" priority="5" stopIfTrue="1">
      <formula>MOD(ROW(),2)=0</formula>
    </cfRule>
    <cfRule type="expression" dxfId="1416" priority="6" stopIfTrue="1">
      <formula>MOD(ROW(),2)&lt;&gt;0</formula>
    </cfRule>
  </conditionalFormatting>
  <conditionalFormatting sqref="B12">
    <cfRule type="expression" dxfId="1415" priority="9" stopIfTrue="1">
      <formula>MOD(ROW(),2)=0</formula>
    </cfRule>
    <cfRule type="expression" dxfId="1414" priority="10" stopIfTrue="1">
      <formula>MOD(ROW(),2)&lt;&gt;0</formula>
    </cfRule>
  </conditionalFormatting>
  <conditionalFormatting sqref="B18:B21">
    <cfRule type="expression" dxfId="1413" priority="15" stopIfTrue="1">
      <formula>MOD(ROW(),2)=0</formula>
    </cfRule>
    <cfRule type="expression" dxfId="1412" priority="16" stopIfTrue="1">
      <formula>MOD(ROW(),2)&lt;&gt;0</formula>
    </cfRule>
  </conditionalFormatting>
  <conditionalFormatting sqref="B6:I6 C7:I7 B8:I11 C12:I12 B13:I17 C18:I21">
    <cfRule type="expression" dxfId="1411" priority="31" stopIfTrue="1">
      <formula>MOD(ROW(),2)=0</formula>
    </cfRule>
    <cfRule type="expression" dxfId="1410" priority="32" stopIfTrue="1">
      <formula>MOD(ROW(),2)&lt;&gt;0</formula>
    </cfRule>
  </conditionalFormatting>
  <conditionalFormatting sqref="B6:I21">
    <cfRule type="expression" dxfId="1409" priority="23" stopIfTrue="1">
      <formula>MOD(ROW(),2)=0</formula>
    </cfRule>
    <cfRule type="expression" dxfId="1408" priority="24" stopIfTrue="1">
      <formula>MOD(ROW(),2)&lt;&gt;0</formula>
    </cfRule>
  </conditionalFormatting>
  <conditionalFormatting sqref="B26:I85">
    <cfRule type="expression" dxfId="1407" priority="7" stopIfTrue="1">
      <formula>MOD(ROW(),2)=0</formula>
    </cfRule>
    <cfRule type="expression" dxfId="1406" priority="8" stopIfTrue="1">
      <formula>MOD(ROW(),2)&lt;&gt;0</formula>
    </cfRule>
  </conditionalFormatting>
  <hyperlinks>
    <hyperlink ref="B24" location="Sheet1!A1" display="Assumptions" xr:uid="{9CE8BC57-9FDD-479B-AF7C-44A17A81605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6"/>
  <dimension ref="A1:I85"/>
  <sheetViews>
    <sheetView showGridLines="0" zoomScale="85" zoomScaleNormal="85" workbookViewId="0">
      <selection activeCell="A4" sqref="A4"/>
    </sheetView>
  </sheetViews>
  <sheetFormatPr defaultColWidth="10" defaultRowHeight="13.2" x14ac:dyDescent="0.25"/>
  <cols>
    <col min="1" max="1" width="31.5546875" style="27" customWidth="1"/>
    <col min="2" max="9" width="22.5546875" style="27" customWidth="1"/>
    <col min="10"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CETV - x-208</v>
      </c>
      <c r="B3" s="42"/>
      <c r="C3" s="42"/>
      <c r="D3" s="42"/>
      <c r="E3" s="42"/>
      <c r="F3" s="42"/>
      <c r="G3" s="42"/>
      <c r="H3" s="42"/>
      <c r="I3" s="42"/>
    </row>
    <row r="4" spans="1:9" x14ac:dyDescent="0.25">
      <c r="A4" s="44"/>
    </row>
    <row r="6" spans="1:9" x14ac:dyDescent="0.25">
      <c r="A6" s="76" t="s">
        <v>290</v>
      </c>
      <c r="B6" s="129" t="s">
        <v>291</v>
      </c>
      <c r="C6" s="129"/>
      <c r="D6" s="129"/>
      <c r="E6" s="129"/>
      <c r="F6" s="129"/>
      <c r="G6" s="129"/>
      <c r="H6" s="129"/>
      <c r="I6" s="129"/>
    </row>
    <row r="7" spans="1:9" x14ac:dyDescent="0.25">
      <c r="A7" s="77" t="s">
        <v>804</v>
      </c>
      <c r="B7" s="129" t="s">
        <v>345</v>
      </c>
      <c r="C7" s="129"/>
      <c r="D7" s="129"/>
      <c r="E7" s="129"/>
      <c r="F7" s="129"/>
      <c r="G7" s="129"/>
      <c r="H7" s="129"/>
      <c r="I7" s="129"/>
    </row>
    <row r="8" spans="1:9" x14ac:dyDescent="0.25">
      <c r="A8" s="77" t="s">
        <v>805</v>
      </c>
      <c r="B8" s="129" t="s">
        <v>346</v>
      </c>
      <c r="C8" s="129"/>
      <c r="D8" s="129"/>
      <c r="E8" s="129"/>
      <c r="F8" s="129"/>
      <c r="G8" s="129"/>
      <c r="H8" s="129"/>
      <c r="I8" s="129"/>
    </row>
    <row r="9" spans="1:9" x14ac:dyDescent="0.25">
      <c r="A9" s="77" t="s">
        <v>296</v>
      </c>
      <c r="B9" s="129" t="s">
        <v>325</v>
      </c>
      <c r="C9" s="129"/>
      <c r="D9" s="129"/>
      <c r="E9" s="129"/>
      <c r="F9" s="129"/>
      <c r="G9" s="129"/>
      <c r="H9" s="129"/>
      <c r="I9" s="129"/>
    </row>
    <row r="10" spans="1:9" x14ac:dyDescent="0.25">
      <c r="A10" s="77" t="s">
        <v>6</v>
      </c>
      <c r="B10" s="129" t="s">
        <v>350</v>
      </c>
      <c r="C10" s="129"/>
      <c r="D10" s="129"/>
      <c r="E10" s="129"/>
      <c r="F10" s="129"/>
      <c r="G10" s="129"/>
      <c r="H10" s="129"/>
      <c r="I10" s="129"/>
    </row>
    <row r="11" spans="1:9" x14ac:dyDescent="0.25">
      <c r="A11" s="77" t="s">
        <v>299</v>
      </c>
      <c r="B11" s="129" t="s">
        <v>327</v>
      </c>
      <c r="C11" s="129"/>
      <c r="D11" s="129"/>
      <c r="E11" s="129"/>
      <c r="F11" s="129"/>
      <c r="G11" s="129"/>
      <c r="H11" s="129"/>
      <c r="I11" s="129"/>
    </row>
    <row r="12" spans="1:9" x14ac:dyDescent="0.25">
      <c r="A12" s="77" t="s">
        <v>301</v>
      </c>
      <c r="B12" s="129" t="s">
        <v>328</v>
      </c>
      <c r="C12" s="129"/>
      <c r="D12" s="129"/>
      <c r="E12" s="129"/>
      <c r="F12" s="129"/>
      <c r="G12" s="129"/>
      <c r="H12" s="129"/>
      <c r="I12" s="129"/>
    </row>
    <row r="13" spans="1:9" x14ac:dyDescent="0.25">
      <c r="A13" s="77" t="s">
        <v>806</v>
      </c>
      <c r="B13" s="129">
        <v>1</v>
      </c>
      <c r="C13" s="129"/>
      <c r="D13" s="129"/>
      <c r="E13" s="129"/>
      <c r="F13" s="129"/>
      <c r="G13" s="129"/>
      <c r="H13" s="129"/>
      <c r="I13" s="129"/>
    </row>
    <row r="14" spans="1:9" x14ac:dyDescent="0.25">
      <c r="A14" s="77" t="s">
        <v>305</v>
      </c>
      <c r="B14" s="129">
        <v>208</v>
      </c>
      <c r="C14" s="129"/>
      <c r="D14" s="129"/>
      <c r="E14" s="129"/>
      <c r="F14" s="129"/>
      <c r="G14" s="129"/>
      <c r="H14" s="129"/>
      <c r="I14" s="129"/>
    </row>
    <row r="15" spans="1:9" x14ac:dyDescent="0.25">
      <c r="A15" s="77" t="s">
        <v>307</v>
      </c>
      <c r="B15" s="129" t="s">
        <v>351</v>
      </c>
      <c r="C15" s="129"/>
      <c r="D15" s="129"/>
      <c r="E15" s="129"/>
      <c r="F15" s="129"/>
      <c r="G15" s="129"/>
      <c r="H15" s="129"/>
      <c r="I15" s="129"/>
    </row>
    <row r="16" spans="1:9" x14ac:dyDescent="0.25">
      <c r="A16" s="77" t="s">
        <v>309</v>
      </c>
      <c r="B16" s="129" t="s">
        <v>352</v>
      </c>
      <c r="C16" s="129"/>
      <c r="D16" s="129"/>
      <c r="E16" s="129"/>
      <c r="F16" s="129"/>
      <c r="G16" s="129"/>
      <c r="H16" s="129"/>
      <c r="I16" s="129"/>
    </row>
    <row r="17" spans="1:9" x14ac:dyDescent="0.25">
      <c r="A17" s="77" t="s">
        <v>803</v>
      </c>
      <c r="B17" s="129"/>
      <c r="C17" s="129"/>
      <c r="D17" s="129"/>
      <c r="E17" s="129"/>
      <c r="F17" s="129"/>
      <c r="G17" s="129"/>
      <c r="H17" s="129"/>
      <c r="I17" s="129"/>
    </row>
    <row r="18" spans="1:9" x14ac:dyDescent="0.25">
      <c r="A18" s="77" t="s">
        <v>313</v>
      </c>
      <c r="B18" s="187">
        <v>45071</v>
      </c>
      <c r="C18" s="129"/>
      <c r="D18" s="129"/>
      <c r="E18" s="129"/>
      <c r="F18" s="129"/>
      <c r="G18" s="129"/>
      <c r="H18" s="129"/>
      <c r="I18" s="129"/>
    </row>
    <row r="19" spans="1:9" x14ac:dyDescent="0.25">
      <c r="A19" s="77" t="s">
        <v>315</v>
      </c>
      <c r="B19" s="187"/>
      <c r="C19" s="129"/>
      <c r="D19" s="129"/>
      <c r="E19" s="129"/>
      <c r="F19" s="129"/>
      <c r="G19" s="129"/>
      <c r="H19" s="129"/>
      <c r="I19" s="129"/>
    </row>
    <row r="20" spans="1:9" x14ac:dyDescent="0.25">
      <c r="A20" s="77" t="s">
        <v>317</v>
      </c>
      <c r="B20" s="129" t="s">
        <v>331</v>
      </c>
      <c r="C20" s="129"/>
      <c r="D20" s="129"/>
      <c r="E20" s="129"/>
      <c r="F20" s="129"/>
      <c r="G20" s="129"/>
      <c r="H20" s="129"/>
      <c r="I20" s="129"/>
    </row>
    <row r="21" spans="1:9" x14ac:dyDescent="0.25">
      <c r="A21" s="77" t="s">
        <v>323</v>
      </c>
      <c r="B21" s="129" t="s">
        <v>332</v>
      </c>
      <c r="C21" s="129"/>
      <c r="D21" s="129"/>
      <c r="E21" s="129"/>
      <c r="F21" s="129"/>
      <c r="G21" s="129"/>
      <c r="H21" s="129"/>
      <c r="I21" s="129"/>
    </row>
    <row r="23" spans="1:9" x14ac:dyDescent="0.25">
      <c r="B23" s="102" t="str">
        <f>HYPERLINK("#'Factor List'!A1","Back to Factor List")</f>
        <v>Back to Factor List</v>
      </c>
    </row>
    <row r="24" spans="1:9" x14ac:dyDescent="0.25">
      <c r="B24" s="102" t="s">
        <v>13</v>
      </c>
    </row>
    <row r="25" spans="1:9" x14ac:dyDescent="0.25">
      <c r="B25" s="102"/>
    </row>
    <row r="26" spans="1:9" ht="26.4" x14ac:dyDescent="0.25">
      <c r="A26" s="103" t="s">
        <v>373</v>
      </c>
      <c r="B26" s="103" t="s">
        <v>807</v>
      </c>
      <c r="C26" s="103" t="s">
        <v>812</v>
      </c>
      <c r="D26" s="103" t="s">
        <v>813</v>
      </c>
      <c r="E26" s="103" t="s">
        <v>808</v>
      </c>
      <c r="F26" s="103" t="s">
        <v>809</v>
      </c>
      <c r="G26" s="103" t="s">
        <v>814</v>
      </c>
      <c r="H26" s="103" t="s">
        <v>815</v>
      </c>
      <c r="I26" s="103" t="s">
        <v>810</v>
      </c>
    </row>
    <row r="27" spans="1:9" x14ac:dyDescent="0.25">
      <c r="A27" s="104">
        <v>17</v>
      </c>
      <c r="B27" s="105">
        <v>9</v>
      </c>
      <c r="C27" s="105">
        <v>0</v>
      </c>
      <c r="D27" s="105">
        <v>0.45</v>
      </c>
      <c r="E27" s="105">
        <v>1.48</v>
      </c>
      <c r="F27" s="105">
        <v>9</v>
      </c>
      <c r="G27" s="105">
        <v>0</v>
      </c>
      <c r="H27" s="105">
        <v>0.45</v>
      </c>
      <c r="I27" s="105">
        <v>1.48</v>
      </c>
    </row>
    <row r="28" spans="1:9" x14ac:dyDescent="0.25">
      <c r="A28" s="104">
        <v>18</v>
      </c>
      <c r="B28" s="105">
        <v>9.1199999999999992</v>
      </c>
      <c r="C28" s="105">
        <v>0</v>
      </c>
      <c r="D28" s="105">
        <v>0.46</v>
      </c>
      <c r="E28" s="105">
        <v>1.57</v>
      </c>
      <c r="F28" s="105">
        <v>9.1199999999999992</v>
      </c>
      <c r="G28" s="105">
        <v>0</v>
      </c>
      <c r="H28" s="105">
        <v>0.46</v>
      </c>
      <c r="I28" s="105">
        <v>1.57</v>
      </c>
    </row>
    <row r="29" spans="1:9" x14ac:dyDescent="0.25">
      <c r="A29" s="104">
        <v>19</v>
      </c>
      <c r="B29" s="105">
        <v>9.25</v>
      </c>
      <c r="C29" s="105">
        <v>0</v>
      </c>
      <c r="D29" s="105">
        <v>0.46</v>
      </c>
      <c r="E29" s="105">
        <v>1.63</v>
      </c>
      <c r="F29" s="105">
        <v>9.25</v>
      </c>
      <c r="G29" s="105">
        <v>0</v>
      </c>
      <c r="H29" s="105">
        <v>0.46</v>
      </c>
      <c r="I29" s="105">
        <v>1.63</v>
      </c>
    </row>
    <row r="30" spans="1:9" x14ac:dyDescent="0.25">
      <c r="A30" s="104">
        <v>20</v>
      </c>
      <c r="B30" s="105">
        <v>9.3800000000000008</v>
      </c>
      <c r="C30" s="105">
        <v>0</v>
      </c>
      <c r="D30" s="105">
        <v>0.47</v>
      </c>
      <c r="E30" s="105">
        <v>1.66</v>
      </c>
      <c r="F30" s="105">
        <v>9.3800000000000008</v>
      </c>
      <c r="G30" s="105">
        <v>0</v>
      </c>
      <c r="H30" s="105">
        <v>0.47</v>
      </c>
      <c r="I30" s="105">
        <v>1.66</v>
      </c>
    </row>
    <row r="31" spans="1:9" x14ac:dyDescent="0.25">
      <c r="A31" s="104">
        <v>21</v>
      </c>
      <c r="B31" s="105">
        <v>9.52</v>
      </c>
      <c r="C31" s="105">
        <v>0</v>
      </c>
      <c r="D31" s="105">
        <v>0.48</v>
      </c>
      <c r="E31" s="105">
        <v>1.69</v>
      </c>
      <c r="F31" s="105">
        <v>9.52</v>
      </c>
      <c r="G31" s="105">
        <v>0</v>
      </c>
      <c r="H31" s="105">
        <v>0.48</v>
      </c>
      <c r="I31" s="105">
        <v>1.69</v>
      </c>
    </row>
    <row r="32" spans="1:9" x14ac:dyDescent="0.25">
      <c r="A32" s="104">
        <v>22</v>
      </c>
      <c r="B32" s="105">
        <v>9.65</v>
      </c>
      <c r="C32" s="105">
        <v>0</v>
      </c>
      <c r="D32" s="105">
        <v>0.49</v>
      </c>
      <c r="E32" s="105">
        <v>1.72</v>
      </c>
      <c r="F32" s="105">
        <v>9.65</v>
      </c>
      <c r="G32" s="105">
        <v>0</v>
      </c>
      <c r="H32" s="105">
        <v>0.49</v>
      </c>
      <c r="I32" s="105">
        <v>1.72</v>
      </c>
    </row>
    <row r="33" spans="1:9" x14ac:dyDescent="0.25">
      <c r="A33" s="104">
        <v>23</v>
      </c>
      <c r="B33" s="105">
        <v>9.7899999999999991</v>
      </c>
      <c r="C33" s="105">
        <v>0</v>
      </c>
      <c r="D33" s="105">
        <v>0.5</v>
      </c>
      <c r="E33" s="105">
        <v>1.75</v>
      </c>
      <c r="F33" s="105">
        <v>9.7899999999999991</v>
      </c>
      <c r="G33" s="105">
        <v>0</v>
      </c>
      <c r="H33" s="105">
        <v>0.5</v>
      </c>
      <c r="I33" s="105">
        <v>1.75</v>
      </c>
    </row>
    <row r="34" spans="1:9" x14ac:dyDescent="0.25">
      <c r="A34" s="104">
        <v>24</v>
      </c>
      <c r="B34" s="105">
        <v>9.93</v>
      </c>
      <c r="C34" s="105">
        <v>0</v>
      </c>
      <c r="D34" s="105">
        <v>0.51</v>
      </c>
      <c r="E34" s="105">
        <v>1.77</v>
      </c>
      <c r="F34" s="105">
        <v>9.93</v>
      </c>
      <c r="G34" s="105">
        <v>0</v>
      </c>
      <c r="H34" s="105">
        <v>0.51</v>
      </c>
      <c r="I34" s="105">
        <v>1.77</v>
      </c>
    </row>
    <row r="35" spans="1:9" x14ac:dyDescent="0.25">
      <c r="A35" s="104">
        <v>25</v>
      </c>
      <c r="B35" s="105">
        <v>10.07</v>
      </c>
      <c r="C35" s="105">
        <v>0</v>
      </c>
      <c r="D35" s="105">
        <v>0.51</v>
      </c>
      <c r="E35" s="105">
        <v>1.8</v>
      </c>
      <c r="F35" s="105">
        <v>10.07</v>
      </c>
      <c r="G35" s="105">
        <v>0</v>
      </c>
      <c r="H35" s="105">
        <v>0.51</v>
      </c>
      <c r="I35" s="105">
        <v>1.8</v>
      </c>
    </row>
    <row r="36" spans="1:9" x14ac:dyDescent="0.25">
      <c r="A36" s="104">
        <v>26</v>
      </c>
      <c r="B36" s="105">
        <v>10.210000000000001</v>
      </c>
      <c r="C36" s="105">
        <v>0</v>
      </c>
      <c r="D36" s="105">
        <v>0.52</v>
      </c>
      <c r="E36" s="105">
        <v>1.83</v>
      </c>
      <c r="F36" s="105">
        <v>10.210000000000001</v>
      </c>
      <c r="G36" s="105">
        <v>0</v>
      </c>
      <c r="H36" s="105">
        <v>0.52</v>
      </c>
      <c r="I36" s="105">
        <v>1.83</v>
      </c>
    </row>
    <row r="37" spans="1:9" x14ac:dyDescent="0.25">
      <c r="A37" s="104">
        <v>27</v>
      </c>
      <c r="B37" s="105">
        <v>10.35</v>
      </c>
      <c r="C37" s="105">
        <v>0</v>
      </c>
      <c r="D37" s="105">
        <v>0.53</v>
      </c>
      <c r="E37" s="105">
        <v>1.86</v>
      </c>
      <c r="F37" s="105">
        <v>10.35</v>
      </c>
      <c r="G37" s="105">
        <v>0</v>
      </c>
      <c r="H37" s="105">
        <v>0.53</v>
      </c>
      <c r="I37" s="105">
        <v>1.86</v>
      </c>
    </row>
    <row r="38" spans="1:9" x14ac:dyDescent="0.25">
      <c r="A38" s="104">
        <v>28</v>
      </c>
      <c r="B38" s="105">
        <v>10.5</v>
      </c>
      <c r="C38" s="105">
        <v>0</v>
      </c>
      <c r="D38" s="105">
        <v>0.54</v>
      </c>
      <c r="E38" s="105">
        <v>1.89</v>
      </c>
      <c r="F38" s="105">
        <v>10.5</v>
      </c>
      <c r="G38" s="105">
        <v>0</v>
      </c>
      <c r="H38" s="105">
        <v>0.54</v>
      </c>
      <c r="I38" s="105">
        <v>1.89</v>
      </c>
    </row>
    <row r="39" spans="1:9" x14ac:dyDescent="0.25">
      <c r="A39" s="104">
        <v>29</v>
      </c>
      <c r="B39" s="105">
        <v>10.65</v>
      </c>
      <c r="C39" s="105">
        <v>0</v>
      </c>
      <c r="D39" s="105">
        <v>0.55000000000000004</v>
      </c>
      <c r="E39" s="105">
        <v>1.92</v>
      </c>
      <c r="F39" s="105">
        <v>10.65</v>
      </c>
      <c r="G39" s="105">
        <v>0</v>
      </c>
      <c r="H39" s="105">
        <v>0.55000000000000004</v>
      </c>
      <c r="I39" s="105">
        <v>1.92</v>
      </c>
    </row>
    <row r="40" spans="1:9" x14ac:dyDescent="0.25">
      <c r="A40" s="104">
        <v>30</v>
      </c>
      <c r="B40" s="105">
        <v>10.8</v>
      </c>
      <c r="C40" s="105">
        <v>0</v>
      </c>
      <c r="D40" s="105">
        <v>0.56000000000000005</v>
      </c>
      <c r="E40" s="105">
        <v>1.95</v>
      </c>
      <c r="F40" s="105">
        <v>10.8</v>
      </c>
      <c r="G40" s="105">
        <v>0</v>
      </c>
      <c r="H40" s="105">
        <v>0.56000000000000005</v>
      </c>
      <c r="I40" s="105">
        <v>1.95</v>
      </c>
    </row>
    <row r="41" spans="1:9" x14ac:dyDescent="0.25">
      <c r="A41" s="104">
        <v>31</v>
      </c>
      <c r="B41" s="105">
        <v>10.96</v>
      </c>
      <c r="C41" s="105">
        <v>0</v>
      </c>
      <c r="D41" s="105">
        <v>0.56999999999999995</v>
      </c>
      <c r="E41" s="105">
        <v>1.98</v>
      </c>
      <c r="F41" s="105">
        <v>10.96</v>
      </c>
      <c r="G41" s="105">
        <v>0</v>
      </c>
      <c r="H41" s="105">
        <v>0.56999999999999995</v>
      </c>
      <c r="I41" s="105">
        <v>1.98</v>
      </c>
    </row>
    <row r="42" spans="1:9" x14ac:dyDescent="0.25">
      <c r="A42" s="104">
        <v>32</v>
      </c>
      <c r="B42" s="105">
        <v>11.11</v>
      </c>
      <c r="C42" s="105">
        <v>0</v>
      </c>
      <c r="D42" s="105">
        <v>0.57999999999999996</v>
      </c>
      <c r="E42" s="105">
        <v>2.0099999999999998</v>
      </c>
      <c r="F42" s="105">
        <v>11.11</v>
      </c>
      <c r="G42" s="105">
        <v>0</v>
      </c>
      <c r="H42" s="105">
        <v>0.57999999999999996</v>
      </c>
      <c r="I42" s="105">
        <v>2.0099999999999998</v>
      </c>
    </row>
    <row r="43" spans="1:9" x14ac:dyDescent="0.25">
      <c r="A43" s="104">
        <v>33</v>
      </c>
      <c r="B43" s="105">
        <v>11.27</v>
      </c>
      <c r="C43" s="105">
        <v>0</v>
      </c>
      <c r="D43" s="105">
        <v>0.59</v>
      </c>
      <c r="E43" s="105">
        <v>2.04</v>
      </c>
      <c r="F43" s="105">
        <v>11.27</v>
      </c>
      <c r="G43" s="105">
        <v>0</v>
      </c>
      <c r="H43" s="105">
        <v>0.59</v>
      </c>
      <c r="I43" s="105">
        <v>2.04</v>
      </c>
    </row>
    <row r="44" spans="1:9" x14ac:dyDescent="0.25">
      <c r="A44" s="104">
        <v>34</v>
      </c>
      <c r="B44" s="105">
        <v>11.43</v>
      </c>
      <c r="C44" s="105">
        <v>0</v>
      </c>
      <c r="D44" s="105">
        <v>0.6</v>
      </c>
      <c r="E44" s="105">
        <v>2.06</v>
      </c>
      <c r="F44" s="105">
        <v>11.43</v>
      </c>
      <c r="G44" s="105">
        <v>0</v>
      </c>
      <c r="H44" s="105">
        <v>0.6</v>
      </c>
      <c r="I44" s="105">
        <v>2.06</v>
      </c>
    </row>
    <row r="45" spans="1:9" x14ac:dyDescent="0.25">
      <c r="A45" s="104">
        <v>35</v>
      </c>
      <c r="B45" s="105">
        <v>11.6</v>
      </c>
      <c r="C45" s="105">
        <v>0</v>
      </c>
      <c r="D45" s="105">
        <v>0.61</v>
      </c>
      <c r="E45" s="105">
        <v>2.09</v>
      </c>
      <c r="F45" s="105">
        <v>11.6</v>
      </c>
      <c r="G45" s="105">
        <v>0</v>
      </c>
      <c r="H45" s="105">
        <v>0.61</v>
      </c>
      <c r="I45" s="105">
        <v>2.09</v>
      </c>
    </row>
    <row r="46" spans="1:9" x14ac:dyDescent="0.25">
      <c r="A46" s="104">
        <v>36</v>
      </c>
      <c r="B46" s="105">
        <v>11.76</v>
      </c>
      <c r="C46" s="105">
        <v>0</v>
      </c>
      <c r="D46" s="105">
        <v>0.62</v>
      </c>
      <c r="E46" s="105">
        <v>2.12</v>
      </c>
      <c r="F46" s="105">
        <v>11.76</v>
      </c>
      <c r="G46" s="105">
        <v>0</v>
      </c>
      <c r="H46" s="105">
        <v>0.62</v>
      </c>
      <c r="I46" s="105">
        <v>2.12</v>
      </c>
    </row>
    <row r="47" spans="1:9" x14ac:dyDescent="0.25">
      <c r="A47" s="104">
        <v>37</v>
      </c>
      <c r="B47" s="105">
        <v>11.93</v>
      </c>
      <c r="C47" s="105">
        <v>0</v>
      </c>
      <c r="D47" s="105">
        <v>0.63</v>
      </c>
      <c r="E47" s="105">
        <v>2.15</v>
      </c>
      <c r="F47" s="105">
        <v>11.93</v>
      </c>
      <c r="G47" s="105">
        <v>0</v>
      </c>
      <c r="H47" s="105">
        <v>0.63</v>
      </c>
      <c r="I47" s="105">
        <v>2.15</v>
      </c>
    </row>
    <row r="48" spans="1:9" x14ac:dyDescent="0.25">
      <c r="A48" s="104">
        <v>38</v>
      </c>
      <c r="B48" s="105">
        <v>12.1</v>
      </c>
      <c r="C48" s="105">
        <v>0</v>
      </c>
      <c r="D48" s="105">
        <v>0.64</v>
      </c>
      <c r="E48" s="105">
        <v>2.1800000000000002</v>
      </c>
      <c r="F48" s="105">
        <v>12.1</v>
      </c>
      <c r="G48" s="105">
        <v>0</v>
      </c>
      <c r="H48" s="105">
        <v>0.64</v>
      </c>
      <c r="I48" s="105">
        <v>2.1800000000000002</v>
      </c>
    </row>
    <row r="49" spans="1:9" x14ac:dyDescent="0.25">
      <c r="A49" s="104">
        <v>39</v>
      </c>
      <c r="B49" s="105">
        <v>12.28</v>
      </c>
      <c r="C49" s="105">
        <v>0</v>
      </c>
      <c r="D49" s="105">
        <v>0.65</v>
      </c>
      <c r="E49" s="105">
        <v>2.2000000000000002</v>
      </c>
      <c r="F49" s="105">
        <v>12.28</v>
      </c>
      <c r="G49" s="105">
        <v>0</v>
      </c>
      <c r="H49" s="105">
        <v>0.65</v>
      </c>
      <c r="I49" s="105">
        <v>2.2000000000000002</v>
      </c>
    </row>
    <row r="50" spans="1:9" x14ac:dyDescent="0.25">
      <c r="A50" s="104">
        <v>40</v>
      </c>
      <c r="B50" s="105">
        <v>12.45</v>
      </c>
      <c r="C50" s="105">
        <v>0</v>
      </c>
      <c r="D50" s="105">
        <v>0.66</v>
      </c>
      <c r="E50" s="105">
        <v>2.23</v>
      </c>
      <c r="F50" s="105">
        <v>12.45</v>
      </c>
      <c r="G50" s="105">
        <v>0</v>
      </c>
      <c r="H50" s="105">
        <v>0.66</v>
      </c>
      <c r="I50" s="105">
        <v>2.23</v>
      </c>
    </row>
    <row r="51" spans="1:9" x14ac:dyDescent="0.25">
      <c r="A51" s="104">
        <v>41</v>
      </c>
      <c r="B51" s="105">
        <v>12.64</v>
      </c>
      <c r="C51" s="105">
        <v>0</v>
      </c>
      <c r="D51" s="105">
        <v>0.67</v>
      </c>
      <c r="E51" s="105">
        <v>2.2599999999999998</v>
      </c>
      <c r="F51" s="105">
        <v>12.64</v>
      </c>
      <c r="G51" s="105">
        <v>0</v>
      </c>
      <c r="H51" s="105">
        <v>0.67</v>
      </c>
      <c r="I51" s="105">
        <v>2.2599999999999998</v>
      </c>
    </row>
    <row r="52" spans="1:9" x14ac:dyDescent="0.25">
      <c r="A52" s="104">
        <v>42</v>
      </c>
      <c r="B52" s="105">
        <v>12.82</v>
      </c>
      <c r="C52" s="105">
        <v>0</v>
      </c>
      <c r="D52" s="105">
        <v>0.68</v>
      </c>
      <c r="E52" s="105">
        <v>2.2799999999999998</v>
      </c>
      <c r="F52" s="105">
        <v>12.82</v>
      </c>
      <c r="G52" s="105">
        <v>0</v>
      </c>
      <c r="H52" s="105">
        <v>0.68</v>
      </c>
      <c r="I52" s="105">
        <v>2.2799999999999998</v>
      </c>
    </row>
    <row r="53" spans="1:9" x14ac:dyDescent="0.25">
      <c r="A53" s="104">
        <v>43</v>
      </c>
      <c r="B53" s="105">
        <v>13.01</v>
      </c>
      <c r="C53" s="105">
        <v>0</v>
      </c>
      <c r="D53" s="105">
        <v>0.7</v>
      </c>
      <c r="E53" s="105">
        <v>2.31</v>
      </c>
      <c r="F53" s="105">
        <v>13.01</v>
      </c>
      <c r="G53" s="105">
        <v>0</v>
      </c>
      <c r="H53" s="105">
        <v>0.7</v>
      </c>
      <c r="I53" s="105">
        <v>2.31</v>
      </c>
    </row>
    <row r="54" spans="1:9" x14ac:dyDescent="0.25">
      <c r="A54" s="104">
        <v>44</v>
      </c>
      <c r="B54" s="105">
        <v>13.2</v>
      </c>
      <c r="C54" s="105">
        <v>0</v>
      </c>
      <c r="D54" s="105">
        <v>0.71</v>
      </c>
      <c r="E54" s="105">
        <v>2.33</v>
      </c>
      <c r="F54" s="105">
        <v>13.2</v>
      </c>
      <c r="G54" s="105">
        <v>0</v>
      </c>
      <c r="H54" s="105">
        <v>0.71</v>
      </c>
      <c r="I54" s="105">
        <v>2.33</v>
      </c>
    </row>
    <row r="55" spans="1:9" x14ac:dyDescent="0.25">
      <c r="A55" s="104">
        <v>45</v>
      </c>
      <c r="B55" s="105">
        <v>13.39</v>
      </c>
      <c r="C55" s="105">
        <v>0</v>
      </c>
      <c r="D55" s="105">
        <v>0.72</v>
      </c>
      <c r="E55" s="105">
        <v>2.36</v>
      </c>
      <c r="F55" s="105">
        <v>13.39</v>
      </c>
      <c r="G55" s="105">
        <v>0</v>
      </c>
      <c r="H55" s="105">
        <v>0.72</v>
      </c>
      <c r="I55" s="105">
        <v>2.36</v>
      </c>
    </row>
    <row r="56" spans="1:9" x14ac:dyDescent="0.25">
      <c r="A56" s="104">
        <v>46</v>
      </c>
      <c r="B56" s="105">
        <v>13.59</v>
      </c>
      <c r="C56" s="105">
        <v>0</v>
      </c>
      <c r="D56" s="105">
        <v>0.73</v>
      </c>
      <c r="E56" s="105">
        <v>2.38</v>
      </c>
      <c r="F56" s="105">
        <v>13.59</v>
      </c>
      <c r="G56" s="105">
        <v>0</v>
      </c>
      <c r="H56" s="105">
        <v>0.73</v>
      </c>
      <c r="I56" s="105">
        <v>2.38</v>
      </c>
    </row>
    <row r="57" spans="1:9" x14ac:dyDescent="0.25">
      <c r="A57" s="104">
        <v>47</v>
      </c>
      <c r="B57" s="105">
        <v>13.79</v>
      </c>
      <c r="C57" s="105">
        <v>0</v>
      </c>
      <c r="D57" s="105">
        <v>0.74</v>
      </c>
      <c r="E57" s="105">
        <v>2.4</v>
      </c>
      <c r="F57" s="105">
        <v>13.79</v>
      </c>
      <c r="G57" s="105">
        <v>0</v>
      </c>
      <c r="H57" s="105">
        <v>0.74</v>
      </c>
      <c r="I57" s="105">
        <v>2.4</v>
      </c>
    </row>
    <row r="58" spans="1:9" x14ac:dyDescent="0.25">
      <c r="A58" s="104">
        <v>48</v>
      </c>
      <c r="B58" s="105">
        <v>14</v>
      </c>
      <c r="C58" s="105">
        <v>0</v>
      </c>
      <c r="D58" s="105">
        <v>0.76</v>
      </c>
      <c r="E58" s="105">
        <v>2.42</v>
      </c>
      <c r="F58" s="105">
        <v>14</v>
      </c>
      <c r="G58" s="105">
        <v>0</v>
      </c>
      <c r="H58" s="105">
        <v>0.76</v>
      </c>
      <c r="I58" s="105">
        <v>2.42</v>
      </c>
    </row>
    <row r="59" spans="1:9" x14ac:dyDescent="0.25">
      <c r="A59" s="104">
        <v>49</v>
      </c>
      <c r="B59" s="105">
        <v>14.21</v>
      </c>
      <c r="C59" s="105">
        <v>0</v>
      </c>
      <c r="D59" s="105">
        <v>0.77</v>
      </c>
      <c r="E59" s="105">
        <v>2.4500000000000002</v>
      </c>
      <c r="F59" s="105">
        <v>14.21</v>
      </c>
      <c r="G59" s="105">
        <v>0</v>
      </c>
      <c r="H59" s="105">
        <v>0.77</v>
      </c>
      <c r="I59" s="105">
        <v>2.4500000000000002</v>
      </c>
    </row>
    <row r="60" spans="1:9" x14ac:dyDescent="0.25">
      <c r="A60" s="104">
        <v>50</v>
      </c>
      <c r="B60" s="105">
        <v>14.43</v>
      </c>
      <c r="C60" s="105">
        <v>0</v>
      </c>
      <c r="D60" s="105">
        <v>0.78</v>
      </c>
      <c r="E60" s="105">
        <v>2.46</v>
      </c>
      <c r="F60" s="105">
        <v>14.43</v>
      </c>
      <c r="G60" s="105">
        <v>0</v>
      </c>
      <c r="H60" s="105">
        <v>0.78</v>
      </c>
      <c r="I60" s="105">
        <v>2.46</v>
      </c>
    </row>
    <row r="61" spans="1:9" x14ac:dyDescent="0.25">
      <c r="A61" s="104">
        <v>51</v>
      </c>
      <c r="B61" s="105">
        <v>14.65</v>
      </c>
      <c r="C61" s="105">
        <v>0</v>
      </c>
      <c r="D61" s="105">
        <v>0.8</v>
      </c>
      <c r="E61" s="105">
        <v>2.48</v>
      </c>
      <c r="F61" s="105">
        <v>14.65</v>
      </c>
      <c r="G61" s="105">
        <v>0</v>
      </c>
      <c r="H61" s="105">
        <v>0.8</v>
      </c>
      <c r="I61" s="105">
        <v>2.48</v>
      </c>
    </row>
    <row r="62" spans="1:9" x14ac:dyDescent="0.25">
      <c r="A62" s="104">
        <v>52</v>
      </c>
      <c r="B62" s="105">
        <v>14.88</v>
      </c>
      <c r="C62" s="105">
        <v>0</v>
      </c>
      <c r="D62" s="105">
        <v>0.81</v>
      </c>
      <c r="E62" s="105">
        <v>2.5</v>
      </c>
      <c r="F62" s="105">
        <v>14.88</v>
      </c>
      <c r="G62" s="105">
        <v>0</v>
      </c>
      <c r="H62" s="105">
        <v>0.81</v>
      </c>
      <c r="I62" s="105">
        <v>2.5</v>
      </c>
    </row>
    <row r="63" spans="1:9" x14ac:dyDescent="0.25">
      <c r="A63" s="104">
        <v>53</v>
      </c>
      <c r="B63" s="105">
        <v>15.11</v>
      </c>
      <c r="C63" s="105">
        <v>0</v>
      </c>
      <c r="D63" s="105">
        <v>0.82</v>
      </c>
      <c r="E63" s="105">
        <v>2.52</v>
      </c>
      <c r="F63" s="105">
        <v>15.11</v>
      </c>
      <c r="G63" s="105">
        <v>0</v>
      </c>
      <c r="H63" s="105">
        <v>0.82</v>
      </c>
      <c r="I63" s="105">
        <v>2.52</v>
      </c>
    </row>
    <row r="64" spans="1:9" x14ac:dyDescent="0.25">
      <c r="A64" s="104">
        <v>54</v>
      </c>
      <c r="B64" s="105">
        <v>15.35</v>
      </c>
      <c r="C64" s="105">
        <v>0</v>
      </c>
      <c r="D64" s="105">
        <v>0.84</v>
      </c>
      <c r="E64" s="105">
        <v>2.5299999999999998</v>
      </c>
      <c r="F64" s="105">
        <v>15.35</v>
      </c>
      <c r="G64" s="105">
        <v>0</v>
      </c>
      <c r="H64" s="105">
        <v>0.84</v>
      </c>
      <c r="I64" s="105">
        <v>2.5299999999999998</v>
      </c>
    </row>
    <row r="65" spans="1:9" x14ac:dyDescent="0.25">
      <c r="A65" s="104">
        <v>55</v>
      </c>
      <c r="B65" s="105">
        <v>15.6</v>
      </c>
      <c r="C65" s="105">
        <v>0</v>
      </c>
      <c r="D65" s="105">
        <v>0.85</v>
      </c>
      <c r="E65" s="105">
        <v>2.54</v>
      </c>
      <c r="F65" s="105">
        <v>15.6</v>
      </c>
      <c r="G65" s="105">
        <v>0</v>
      </c>
      <c r="H65" s="105">
        <v>0.85</v>
      </c>
      <c r="I65" s="105">
        <v>2.54</v>
      </c>
    </row>
    <row r="66" spans="1:9" x14ac:dyDescent="0.25">
      <c r="A66" s="104">
        <v>56</v>
      </c>
      <c r="B66" s="105">
        <v>15.85</v>
      </c>
      <c r="C66" s="105">
        <v>0</v>
      </c>
      <c r="D66" s="105">
        <v>0.87</v>
      </c>
      <c r="E66" s="105">
        <v>2.56</v>
      </c>
      <c r="F66" s="105">
        <v>15.85</v>
      </c>
      <c r="G66" s="105">
        <v>0</v>
      </c>
      <c r="H66" s="105">
        <v>0.87</v>
      </c>
      <c r="I66" s="105">
        <v>2.56</v>
      </c>
    </row>
    <row r="67" spans="1:9" x14ac:dyDescent="0.25">
      <c r="A67" s="104">
        <v>57</v>
      </c>
      <c r="B67" s="105">
        <v>16.11</v>
      </c>
      <c r="C67" s="105">
        <v>0</v>
      </c>
      <c r="D67" s="105">
        <v>0.88</v>
      </c>
      <c r="E67" s="105">
        <v>2.57</v>
      </c>
      <c r="F67" s="105">
        <v>16.11</v>
      </c>
      <c r="G67" s="105">
        <v>0</v>
      </c>
      <c r="H67" s="105">
        <v>0.88</v>
      </c>
      <c r="I67" s="105">
        <v>2.57</v>
      </c>
    </row>
    <row r="68" spans="1:9" x14ac:dyDescent="0.25">
      <c r="A68" s="104">
        <v>58</v>
      </c>
      <c r="B68" s="105">
        <v>16.38</v>
      </c>
      <c r="C68" s="105">
        <v>0</v>
      </c>
      <c r="D68" s="105">
        <v>0.9</v>
      </c>
      <c r="E68" s="105">
        <v>2.57</v>
      </c>
      <c r="F68" s="105">
        <v>16.38</v>
      </c>
      <c r="G68" s="105">
        <v>0</v>
      </c>
      <c r="H68" s="105">
        <v>0.9</v>
      </c>
      <c r="I68" s="105">
        <v>2.57</v>
      </c>
    </row>
    <row r="69" spans="1:9" x14ac:dyDescent="0.25">
      <c r="A69" s="104">
        <v>59</v>
      </c>
      <c r="B69" s="105">
        <v>16.66</v>
      </c>
      <c r="C69" s="105">
        <v>0</v>
      </c>
      <c r="D69" s="105">
        <v>0.91</v>
      </c>
      <c r="E69" s="105">
        <v>2.58</v>
      </c>
      <c r="F69" s="105">
        <v>16.66</v>
      </c>
      <c r="G69" s="105">
        <v>0</v>
      </c>
      <c r="H69" s="105">
        <v>0.91</v>
      </c>
      <c r="I69" s="105">
        <v>2.58</v>
      </c>
    </row>
    <row r="70" spans="1:9" x14ac:dyDescent="0.25">
      <c r="A70" s="104">
        <v>60</v>
      </c>
      <c r="B70" s="105">
        <v>16.95</v>
      </c>
      <c r="C70" s="105">
        <v>0</v>
      </c>
      <c r="D70" s="105">
        <v>0.93</v>
      </c>
      <c r="E70" s="105">
        <v>2.58</v>
      </c>
      <c r="F70" s="105">
        <v>16.95</v>
      </c>
      <c r="G70" s="105">
        <v>0</v>
      </c>
      <c r="H70" s="105">
        <v>0.93</v>
      </c>
      <c r="I70" s="105">
        <v>2.58</v>
      </c>
    </row>
    <row r="71" spans="1:9" x14ac:dyDescent="0.25">
      <c r="A71" s="104">
        <v>61</v>
      </c>
      <c r="B71" s="105">
        <v>17.260000000000002</v>
      </c>
      <c r="C71" s="105">
        <v>0</v>
      </c>
      <c r="D71" s="105">
        <v>0.94</v>
      </c>
      <c r="E71" s="105">
        <v>2.58</v>
      </c>
      <c r="F71" s="105">
        <v>17.260000000000002</v>
      </c>
      <c r="G71" s="105">
        <v>0</v>
      </c>
      <c r="H71" s="105">
        <v>0.94</v>
      </c>
      <c r="I71" s="105">
        <v>2.58</v>
      </c>
    </row>
    <row r="72" spans="1:9" x14ac:dyDescent="0.25">
      <c r="A72" s="104">
        <v>62</v>
      </c>
      <c r="B72" s="105">
        <v>17.57</v>
      </c>
      <c r="C72" s="105">
        <v>0</v>
      </c>
      <c r="D72" s="105">
        <v>0.96</v>
      </c>
      <c r="E72" s="105">
        <v>2.58</v>
      </c>
      <c r="F72" s="105">
        <v>17.57</v>
      </c>
      <c r="G72" s="105">
        <v>0</v>
      </c>
      <c r="H72" s="105">
        <v>0.96</v>
      </c>
      <c r="I72" s="105">
        <v>2.58</v>
      </c>
    </row>
    <row r="73" spans="1:9" x14ac:dyDescent="0.25">
      <c r="A73" s="104">
        <v>63</v>
      </c>
      <c r="B73" s="105">
        <v>17.91</v>
      </c>
      <c r="C73" s="105">
        <v>0</v>
      </c>
      <c r="D73" s="105">
        <v>0.98</v>
      </c>
      <c r="E73" s="105">
        <v>2.57</v>
      </c>
      <c r="F73" s="105">
        <v>17.91</v>
      </c>
      <c r="G73" s="105">
        <v>0</v>
      </c>
      <c r="H73" s="105">
        <v>0.98</v>
      </c>
      <c r="I73" s="105">
        <v>2.57</v>
      </c>
    </row>
    <row r="74" spans="1:9" x14ac:dyDescent="0.25">
      <c r="A74" s="104">
        <v>64</v>
      </c>
      <c r="B74" s="105">
        <v>18.260000000000002</v>
      </c>
      <c r="C74" s="105">
        <v>0</v>
      </c>
      <c r="D74" s="105">
        <v>0.99</v>
      </c>
      <c r="E74" s="105">
        <v>2.56</v>
      </c>
      <c r="F74" s="105">
        <v>18.260000000000002</v>
      </c>
      <c r="G74" s="105">
        <v>0</v>
      </c>
      <c r="H74" s="105">
        <v>0.99</v>
      </c>
      <c r="I74" s="105">
        <v>2.56</v>
      </c>
    </row>
    <row r="75" spans="1:9" x14ac:dyDescent="0.25">
      <c r="A75" s="104">
        <v>65</v>
      </c>
      <c r="B75" s="105">
        <v>18.11</v>
      </c>
      <c r="C75" s="105">
        <v>0</v>
      </c>
      <c r="D75" s="105">
        <v>1</v>
      </c>
      <c r="E75" s="105">
        <v>2.5499999999999998</v>
      </c>
      <c r="F75" s="105">
        <v>18.11</v>
      </c>
      <c r="G75" s="105">
        <v>0</v>
      </c>
      <c r="H75" s="105">
        <v>1</v>
      </c>
      <c r="I75" s="105">
        <v>2.5499999999999998</v>
      </c>
    </row>
    <row r="76" spans="1:9" x14ac:dyDescent="0.25">
      <c r="A76" s="104">
        <v>66</v>
      </c>
      <c r="B76" s="105">
        <v>17.45</v>
      </c>
      <c r="C76" s="105">
        <v>0</v>
      </c>
      <c r="D76" s="105">
        <v>1</v>
      </c>
      <c r="E76" s="105">
        <v>2.5499999999999998</v>
      </c>
      <c r="F76" s="105">
        <v>17.45</v>
      </c>
      <c r="G76" s="105">
        <v>0</v>
      </c>
      <c r="H76" s="105">
        <v>1</v>
      </c>
      <c r="I76" s="105">
        <v>2.5499999999999998</v>
      </c>
    </row>
    <row r="77" spans="1:9" x14ac:dyDescent="0.25">
      <c r="A77" s="104">
        <v>67</v>
      </c>
      <c r="B77" s="105">
        <v>16.79</v>
      </c>
      <c r="C77" s="105">
        <v>0</v>
      </c>
      <c r="D77" s="105">
        <v>1</v>
      </c>
      <c r="E77" s="105">
        <v>2.5499999999999998</v>
      </c>
      <c r="F77" s="105">
        <v>16.79</v>
      </c>
      <c r="G77" s="105">
        <v>0</v>
      </c>
      <c r="H77" s="105">
        <v>1</v>
      </c>
      <c r="I77" s="105">
        <v>2.5499999999999998</v>
      </c>
    </row>
    <row r="78" spans="1:9" x14ac:dyDescent="0.25">
      <c r="A78" s="104">
        <v>68</v>
      </c>
      <c r="B78" s="105">
        <v>16.13</v>
      </c>
      <c r="C78" s="105">
        <v>0</v>
      </c>
      <c r="D78" s="105">
        <v>1</v>
      </c>
      <c r="E78" s="105">
        <v>2.5499999999999998</v>
      </c>
      <c r="F78" s="105">
        <v>16.13</v>
      </c>
      <c r="G78" s="105">
        <v>0</v>
      </c>
      <c r="H78" s="105">
        <v>1</v>
      </c>
      <c r="I78" s="105">
        <v>2.5499999999999998</v>
      </c>
    </row>
    <row r="79" spans="1:9" x14ac:dyDescent="0.25">
      <c r="A79" s="104">
        <v>69</v>
      </c>
      <c r="B79" s="105">
        <v>15.48</v>
      </c>
      <c r="C79" s="105">
        <v>0</v>
      </c>
      <c r="D79" s="105">
        <v>1</v>
      </c>
      <c r="E79" s="105">
        <v>2.54</v>
      </c>
      <c r="F79" s="105">
        <v>15.48</v>
      </c>
      <c r="G79" s="105">
        <v>0</v>
      </c>
      <c r="H79" s="105">
        <v>1</v>
      </c>
      <c r="I79" s="105">
        <v>2.54</v>
      </c>
    </row>
    <row r="80" spans="1:9" x14ac:dyDescent="0.25">
      <c r="A80" s="104">
        <v>70</v>
      </c>
      <c r="B80" s="105">
        <v>14.84</v>
      </c>
      <c r="C80" s="105">
        <v>0</v>
      </c>
      <c r="D80" s="105">
        <v>1</v>
      </c>
      <c r="E80" s="105">
        <v>2.5299999999999998</v>
      </c>
      <c r="F80" s="105">
        <v>14.84</v>
      </c>
      <c r="G80" s="105">
        <v>0</v>
      </c>
      <c r="H80" s="105">
        <v>1</v>
      </c>
      <c r="I80" s="105">
        <v>2.5299999999999998</v>
      </c>
    </row>
    <row r="81" spans="1:9" x14ac:dyDescent="0.25">
      <c r="A81" s="104">
        <v>71</v>
      </c>
      <c r="B81" s="105">
        <v>14.2</v>
      </c>
      <c r="C81" s="105">
        <v>0</v>
      </c>
      <c r="D81" s="105">
        <v>1</v>
      </c>
      <c r="E81" s="105">
        <v>2.5099999999999998</v>
      </c>
      <c r="F81" s="105">
        <v>14.2</v>
      </c>
      <c r="G81" s="105">
        <v>0</v>
      </c>
      <c r="H81" s="105">
        <v>1</v>
      </c>
      <c r="I81" s="105">
        <v>2.5099999999999998</v>
      </c>
    </row>
    <row r="82" spans="1:9" x14ac:dyDescent="0.25">
      <c r="A82" s="104">
        <v>72</v>
      </c>
      <c r="B82" s="105">
        <v>13.57</v>
      </c>
      <c r="C82" s="105">
        <v>0</v>
      </c>
      <c r="D82" s="105">
        <v>1</v>
      </c>
      <c r="E82" s="105">
        <v>2.5</v>
      </c>
      <c r="F82" s="105">
        <v>13.57</v>
      </c>
      <c r="G82" s="105">
        <v>0</v>
      </c>
      <c r="H82" s="105">
        <v>1</v>
      </c>
      <c r="I82" s="105">
        <v>2.5</v>
      </c>
    </row>
    <row r="83" spans="1:9" x14ac:dyDescent="0.25">
      <c r="A83" s="104">
        <v>73</v>
      </c>
      <c r="B83" s="105">
        <v>12.94</v>
      </c>
      <c r="C83" s="105">
        <v>0</v>
      </c>
      <c r="D83" s="105">
        <v>1</v>
      </c>
      <c r="E83" s="105">
        <v>2.4700000000000002</v>
      </c>
      <c r="F83" s="105">
        <v>12.94</v>
      </c>
      <c r="G83" s="105">
        <v>0</v>
      </c>
      <c r="H83" s="105">
        <v>1</v>
      </c>
      <c r="I83" s="105">
        <v>2.4700000000000002</v>
      </c>
    </row>
    <row r="84" spans="1:9" x14ac:dyDescent="0.25">
      <c r="A84" s="104">
        <v>74</v>
      </c>
      <c r="B84" s="105">
        <v>12.31</v>
      </c>
      <c r="C84" s="105">
        <v>0</v>
      </c>
      <c r="D84" s="105">
        <v>1</v>
      </c>
      <c r="E84" s="105">
        <v>2.4500000000000002</v>
      </c>
      <c r="F84" s="105">
        <v>12.31</v>
      </c>
      <c r="G84" s="105">
        <v>0</v>
      </c>
      <c r="H84" s="105">
        <v>1</v>
      </c>
      <c r="I84" s="105">
        <v>2.4500000000000002</v>
      </c>
    </row>
    <row r="85" spans="1:9" x14ac:dyDescent="0.25">
      <c r="A85" s="104">
        <v>75</v>
      </c>
      <c r="B85" s="105">
        <v>11.69</v>
      </c>
      <c r="C85" s="105">
        <v>0</v>
      </c>
      <c r="D85" s="105">
        <v>1</v>
      </c>
      <c r="E85" s="105">
        <v>2.42</v>
      </c>
      <c r="F85" s="105">
        <v>11.69</v>
      </c>
      <c r="G85" s="105">
        <v>0</v>
      </c>
      <c r="H85" s="105">
        <v>1</v>
      </c>
      <c r="I85" s="105">
        <v>2.42</v>
      </c>
    </row>
  </sheetData>
  <sheetProtection algorithmName="SHA-512" hashValue="WWZ1zR1ejiZ+LBCsprutybeB5vWsTL1C9S9dU8SLcsu+GOFOpkj1PTPHUd8hcAoQjOpc7TS9DSzjdT9bWsF1qQ==" saltValue="oCYu4pqd+FrlBXi7WmJ7GA==" spinCount="100000" sheet="1" objects="1" scenarios="1"/>
  <conditionalFormatting sqref="A6:A21">
    <cfRule type="expression" dxfId="1405" priority="1" stopIfTrue="1">
      <formula>MOD(ROW(),2)=0</formula>
    </cfRule>
    <cfRule type="expression" dxfId="1404" priority="2" stopIfTrue="1">
      <formula>MOD(ROW(),2)&lt;&gt;0</formula>
    </cfRule>
  </conditionalFormatting>
  <conditionalFormatting sqref="A26:A85">
    <cfRule type="expression" dxfId="1403" priority="9" stopIfTrue="1">
      <formula>MOD(ROW(),2)=0</formula>
    </cfRule>
    <cfRule type="expression" dxfId="1402" priority="10" stopIfTrue="1">
      <formula>MOD(ROW(),2)&lt;&gt;0</formula>
    </cfRule>
  </conditionalFormatting>
  <conditionalFormatting sqref="B12">
    <cfRule type="expression" dxfId="1401" priority="13" stopIfTrue="1">
      <formula>MOD(ROW(),2)=0</formula>
    </cfRule>
    <cfRule type="expression" dxfId="1400" priority="14" stopIfTrue="1">
      <formula>MOD(ROW(),2)&lt;&gt;0</formula>
    </cfRule>
  </conditionalFormatting>
  <conditionalFormatting sqref="B17:B21">
    <cfRule type="expression" dxfId="1399" priority="3" stopIfTrue="1">
      <formula>MOD(ROW(),2)=0</formula>
    </cfRule>
    <cfRule type="expression" dxfId="1398" priority="4" stopIfTrue="1">
      <formula>MOD(ROW(),2)&lt;&gt;0</formula>
    </cfRule>
  </conditionalFormatting>
  <conditionalFormatting sqref="B6:I6 C7:I7 B8:I11 C12:I12 B13:I16 C17:I20">
    <cfRule type="expression" dxfId="1397" priority="49" stopIfTrue="1">
      <formula>MOD(ROW(),2)=0</formula>
    </cfRule>
    <cfRule type="expression" dxfId="1396" priority="50" stopIfTrue="1">
      <formula>MOD(ROW(),2)&lt;&gt;0</formula>
    </cfRule>
  </conditionalFormatting>
  <conditionalFormatting sqref="B6:I21">
    <cfRule type="expression" dxfId="1395" priority="37" stopIfTrue="1">
      <formula>MOD(ROW(),2)=0</formula>
    </cfRule>
    <cfRule type="expression" dxfId="1394" priority="38" stopIfTrue="1">
      <formula>MOD(ROW(),2)&lt;&gt;0</formula>
    </cfRule>
  </conditionalFormatting>
  <conditionalFormatting sqref="B26:I85">
    <cfRule type="expression" dxfId="1393" priority="11" stopIfTrue="1">
      <formula>MOD(ROW(),2)=0</formula>
    </cfRule>
    <cfRule type="expression" dxfId="1392" priority="12" stopIfTrue="1">
      <formula>MOD(ROW(),2)&lt;&gt;0</formula>
    </cfRule>
  </conditionalFormatting>
  <conditionalFormatting sqref="C21:I21">
    <cfRule type="expression" dxfId="1391" priority="5" stopIfTrue="1">
      <formula>MOD(ROW(),2)=0</formula>
    </cfRule>
    <cfRule type="expression" dxfId="1390" priority="6" stopIfTrue="1">
      <formula>MOD(ROW(),2)&lt;&gt;0</formula>
    </cfRule>
  </conditionalFormatting>
  <hyperlinks>
    <hyperlink ref="B24" location="Sheet1!A1" display="Assumptions" xr:uid="{B00B8FDF-F272-4979-8A99-15586FD103F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7"/>
  <dimension ref="A1:E85"/>
  <sheetViews>
    <sheetView showGridLines="0" zoomScale="85" zoomScaleNormal="85" workbookViewId="0">
      <selection activeCell="A4" sqref="A4"/>
    </sheetView>
  </sheetViews>
  <sheetFormatPr defaultColWidth="10" defaultRowHeight="13.2" x14ac:dyDescent="0.25"/>
  <cols>
    <col min="1" max="1" width="31.5546875" style="27" customWidth="1"/>
    <col min="2" max="5" width="22.5546875" style="27" customWidth="1"/>
    <col min="6" max="16384" width="10" style="27"/>
  </cols>
  <sheetData>
    <row r="1" spans="1:5" ht="21" x14ac:dyDescent="0.4">
      <c r="A1" s="39" t="s">
        <v>0</v>
      </c>
      <c r="B1" s="40"/>
      <c r="C1" s="40"/>
      <c r="D1" s="40"/>
      <c r="E1" s="40"/>
    </row>
    <row r="2" spans="1:5" ht="15.6" x14ac:dyDescent="0.3">
      <c r="A2" s="41" t="str">
        <f>IF(title="&gt; Enter workbook title here","Enter workbook title in Cover sheet",title)</f>
        <v>Civil Service Pension Schemes - Consolidated Factor Spreadsheet</v>
      </c>
      <c r="B2" s="42"/>
      <c r="C2" s="42"/>
      <c r="D2" s="42"/>
      <c r="E2" s="42"/>
    </row>
    <row r="3" spans="1:5" ht="15.6" x14ac:dyDescent="0.3">
      <c r="A3" s="43" t="str">
        <f>TABLE_FACTOR_TYPE_1&amp;" - x-"&amp;TABLE_SERIES_NUMBER_1</f>
        <v>CETV - x-209</v>
      </c>
      <c r="B3" s="42"/>
      <c r="C3" s="42"/>
      <c r="D3" s="42"/>
      <c r="E3" s="42"/>
    </row>
    <row r="4" spans="1:5" x14ac:dyDescent="0.25">
      <c r="A4" s="44"/>
    </row>
    <row r="6" spans="1:5" x14ac:dyDescent="0.25">
      <c r="A6" s="76" t="s">
        <v>290</v>
      </c>
      <c r="B6" s="129" t="s">
        <v>291</v>
      </c>
      <c r="C6" s="129"/>
      <c r="D6" s="129"/>
      <c r="E6" s="129"/>
    </row>
    <row r="7" spans="1:5" x14ac:dyDescent="0.25">
      <c r="A7" s="77" t="s">
        <v>804</v>
      </c>
      <c r="B7" s="129" t="s">
        <v>345</v>
      </c>
      <c r="C7" s="129"/>
      <c r="D7" s="129"/>
      <c r="E7" s="129"/>
    </row>
    <row r="8" spans="1:5" x14ac:dyDescent="0.25">
      <c r="A8" s="77" t="s">
        <v>805</v>
      </c>
      <c r="B8" s="129" t="s">
        <v>89</v>
      </c>
      <c r="C8" s="129"/>
      <c r="D8" s="129"/>
      <c r="E8" s="129"/>
    </row>
    <row r="9" spans="1:5" x14ac:dyDescent="0.25">
      <c r="A9" s="77" t="s">
        <v>296</v>
      </c>
      <c r="B9" s="129" t="s">
        <v>325</v>
      </c>
      <c r="C9" s="129"/>
      <c r="D9" s="129"/>
      <c r="E9" s="129"/>
    </row>
    <row r="10" spans="1:5" x14ac:dyDescent="0.25">
      <c r="A10" s="77" t="s">
        <v>6</v>
      </c>
      <c r="B10" s="129" t="s">
        <v>353</v>
      </c>
      <c r="C10" s="129"/>
      <c r="D10" s="129"/>
      <c r="E10" s="129"/>
    </row>
    <row r="11" spans="1:5" x14ac:dyDescent="0.25">
      <c r="A11" s="77" t="s">
        <v>299</v>
      </c>
      <c r="B11" s="129" t="s">
        <v>327</v>
      </c>
      <c r="C11" s="129"/>
      <c r="D11" s="129"/>
      <c r="E11" s="129"/>
    </row>
    <row r="12" spans="1:5" x14ac:dyDescent="0.25">
      <c r="A12" s="77" t="s">
        <v>301</v>
      </c>
      <c r="B12" s="129" t="s">
        <v>328</v>
      </c>
      <c r="C12" s="129"/>
      <c r="D12" s="129"/>
      <c r="E12" s="129"/>
    </row>
    <row r="13" spans="1:5" x14ac:dyDescent="0.25">
      <c r="A13" s="77" t="s">
        <v>806</v>
      </c>
      <c r="B13" s="129">
        <v>1</v>
      </c>
      <c r="C13" s="129"/>
      <c r="D13" s="129"/>
      <c r="E13" s="129"/>
    </row>
    <row r="14" spans="1:5" x14ac:dyDescent="0.25">
      <c r="A14" s="77" t="s">
        <v>305</v>
      </c>
      <c r="B14" s="129">
        <v>209</v>
      </c>
      <c r="C14" s="129"/>
      <c r="D14" s="129"/>
      <c r="E14" s="129"/>
    </row>
    <row r="15" spans="1:5" x14ac:dyDescent="0.25">
      <c r="A15" s="77" t="s">
        <v>307</v>
      </c>
      <c r="B15" s="129" t="s">
        <v>354</v>
      </c>
      <c r="C15" s="129"/>
      <c r="D15" s="129"/>
      <c r="E15" s="129"/>
    </row>
    <row r="16" spans="1:5" x14ac:dyDescent="0.25">
      <c r="A16" s="77" t="s">
        <v>309</v>
      </c>
      <c r="B16" s="129" t="s">
        <v>355</v>
      </c>
      <c r="C16" s="129"/>
      <c r="D16" s="129"/>
      <c r="E16" s="129"/>
    </row>
    <row r="17" spans="1:5" x14ac:dyDescent="0.25">
      <c r="A17" s="77" t="s">
        <v>803</v>
      </c>
      <c r="B17" s="129"/>
      <c r="C17" s="129"/>
      <c r="D17" s="129"/>
      <c r="E17" s="129"/>
    </row>
    <row r="18" spans="1:5" x14ac:dyDescent="0.25">
      <c r="A18" s="77" t="s">
        <v>313</v>
      </c>
      <c r="B18" s="187">
        <v>45071</v>
      </c>
      <c r="C18" s="129"/>
      <c r="D18" s="129"/>
      <c r="E18" s="129"/>
    </row>
    <row r="19" spans="1:5" x14ac:dyDescent="0.25">
      <c r="A19" s="77" t="s">
        <v>315</v>
      </c>
      <c r="B19" s="187"/>
      <c r="C19" s="129"/>
      <c r="D19" s="129"/>
      <c r="E19" s="129"/>
    </row>
    <row r="20" spans="1:5" x14ac:dyDescent="0.25">
      <c r="A20" s="77" t="s">
        <v>317</v>
      </c>
      <c r="B20" s="129" t="s">
        <v>331</v>
      </c>
      <c r="C20" s="129"/>
      <c r="D20" s="129"/>
      <c r="E20" s="129"/>
    </row>
    <row r="21" spans="1:5" x14ac:dyDescent="0.25">
      <c r="A21" s="77" t="s">
        <v>323</v>
      </c>
      <c r="B21" s="129" t="s">
        <v>332</v>
      </c>
      <c r="C21" s="129"/>
      <c r="D21" s="129"/>
      <c r="E21" s="129"/>
    </row>
    <row r="23" spans="1:5" x14ac:dyDescent="0.25">
      <c r="B23" s="102" t="str">
        <f>HYPERLINK("#'Factor List'!A1","Back to Factor List")</f>
        <v>Back to Factor List</v>
      </c>
    </row>
    <row r="24" spans="1:5" x14ac:dyDescent="0.25">
      <c r="B24" s="102" t="s">
        <v>13</v>
      </c>
    </row>
    <row r="25" spans="1:5" x14ac:dyDescent="0.25">
      <c r="B25" s="102"/>
    </row>
    <row r="26" spans="1:5" ht="26.4" x14ac:dyDescent="0.25">
      <c r="A26" s="103" t="s">
        <v>373</v>
      </c>
      <c r="B26" s="103" t="s">
        <v>807</v>
      </c>
      <c r="C26" s="103" t="s">
        <v>808</v>
      </c>
      <c r="D26" s="103" t="s">
        <v>809</v>
      </c>
      <c r="E26" s="103" t="s">
        <v>810</v>
      </c>
    </row>
    <row r="27" spans="1:5" x14ac:dyDescent="0.25">
      <c r="A27" s="104">
        <v>17</v>
      </c>
      <c r="B27" s="105">
        <v>3.51</v>
      </c>
      <c r="C27" s="105">
        <v>0.59</v>
      </c>
      <c r="D27" s="105">
        <v>3.51</v>
      </c>
      <c r="E27" s="105">
        <v>0.59</v>
      </c>
    </row>
    <row r="28" spans="1:5" x14ac:dyDescent="0.25">
      <c r="A28" s="104">
        <v>18</v>
      </c>
      <c r="B28" s="105">
        <v>3.63</v>
      </c>
      <c r="C28" s="105">
        <v>0.63</v>
      </c>
      <c r="D28" s="105">
        <v>3.63</v>
      </c>
      <c r="E28" s="105">
        <v>0.63</v>
      </c>
    </row>
    <row r="29" spans="1:5" x14ac:dyDescent="0.25">
      <c r="A29" s="104">
        <v>19</v>
      </c>
      <c r="B29" s="105">
        <v>3.76</v>
      </c>
      <c r="C29" s="105">
        <v>0.66</v>
      </c>
      <c r="D29" s="105">
        <v>3.76</v>
      </c>
      <c r="E29" s="105">
        <v>0.66</v>
      </c>
    </row>
    <row r="30" spans="1:5" x14ac:dyDescent="0.25">
      <c r="A30" s="104">
        <v>20</v>
      </c>
      <c r="B30" s="105">
        <v>3.89</v>
      </c>
      <c r="C30" s="105">
        <v>0.69</v>
      </c>
      <c r="D30" s="105">
        <v>3.89</v>
      </c>
      <c r="E30" s="105">
        <v>0.69</v>
      </c>
    </row>
    <row r="31" spans="1:5" x14ac:dyDescent="0.25">
      <c r="A31" s="104">
        <v>21</v>
      </c>
      <c r="B31" s="105">
        <v>4.0199999999999996</v>
      </c>
      <c r="C31" s="105">
        <v>0.71</v>
      </c>
      <c r="D31" s="105">
        <v>4.0199999999999996</v>
      </c>
      <c r="E31" s="105">
        <v>0.71</v>
      </c>
    </row>
    <row r="32" spans="1:5" x14ac:dyDescent="0.25">
      <c r="A32" s="104">
        <v>22</v>
      </c>
      <c r="B32" s="105">
        <v>4.16</v>
      </c>
      <c r="C32" s="105">
        <v>0.74</v>
      </c>
      <c r="D32" s="105">
        <v>4.16</v>
      </c>
      <c r="E32" s="105">
        <v>0.74</v>
      </c>
    </row>
    <row r="33" spans="1:5" x14ac:dyDescent="0.25">
      <c r="A33" s="104">
        <v>23</v>
      </c>
      <c r="B33" s="105">
        <v>4.3</v>
      </c>
      <c r="C33" s="105">
        <v>0.77</v>
      </c>
      <c r="D33" s="105">
        <v>4.3</v>
      </c>
      <c r="E33" s="105">
        <v>0.77</v>
      </c>
    </row>
    <row r="34" spans="1:5" x14ac:dyDescent="0.25">
      <c r="A34" s="104">
        <v>24</v>
      </c>
      <c r="B34" s="105">
        <v>4.45</v>
      </c>
      <c r="C34" s="105">
        <v>0.8</v>
      </c>
      <c r="D34" s="105">
        <v>4.45</v>
      </c>
      <c r="E34" s="105">
        <v>0.8</v>
      </c>
    </row>
    <row r="35" spans="1:5" x14ac:dyDescent="0.25">
      <c r="A35" s="104">
        <v>25</v>
      </c>
      <c r="B35" s="105">
        <v>4.6100000000000003</v>
      </c>
      <c r="C35" s="105">
        <v>0.83</v>
      </c>
      <c r="D35" s="105">
        <v>4.6100000000000003</v>
      </c>
      <c r="E35" s="105">
        <v>0.83</v>
      </c>
    </row>
    <row r="36" spans="1:5" x14ac:dyDescent="0.25">
      <c r="A36" s="104">
        <v>26</v>
      </c>
      <c r="B36" s="105">
        <v>4.76</v>
      </c>
      <c r="C36" s="105">
        <v>0.86</v>
      </c>
      <c r="D36" s="105">
        <v>4.76</v>
      </c>
      <c r="E36" s="105">
        <v>0.86</v>
      </c>
    </row>
    <row r="37" spans="1:5" x14ac:dyDescent="0.25">
      <c r="A37" s="104">
        <v>27</v>
      </c>
      <c r="B37" s="105">
        <v>4.93</v>
      </c>
      <c r="C37" s="105">
        <v>0.89</v>
      </c>
      <c r="D37" s="105">
        <v>4.93</v>
      </c>
      <c r="E37" s="105">
        <v>0.89</v>
      </c>
    </row>
    <row r="38" spans="1:5" x14ac:dyDescent="0.25">
      <c r="A38" s="104">
        <v>28</v>
      </c>
      <c r="B38" s="105">
        <v>5.0999999999999996</v>
      </c>
      <c r="C38" s="105">
        <v>0.92</v>
      </c>
      <c r="D38" s="105">
        <v>5.0999999999999996</v>
      </c>
      <c r="E38" s="105">
        <v>0.92</v>
      </c>
    </row>
    <row r="39" spans="1:5" x14ac:dyDescent="0.25">
      <c r="A39" s="104">
        <v>29</v>
      </c>
      <c r="B39" s="105">
        <v>5.27</v>
      </c>
      <c r="C39" s="105">
        <v>0.95</v>
      </c>
      <c r="D39" s="105">
        <v>5.27</v>
      </c>
      <c r="E39" s="105">
        <v>0.95</v>
      </c>
    </row>
    <row r="40" spans="1:5" x14ac:dyDescent="0.25">
      <c r="A40" s="104">
        <v>30</v>
      </c>
      <c r="B40" s="105">
        <v>5.46</v>
      </c>
      <c r="C40" s="105">
        <v>0.98</v>
      </c>
      <c r="D40" s="105">
        <v>5.46</v>
      </c>
      <c r="E40" s="105">
        <v>0.98</v>
      </c>
    </row>
    <row r="41" spans="1:5" x14ac:dyDescent="0.25">
      <c r="A41" s="104">
        <v>31</v>
      </c>
      <c r="B41" s="105">
        <v>5.64</v>
      </c>
      <c r="C41" s="105">
        <v>1.02</v>
      </c>
      <c r="D41" s="105">
        <v>5.64</v>
      </c>
      <c r="E41" s="105">
        <v>1.02</v>
      </c>
    </row>
    <row r="42" spans="1:5" x14ac:dyDescent="0.25">
      <c r="A42" s="104">
        <v>32</v>
      </c>
      <c r="B42" s="105">
        <v>5.84</v>
      </c>
      <c r="C42" s="105">
        <v>1.05</v>
      </c>
      <c r="D42" s="105">
        <v>5.84</v>
      </c>
      <c r="E42" s="105">
        <v>1.05</v>
      </c>
    </row>
    <row r="43" spans="1:5" x14ac:dyDescent="0.25">
      <c r="A43" s="104">
        <v>33</v>
      </c>
      <c r="B43" s="105">
        <v>6.04</v>
      </c>
      <c r="C43" s="105">
        <v>1.0900000000000001</v>
      </c>
      <c r="D43" s="105">
        <v>6.04</v>
      </c>
      <c r="E43" s="105">
        <v>1.0900000000000001</v>
      </c>
    </row>
    <row r="44" spans="1:5" x14ac:dyDescent="0.25">
      <c r="A44" s="104">
        <v>34</v>
      </c>
      <c r="B44" s="105">
        <v>6.25</v>
      </c>
      <c r="C44" s="105">
        <v>1.1299999999999999</v>
      </c>
      <c r="D44" s="105">
        <v>6.25</v>
      </c>
      <c r="E44" s="105">
        <v>1.1299999999999999</v>
      </c>
    </row>
    <row r="45" spans="1:5" x14ac:dyDescent="0.25">
      <c r="A45" s="104">
        <v>35</v>
      </c>
      <c r="B45" s="105">
        <v>6.47</v>
      </c>
      <c r="C45" s="105">
        <v>1.17</v>
      </c>
      <c r="D45" s="105">
        <v>6.47</v>
      </c>
      <c r="E45" s="105">
        <v>1.17</v>
      </c>
    </row>
    <row r="46" spans="1:5" x14ac:dyDescent="0.25">
      <c r="A46" s="104">
        <v>36</v>
      </c>
      <c r="B46" s="105">
        <v>6.69</v>
      </c>
      <c r="C46" s="105">
        <v>1.21</v>
      </c>
      <c r="D46" s="105">
        <v>6.69</v>
      </c>
      <c r="E46" s="105">
        <v>1.21</v>
      </c>
    </row>
    <row r="47" spans="1:5" x14ac:dyDescent="0.25">
      <c r="A47" s="104">
        <v>37</v>
      </c>
      <c r="B47" s="105">
        <v>6.92</v>
      </c>
      <c r="C47" s="105">
        <v>1.25</v>
      </c>
      <c r="D47" s="105">
        <v>6.92</v>
      </c>
      <c r="E47" s="105">
        <v>1.25</v>
      </c>
    </row>
    <row r="48" spans="1:5" x14ac:dyDescent="0.25">
      <c r="A48" s="104">
        <v>38</v>
      </c>
      <c r="B48" s="105">
        <v>7.16</v>
      </c>
      <c r="C48" s="105">
        <v>1.29</v>
      </c>
      <c r="D48" s="105">
        <v>7.16</v>
      </c>
      <c r="E48" s="105">
        <v>1.29</v>
      </c>
    </row>
    <row r="49" spans="1:5" x14ac:dyDescent="0.25">
      <c r="A49" s="104">
        <v>39</v>
      </c>
      <c r="B49" s="105">
        <v>7.41</v>
      </c>
      <c r="C49" s="105">
        <v>1.33</v>
      </c>
      <c r="D49" s="105">
        <v>7.41</v>
      </c>
      <c r="E49" s="105">
        <v>1.33</v>
      </c>
    </row>
    <row r="50" spans="1:5" x14ac:dyDescent="0.25">
      <c r="A50" s="104">
        <v>40</v>
      </c>
      <c r="B50" s="105">
        <v>7.67</v>
      </c>
      <c r="C50" s="105">
        <v>1.37</v>
      </c>
      <c r="D50" s="105">
        <v>7.67</v>
      </c>
      <c r="E50" s="105">
        <v>1.37</v>
      </c>
    </row>
    <row r="51" spans="1:5" x14ac:dyDescent="0.25">
      <c r="A51" s="104">
        <v>41</v>
      </c>
      <c r="B51" s="105">
        <v>7.93</v>
      </c>
      <c r="C51" s="105">
        <v>1.42</v>
      </c>
      <c r="D51" s="105">
        <v>7.93</v>
      </c>
      <c r="E51" s="105">
        <v>1.42</v>
      </c>
    </row>
    <row r="52" spans="1:5" x14ac:dyDescent="0.25">
      <c r="A52" s="104">
        <v>42</v>
      </c>
      <c r="B52" s="105">
        <v>8.2100000000000009</v>
      </c>
      <c r="C52" s="105">
        <v>1.46</v>
      </c>
      <c r="D52" s="105">
        <v>8.2100000000000009</v>
      </c>
      <c r="E52" s="105">
        <v>1.46</v>
      </c>
    </row>
    <row r="53" spans="1:5" x14ac:dyDescent="0.25">
      <c r="A53" s="104">
        <v>43</v>
      </c>
      <c r="B53" s="105">
        <v>8.5</v>
      </c>
      <c r="C53" s="105">
        <v>1.51</v>
      </c>
      <c r="D53" s="105">
        <v>8.5</v>
      </c>
      <c r="E53" s="105">
        <v>1.51</v>
      </c>
    </row>
    <row r="54" spans="1:5" x14ac:dyDescent="0.25">
      <c r="A54" s="104">
        <v>44</v>
      </c>
      <c r="B54" s="105">
        <v>8.8000000000000007</v>
      </c>
      <c r="C54" s="105">
        <v>1.56</v>
      </c>
      <c r="D54" s="105">
        <v>8.8000000000000007</v>
      </c>
      <c r="E54" s="105">
        <v>1.56</v>
      </c>
    </row>
    <row r="55" spans="1:5" x14ac:dyDescent="0.25">
      <c r="A55" s="104">
        <v>45</v>
      </c>
      <c r="B55" s="105">
        <v>9.1</v>
      </c>
      <c r="C55" s="105">
        <v>1.6</v>
      </c>
      <c r="D55" s="105">
        <v>9.1</v>
      </c>
      <c r="E55" s="105">
        <v>1.6</v>
      </c>
    </row>
    <row r="56" spans="1:5" x14ac:dyDescent="0.25">
      <c r="A56" s="104">
        <v>46</v>
      </c>
      <c r="B56" s="105">
        <v>9.42</v>
      </c>
      <c r="C56" s="105">
        <v>1.65</v>
      </c>
      <c r="D56" s="105">
        <v>9.42</v>
      </c>
      <c r="E56" s="105">
        <v>1.65</v>
      </c>
    </row>
    <row r="57" spans="1:5" x14ac:dyDescent="0.25">
      <c r="A57" s="104">
        <v>47</v>
      </c>
      <c r="B57" s="105">
        <v>9.76</v>
      </c>
      <c r="C57" s="105">
        <v>1.7</v>
      </c>
      <c r="D57" s="105">
        <v>9.76</v>
      </c>
      <c r="E57" s="105">
        <v>1.7</v>
      </c>
    </row>
    <row r="58" spans="1:5" x14ac:dyDescent="0.25">
      <c r="A58" s="104">
        <v>48</v>
      </c>
      <c r="B58" s="105">
        <v>10.1</v>
      </c>
      <c r="C58" s="105">
        <v>1.75</v>
      </c>
      <c r="D58" s="105">
        <v>10.1</v>
      </c>
      <c r="E58" s="105">
        <v>1.75</v>
      </c>
    </row>
    <row r="59" spans="1:5" x14ac:dyDescent="0.25">
      <c r="A59" s="104">
        <v>49</v>
      </c>
      <c r="B59" s="105">
        <v>10.46</v>
      </c>
      <c r="C59" s="105">
        <v>1.8</v>
      </c>
      <c r="D59" s="105">
        <v>10.46</v>
      </c>
      <c r="E59" s="105">
        <v>1.8</v>
      </c>
    </row>
    <row r="60" spans="1:5" x14ac:dyDescent="0.25">
      <c r="A60" s="104">
        <v>50</v>
      </c>
      <c r="B60" s="105">
        <v>10.83</v>
      </c>
      <c r="C60" s="105">
        <v>1.85</v>
      </c>
      <c r="D60" s="105">
        <v>10.83</v>
      </c>
      <c r="E60" s="105">
        <v>1.85</v>
      </c>
    </row>
    <row r="61" spans="1:5" x14ac:dyDescent="0.25">
      <c r="A61" s="104">
        <v>51</v>
      </c>
      <c r="B61" s="105">
        <v>11.22</v>
      </c>
      <c r="C61" s="105">
        <v>1.9</v>
      </c>
      <c r="D61" s="105">
        <v>11.22</v>
      </c>
      <c r="E61" s="105">
        <v>1.9</v>
      </c>
    </row>
    <row r="62" spans="1:5" x14ac:dyDescent="0.25">
      <c r="A62" s="104">
        <v>52</v>
      </c>
      <c r="B62" s="105">
        <v>11.62</v>
      </c>
      <c r="C62" s="105">
        <v>1.95</v>
      </c>
      <c r="D62" s="105">
        <v>11.62</v>
      </c>
      <c r="E62" s="105">
        <v>1.95</v>
      </c>
    </row>
    <row r="63" spans="1:5" x14ac:dyDescent="0.25">
      <c r="A63" s="104">
        <v>53</v>
      </c>
      <c r="B63" s="105">
        <v>12.04</v>
      </c>
      <c r="C63" s="105">
        <v>2</v>
      </c>
      <c r="D63" s="105">
        <v>12.04</v>
      </c>
      <c r="E63" s="105">
        <v>2</v>
      </c>
    </row>
    <row r="64" spans="1:5" x14ac:dyDescent="0.25">
      <c r="A64" s="104">
        <v>54</v>
      </c>
      <c r="B64" s="105">
        <v>12.47</v>
      </c>
      <c r="C64" s="105">
        <v>2.06</v>
      </c>
      <c r="D64" s="105">
        <v>12.47</v>
      </c>
      <c r="E64" s="105">
        <v>2.06</v>
      </c>
    </row>
    <row r="65" spans="1:5" x14ac:dyDescent="0.25">
      <c r="A65" s="104">
        <v>55</v>
      </c>
      <c r="B65" s="105">
        <v>12.92</v>
      </c>
      <c r="C65" s="105">
        <v>2.11</v>
      </c>
      <c r="D65" s="105">
        <v>12.92</v>
      </c>
      <c r="E65" s="105">
        <v>2.11</v>
      </c>
    </row>
    <row r="66" spans="1:5" x14ac:dyDescent="0.25">
      <c r="A66" s="104">
        <v>56</v>
      </c>
      <c r="B66" s="105">
        <v>13.4</v>
      </c>
      <c r="C66" s="105">
        <v>2.16</v>
      </c>
      <c r="D66" s="105">
        <v>13.4</v>
      </c>
      <c r="E66" s="105">
        <v>2.16</v>
      </c>
    </row>
    <row r="67" spans="1:5" x14ac:dyDescent="0.25">
      <c r="A67" s="104">
        <v>57</v>
      </c>
      <c r="B67" s="105">
        <v>13.89</v>
      </c>
      <c r="C67" s="105">
        <v>2.21</v>
      </c>
      <c r="D67" s="105">
        <v>13.89</v>
      </c>
      <c r="E67" s="105">
        <v>2.21</v>
      </c>
    </row>
    <row r="68" spans="1:5" x14ac:dyDescent="0.25">
      <c r="A68" s="104">
        <v>58</v>
      </c>
      <c r="B68" s="105">
        <v>14.41</v>
      </c>
      <c r="C68" s="105">
        <v>2.2599999999999998</v>
      </c>
      <c r="D68" s="105">
        <v>14.41</v>
      </c>
      <c r="E68" s="105">
        <v>2.2599999999999998</v>
      </c>
    </row>
    <row r="69" spans="1:5" x14ac:dyDescent="0.25">
      <c r="A69" s="104">
        <v>59</v>
      </c>
      <c r="B69" s="105">
        <v>14.94</v>
      </c>
      <c r="C69" s="105">
        <v>2.31</v>
      </c>
      <c r="D69" s="105">
        <v>14.94</v>
      </c>
      <c r="E69" s="105">
        <v>2.31</v>
      </c>
    </row>
    <row r="70" spans="1:5" x14ac:dyDescent="0.25">
      <c r="A70" s="104">
        <v>60</v>
      </c>
      <c r="B70" s="105">
        <v>15.51</v>
      </c>
      <c r="C70" s="105">
        <v>2.36</v>
      </c>
      <c r="D70" s="105">
        <v>15.51</v>
      </c>
      <c r="E70" s="105">
        <v>2.36</v>
      </c>
    </row>
    <row r="71" spans="1:5" x14ac:dyDescent="0.25">
      <c r="A71" s="104">
        <v>61</v>
      </c>
      <c r="B71" s="105">
        <v>16.100000000000001</v>
      </c>
      <c r="C71" s="105">
        <v>2.41</v>
      </c>
      <c r="D71" s="105">
        <v>16.100000000000001</v>
      </c>
      <c r="E71" s="105">
        <v>2.41</v>
      </c>
    </row>
    <row r="72" spans="1:5" x14ac:dyDescent="0.25">
      <c r="A72" s="104">
        <v>62</v>
      </c>
      <c r="B72" s="105">
        <v>16.73</v>
      </c>
      <c r="C72" s="105">
        <v>2.4500000000000002</v>
      </c>
      <c r="D72" s="105">
        <v>16.73</v>
      </c>
      <c r="E72" s="105">
        <v>2.4500000000000002</v>
      </c>
    </row>
    <row r="73" spans="1:5" x14ac:dyDescent="0.25">
      <c r="A73" s="104">
        <v>63</v>
      </c>
      <c r="B73" s="105">
        <v>17.38</v>
      </c>
      <c r="C73" s="105">
        <v>2.5</v>
      </c>
      <c r="D73" s="105">
        <v>17.38</v>
      </c>
      <c r="E73" s="105">
        <v>2.5</v>
      </c>
    </row>
    <row r="74" spans="1:5" x14ac:dyDescent="0.25">
      <c r="A74" s="104">
        <v>64</v>
      </c>
      <c r="B74" s="105">
        <v>18.079999999999998</v>
      </c>
      <c r="C74" s="105">
        <v>2.5299999999999998</v>
      </c>
      <c r="D74" s="105">
        <v>18.079999999999998</v>
      </c>
      <c r="E74" s="105">
        <v>2.5299999999999998</v>
      </c>
    </row>
    <row r="75" spans="1:5" x14ac:dyDescent="0.25">
      <c r="A75" s="104">
        <v>65</v>
      </c>
      <c r="B75" s="105">
        <v>18.11</v>
      </c>
      <c r="C75" s="105">
        <v>2.5499999999999998</v>
      </c>
      <c r="D75" s="105">
        <v>18.11</v>
      </c>
      <c r="E75" s="105">
        <v>2.5499999999999998</v>
      </c>
    </row>
    <row r="76" spans="1:5" x14ac:dyDescent="0.25">
      <c r="A76" s="104">
        <v>66</v>
      </c>
      <c r="B76" s="105">
        <v>17.45</v>
      </c>
      <c r="C76" s="105">
        <v>2.5499999999999998</v>
      </c>
      <c r="D76" s="105">
        <v>17.45</v>
      </c>
      <c r="E76" s="105">
        <v>2.5499999999999998</v>
      </c>
    </row>
    <row r="77" spans="1:5" x14ac:dyDescent="0.25">
      <c r="A77" s="104">
        <v>67</v>
      </c>
      <c r="B77" s="105">
        <v>16.79</v>
      </c>
      <c r="C77" s="105">
        <v>2.5499999999999998</v>
      </c>
      <c r="D77" s="105">
        <v>16.79</v>
      </c>
      <c r="E77" s="105">
        <v>2.5499999999999998</v>
      </c>
    </row>
    <row r="78" spans="1:5" x14ac:dyDescent="0.25">
      <c r="A78" s="104">
        <v>68</v>
      </c>
      <c r="B78" s="105">
        <v>16.13</v>
      </c>
      <c r="C78" s="105">
        <v>2.5499999999999998</v>
      </c>
      <c r="D78" s="105">
        <v>16.13</v>
      </c>
      <c r="E78" s="105">
        <v>2.5499999999999998</v>
      </c>
    </row>
    <row r="79" spans="1:5" x14ac:dyDescent="0.25">
      <c r="A79" s="104">
        <v>69</v>
      </c>
      <c r="B79" s="105">
        <v>15.48</v>
      </c>
      <c r="C79" s="105">
        <v>2.54</v>
      </c>
      <c r="D79" s="105">
        <v>15.48</v>
      </c>
      <c r="E79" s="105">
        <v>2.54</v>
      </c>
    </row>
    <row r="80" spans="1:5" x14ac:dyDescent="0.25">
      <c r="A80" s="104">
        <v>70</v>
      </c>
      <c r="B80" s="105">
        <v>14.84</v>
      </c>
      <c r="C80" s="105">
        <v>2.5299999999999998</v>
      </c>
      <c r="D80" s="105">
        <v>14.84</v>
      </c>
      <c r="E80" s="105">
        <v>2.5299999999999998</v>
      </c>
    </row>
    <row r="81" spans="1:5" x14ac:dyDescent="0.25">
      <c r="A81" s="104">
        <v>71</v>
      </c>
      <c r="B81" s="105">
        <v>14.2</v>
      </c>
      <c r="C81" s="105">
        <v>2.5099999999999998</v>
      </c>
      <c r="D81" s="105">
        <v>14.2</v>
      </c>
      <c r="E81" s="105">
        <v>2.5099999999999998</v>
      </c>
    </row>
    <row r="82" spans="1:5" x14ac:dyDescent="0.25">
      <c r="A82" s="104">
        <v>72</v>
      </c>
      <c r="B82" s="105">
        <v>13.57</v>
      </c>
      <c r="C82" s="105">
        <v>2.5</v>
      </c>
      <c r="D82" s="105">
        <v>13.57</v>
      </c>
      <c r="E82" s="105">
        <v>2.5</v>
      </c>
    </row>
    <row r="83" spans="1:5" x14ac:dyDescent="0.25">
      <c r="A83" s="104">
        <v>73</v>
      </c>
      <c r="B83" s="105">
        <v>12.94</v>
      </c>
      <c r="C83" s="105">
        <v>2.4700000000000002</v>
      </c>
      <c r="D83" s="105">
        <v>12.94</v>
      </c>
      <c r="E83" s="105">
        <v>2.4700000000000002</v>
      </c>
    </row>
    <row r="84" spans="1:5" x14ac:dyDescent="0.25">
      <c r="A84" s="104">
        <v>74</v>
      </c>
      <c r="B84" s="105">
        <v>12.31</v>
      </c>
      <c r="C84" s="105">
        <v>2.4500000000000002</v>
      </c>
      <c r="D84" s="105">
        <v>12.31</v>
      </c>
      <c r="E84" s="105">
        <v>2.4500000000000002</v>
      </c>
    </row>
    <row r="85" spans="1:5" x14ac:dyDescent="0.25">
      <c r="A85" s="104">
        <v>75</v>
      </c>
      <c r="B85" s="105">
        <v>11.69</v>
      </c>
      <c r="C85" s="105">
        <v>2.42</v>
      </c>
      <c r="D85" s="105">
        <v>11.69</v>
      </c>
      <c r="E85" s="105">
        <v>2.42</v>
      </c>
    </row>
  </sheetData>
  <sheetProtection algorithmName="SHA-512" hashValue="/suoSLe4tZPveSx34X38aimfP6se2Lw2ILV/CCdyXDogO3RwhCXomUsOuM2GNw88oxU8jNwoYAppRJGd92YnZQ==" saltValue="mT3HcF8qgTDFUR1X/Ma4og==" spinCount="100000" sheet="1" objects="1" scenarios="1"/>
  <conditionalFormatting sqref="A6:A21">
    <cfRule type="expression" dxfId="1389" priority="1" stopIfTrue="1">
      <formula>MOD(ROW(),2)=0</formula>
    </cfRule>
    <cfRule type="expression" dxfId="1388" priority="2" stopIfTrue="1">
      <formula>MOD(ROW(),2)&lt;&gt;0</formula>
    </cfRule>
  </conditionalFormatting>
  <conditionalFormatting sqref="A26:A85">
    <cfRule type="expression" dxfId="1387" priority="7" stopIfTrue="1">
      <formula>MOD(ROW(),2)=0</formula>
    </cfRule>
    <cfRule type="expression" dxfId="1386" priority="8" stopIfTrue="1">
      <formula>MOD(ROW(),2)&lt;&gt;0</formula>
    </cfRule>
  </conditionalFormatting>
  <conditionalFormatting sqref="B12">
    <cfRule type="expression" dxfId="1385" priority="11" stopIfTrue="1">
      <formula>MOD(ROW(),2)=0</formula>
    </cfRule>
    <cfRule type="expression" dxfId="1384" priority="12" stopIfTrue="1">
      <formula>MOD(ROW(),2)&lt;&gt;0</formula>
    </cfRule>
  </conditionalFormatting>
  <conditionalFormatting sqref="B17:B20">
    <cfRule type="expression" dxfId="1383" priority="5" stopIfTrue="1">
      <formula>MOD(ROW(),2)=0</formula>
    </cfRule>
    <cfRule type="expression" dxfId="1382" priority="6" stopIfTrue="1">
      <formula>MOD(ROW(),2)&lt;&gt;0</formula>
    </cfRule>
  </conditionalFormatting>
  <conditionalFormatting sqref="B6:E6 C7:E7 B8:E11 C12:E12 B13:E16 C17:E20">
    <cfRule type="expression" dxfId="1381" priority="47" stopIfTrue="1">
      <formula>MOD(ROW(),2)=0</formula>
    </cfRule>
    <cfRule type="expression" dxfId="1380" priority="48" stopIfTrue="1">
      <formula>MOD(ROW(),2)&lt;&gt;0</formula>
    </cfRule>
  </conditionalFormatting>
  <conditionalFormatting sqref="B6:E21">
    <cfRule type="expression" dxfId="1379" priority="35" stopIfTrue="1">
      <formula>MOD(ROW(),2)=0</formula>
    </cfRule>
    <cfRule type="expression" dxfId="1378" priority="36" stopIfTrue="1">
      <formula>MOD(ROW(),2)&lt;&gt;0</formula>
    </cfRule>
  </conditionalFormatting>
  <conditionalFormatting sqref="B21:E21">
    <cfRule type="expression" dxfId="1377" priority="3" stopIfTrue="1">
      <formula>MOD(ROW(),2)=0</formula>
    </cfRule>
    <cfRule type="expression" dxfId="1376" priority="4" stopIfTrue="1">
      <formula>MOD(ROW(),2)&lt;&gt;0</formula>
    </cfRule>
  </conditionalFormatting>
  <conditionalFormatting sqref="B26:E85">
    <cfRule type="expression" dxfId="1375" priority="9" stopIfTrue="1">
      <formula>MOD(ROW(),2)=0</formula>
    </cfRule>
    <cfRule type="expression" dxfId="1374" priority="10" stopIfTrue="1">
      <formula>MOD(ROW(),2)&lt;&gt;0</formula>
    </cfRule>
  </conditionalFormatting>
  <hyperlinks>
    <hyperlink ref="B24" location="Sheet1!A1" display="Assumptions" xr:uid="{B4AA9952-3BC3-49F2-B90F-866EAE325EF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9"/>
  <dimension ref="A1:I85"/>
  <sheetViews>
    <sheetView showGridLines="0" zoomScale="85" zoomScaleNormal="85" workbookViewId="0">
      <selection activeCell="A4" sqref="A4"/>
    </sheetView>
  </sheetViews>
  <sheetFormatPr defaultColWidth="10" defaultRowHeight="13.2" x14ac:dyDescent="0.25"/>
  <cols>
    <col min="1" max="1" width="31.5546875" style="27" customWidth="1"/>
    <col min="2" max="7" width="22.5546875" style="27" customWidth="1"/>
    <col min="8"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CETV - x-211</v>
      </c>
      <c r="B3" s="42"/>
      <c r="C3" s="42"/>
      <c r="D3" s="42"/>
      <c r="E3" s="42"/>
      <c r="F3" s="42"/>
      <c r="G3" s="42"/>
      <c r="H3" s="42"/>
      <c r="I3" s="42"/>
    </row>
    <row r="4" spans="1:9" x14ac:dyDescent="0.25">
      <c r="A4" s="44"/>
    </row>
    <row r="6" spans="1:9" x14ac:dyDescent="0.25">
      <c r="A6" s="76" t="s">
        <v>290</v>
      </c>
      <c r="B6" s="129" t="s">
        <v>291</v>
      </c>
      <c r="C6" s="129"/>
      <c r="D6" s="129"/>
      <c r="E6" s="129"/>
      <c r="F6" s="129"/>
      <c r="G6" s="129"/>
    </row>
    <row r="7" spans="1:9" x14ac:dyDescent="0.25">
      <c r="A7" s="77" t="s">
        <v>804</v>
      </c>
      <c r="B7" s="129" t="s">
        <v>345</v>
      </c>
      <c r="C7" s="129"/>
      <c r="D7" s="129"/>
      <c r="E7" s="129"/>
      <c r="F7" s="129"/>
      <c r="G7" s="129"/>
    </row>
    <row r="8" spans="1:9" x14ac:dyDescent="0.25">
      <c r="A8" s="77" t="s">
        <v>805</v>
      </c>
      <c r="B8" s="129" t="s">
        <v>86</v>
      </c>
      <c r="C8" s="129"/>
      <c r="D8" s="129"/>
      <c r="E8" s="129"/>
      <c r="F8" s="129"/>
      <c r="G8" s="129"/>
    </row>
    <row r="9" spans="1:9" x14ac:dyDescent="0.25">
      <c r="A9" s="77" t="s">
        <v>296</v>
      </c>
      <c r="B9" s="129" t="s">
        <v>325</v>
      </c>
      <c r="C9" s="129"/>
      <c r="D9" s="129"/>
      <c r="E9" s="129"/>
      <c r="F9" s="129"/>
      <c r="G9" s="129"/>
    </row>
    <row r="10" spans="1:9" x14ac:dyDescent="0.25">
      <c r="A10" s="77" t="s">
        <v>6</v>
      </c>
      <c r="B10" s="129" t="s">
        <v>356</v>
      </c>
      <c r="C10" s="129"/>
      <c r="D10" s="129"/>
      <c r="E10" s="129"/>
      <c r="F10" s="129"/>
      <c r="G10" s="129"/>
    </row>
    <row r="11" spans="1:9" x14ac:dyDescent="0.25">
      <c r="A11" s="77" t="s">
        <v>299</v>
      </c>
      <c r="B11" s="129" t="s">
        <v>327</v>
      </c>
      <c r="C11" s="129"/>
      <c r="D11" s="129"/>
      <c r="E11" s="129"/>
      <c r="F11" s="129"/>
      <c r="G11" s="129"/>
    </row>
    <row r="12" spans="1:9" x14ac:dyDescent="0.25">
      <c r="A12" s="77" t="s">
        <v>301</v>
      </c>
      <c r="B12" s="129" t="s">
        <v>328</v>
      </c>
      <c r="C12" s="129"/>
      <c r="D12" s="129"/>
      <c r="E12" s="129"/>
      <c r="F12" s="129"/>
      <c r="G12" s="129"/>
    </row>
    <row r="13" spans="1:9" x14ac:dyDescent="0.25">
      <c r="A13" s="77" t="s">
        <v>806</v>
      </c>
      <c r="B13" s="129">
        <v>1</v>
      </c>
      <c r="C13" s="129"/>
      <c r="D13" s="129"/>
      <c r="E13" s="129"/>
      <c r="F13" s="129"/>
      <c r="G13" s="129"/>
    </row>
    <row r="14" spans="1:9" x14ac:dyDescent="0.25">
      <c r="A14" s="77" t="s">
        <v>305</v>
      </c>
      <c r="B14" s="129">
        <v>211</v>
      </c>
      <c r="C14" s="129"/>
      <c r="D14" s="129"/>
      <c r="E14" s="129"/>
      <c r="F14" s="129"/>
      <c r="G14" s="129"/>
    </row>
    <row r="15" spans="1:9" x14ac:dyDescent="0.25">
      <c r="A15" s="77" t="s">
        <v>307</v>
      </c>
      <c r="B15" s="129" t="s">
        <v>357</v>
      </c>
      <c r="C15" s="129"/>
      <c r="D15" s="129"/>
      <c r="E15" s="129"/>
      <c r="F15" s="129"/>
      <c r="G15" s="129"/>
    </row>
    <row r="16" spans="1:9" x14ac:dyDescent="0.25">
      <c r="A16" s="77" t="s">
        <v>309</v>
      </c>
      <c r="B16" s="129" t="s">
        <v>358</v>
      </c>
      <c r="C16" s="129"/>
      <c r="D16" s="129"/>
      <c r="E16" s="129"/>
      <c r="F16" s="129"/>
      <c r="G16" s="129"/>
    </row>
    <row r="17" spans="1:7" x14ac:dyDescent="0.25">
      <c r="A17" s="77" t="s">
        <v>803</v>
      </c>
      <c r="B17" s="129"/>
      <c r="C17" s="129"/>
      <c r="D17" s="129"/>
      <c r="E17" s="129"/>
      <c r="F17" s="129"/>
      <c r="G17" s="129"/>
    </row>
    <row r="18" spans="1:7" x14ac:dyDescent="0.25">
      <c r="A18" s="77" t="s">
        <v>313</v>
      </c>
      <c r="B18" s="187">
        <v>45071</v>
      </c>
      <c r="C18" s="129"/>
      <c r="D18" s="129"/>
      <c r="E18" s="129"/>
      <c r="F18" s="129"/>
      <c r="G18" s="129"/>
    </row>
    <row r="19" spans="1:7" x14ac:dyDescent="0.25">
      <c r="A19" s="77" t="s">
        <v>315</v>
      </c>
      <c r="B19" s="187"/>
      <c r="C19" s="129"/>
      <c r="D19" s="129"/>
      <c r="E19" s="129"/>
      <c r="F19" s="129"/>
      <c r="G19" s="129"/>
    </row>
    <row r="20" spans="1:7" x14ac:dyDescent="0.25">
      <c r="A20" s="77" t="s">
        <v>317</v>
      </c>
      <c r="B20" s="129" t="s">
        <v>331</v>
      </c>
      <c r="C20" s="129"/>
      <c r="D20" s="129"/>
      <c r="E20" s="129"/>
      <c r="F20" s="129"/>
      <c r="G20" s="129"/>
    </row>
    <row r="21" spans="1:7" x14ac:dyDescent="0.25">
      <c r="A21" s="77" t="s">
        <v>323</v>
      </c>
      <c r="B21" s="129" t="s">
        <v>332</v>
      </c>
      <c r="C21" s="129"/>
      <c r="D21" s="129"/>
      <c r="E21" s="129"/>
      <c r="F21" s="129"/>
      <c r="G21" s="129"/>
    </row>
    <row r="23" spans="1:7" x14ac:dyDescent="0.25">
      <c r="B23" s="102" t="str">
        <f>HYPERLINK("#'Factor List'!A1","Back to Factor List")</f>
        <v>Back to Factor List</v>
      </c>
    </row>
    <row r="24" spans="1:7" x14ac:dyDescent="0.25">
      <c r="B24" s="102" t="s">
        <v>13</v>
      </c>
    </row>
    <row r="25" spans="1:7" x14ac:dyDescent="0.25">
      <c r="B25" s="102"/>
    </row>
    <row r="26" spans="1:7" ht="38.700000000000003" customHeight="1" x14ac:dyDescent="0.25">
      <c r="A26" s="103" t="s">
        <v>373</v>
      </c>
      <c r="B26" s="103" t="s">
        <v>816</v>
      </c>
      <c r="C26" s="103" t="s">
        <v>817</v>
      </c>
      <c r="D26" s="103" t="s">
        <v>818</v>
      </c>
      <c r="E26" s="103" t="s">
        <v>819</v>
      </c>
      <c r="F26" s="103" t="s">
        <v>820</v>
      </c>
      <c r="G26" s="103" t="s">
        <v>821</v>
      </c>
    </row>
    <row r="27" spans="1:7" x14ac:dyDescent="0.25">
      <c r="A27" s="104">
        <v>17</v>
      </c>
      <c r="B27" s="105">
        <v>5.47</v>
      </c>
      <c r="C27" s="105">
        <v>0.3</v>
      </c>
      <c r="D27" s="105">
        <v>5.78</v>
      </c>
      <c r="E27" s="105">
        <v>5.47</v>
      </c>
      <c r="F27" s="105">
        <v>0.3</v>
      </c>
      <c r="G27" s="105">
        <v>5.78</v>
      </c>
    </row>
    <row r="28" spans="1:7" x14ac:dyDescent="0.25">
      <c r="A28" s="104">
        <v>18</v>
      </c>
      <c r="B28" s="105">
        <v>5.67</v>
      </c>
      <c r="C28" s="105">
        <v>0.33</v>
      </c>
      <c r="D28" s="105">
        <v>5.99</v>
      </c>
      <c r="E28" s="105">
        <v>5.67</v>
      </c>
      <c r="F28" s="105">
        <v>0.33</v>
      </c>
      <c r="G28" s="105">
        <v>5.99</v>
      </c>
    </row>
    <row r="29" spans="1:7" x14ac:dyDescent="0.25">
      <c r="A29" s="104">
        <v>19</v>
      </c>
      <c r="B29" s="105">
        <v>5.86</v>
      </c>
      <c r="C29" s="105">
        <v>0.34</v>
      </c>
      <c r="D29" s="105">
        <v>6.21</v>
      </c>
      <c r="E29" s="105">
        <v>5.86</v>
      </c>
      <c r="F29" s="105">
        <v>0.34</v>
      </c>
      <c r="G29" s="105">
        <v>6.21</v>
      </c>
    </row>
    <row r="30" spans="1:7" x14ac:dyDescent="0.25">
      <c r="A30" s="104">
        <v>20</v>
      </c>
      <c r="B30" s="105">
        <v>6.07</v>
      </c>
      <c r="C30" s="105">
        <v>0.35</v>
      </c>
      <c r="D30" s="105">
        <v>6.43</v>
      </c>
      <c r="E30" s="105">
        <v>6.07</v>
      </c>
      <c r="F30" s="105">
        <v>0.35</v>
      </c>
      <c r="G30" s="105">
        <v>6.43</v>
      </c>
    </row>
    <row r="31" spans="1:7" x14ac:dyDescent="0.25">
      <c r="A31" s="104">
        <v>21</v>
      </c>
      <c r="B31" s="105">
        <v>6.29</v>
      </c>
      <c r="C31" s="105">
        <v>0.37</v>
      </c>
      <c r="D31" s="105">
        <v>6.65</v>
      </c>
      <c r="E31" s="105">
        <v>6.29</v>
      </c>
      <c r="F31" s="105">
        <v>0.37</v>
      </c>
      <c r="G31" s="105">
        <v>6.65</v>
      </c>
    </row>
    <row r="32" spans="1:7" x14ac:dyDescent="0.25">
      <c r="A32" s="104">
        <v>22</v>
      </c>
      <c r="B32" s="105">
        <v>6.51</v>
      </c>
      <c r="C32" s="105">
        <v>0.38</v>
      </c>
      <c r="D32" s="105">
        <v>6.89</v>
      </c>
      <c r="E32" s="105">
        <v>6.51</v>
      </c>
      <c r="F32" s="105">
        <v>0.38</v>
      </c>
      <c r="G32" s="105">
        <v>6.89</v>
      </c>
    </row>
    <row r="33" spans="1:7" x14ac:dyDescent="0.25">
      <c r="A33" s="104">
        <v>23</v>
      </c>
      <c r="B33" s="105">
        <v>6.74</v>
      </c>
      <c r="C33" s="105">
        <v>0.4</v>
      </c>
      <c r="D33" s="105">
        <v>7.13</v>
      </c>
      <c r="E33" s="105">
        <v>6.74</v>
      </c>
      <c r="F33" s="105">
        <v>0.4</v>
      </c>
      <c r="G33" s="105">
        <v>7.13</v>
      </c>
    </row>
    <row r="34" spans="1:7" x14ac:dyDescent="0.25">
      <c r="A34" s="104">
        <v>24</v>
      </c>
      <c r="B34" s="105">
        <v>6.97</v>
      </c>
      <c r="C34" s="105">
        <v>0.41</v>
      </c>
      <c r="D34" s="105">
        <v>7.38</v>
      </c>
      <c r="E34" s="105">
        <v>6.97</v>
      </c>
      <c r="F34" s="105">
        <v>0.41</v>
      </c>
      <c r="G34" s="105">
        <v>7.38</v>
      </c>
    </row>
    <row r="35" spans="1:7" x14ac:dyDescent="0.25">
      <c r="A35" s="104">
        <v>25</v>
      </c>
      <c r="B35" s="105">
        <v>7.22</v>
      </c>
      <c r="C35" s="105">
        <v>0.42</v>
      </c>
      <c r="D35" s="105">
        <v>7.64</v>
      </c>
      <c r="E35" s="105">
        <v>7.22</v>
      </c>
      <c r="F35" s="105">
        <v>0.42</v>
      </c>
      <c r="G35" s="105">
        <v>7.64</v>
      </c>
    </row>
    <row r="36" spans="1:7" x14ac:dyDescent="0.25">
      <c r="A36" s="104">
        <v>26</v>
      </c>
      <c r="B36" s="105">
        <v>7.47</v>
      </c>
      <c r="C36" s="105">
        <v>0.44</v>
      </c>
      <c r="D36" s="105">
        <v>7.91</v>
      </c>
      <c r="E36" s="105">
        <v>7.47</v>
      </c>
      <c r="F36" s="105">
        <v>0.44</v>
      </c>
      <c r="G36" s="105">
        <v>7.91</v>
      </c>
    </row>
    <row r="37" spans="1:7" x14ac:dyDescent="0.25">
      <c r="A37" s="104">
        <v>27</v>
      </c>
      <c r="B37" s="105">
        <v>7.74</v>
      </c>
      <c r="C37" s="105">
        <v>0.46</v>
      </c>
      <c r="D37" s="105">
        <v>8.19</v>
      </c>
      <c r="E37" s="105">
        <v>7.74</v>
      </c>
      <c r="F37" s="105">
        <v>0.46</v>
      </c>
      <c r="G37" s="105">
        <v>8.19</v>
      </c>
    </row>
    <row r="38" spans="1:7" x14ac:dyDescent="0.25">
      <c r="A38" s="104">
        <v>28</v>
      </c>
      <c r="B38" s="105">
        <v>8.01</v>
      </c>
      <c r="C38" s="105">
        <v>0.47</v>
      </c>
      <c r="D38" s="105">
        <v>8.48</v>
      </c>
      <c r="E38" s="105">
        <v>8.01</v>
      </c>
      <c r="F38" s="105">
        <v>0.47</v>
      </c>
      <c r="G38" s="105">
        <v>8.48</v>
      </c>
    </row>
    <row r="39" spans="1:7" x14ac:dyDescent="0.25">
      <c r="A39" s="104">
        <v>29</v>
      </c>
      <c r="B39" s="105">
        <v>8.2899999999999991</v>
      </c>
      <c r="C39" s="105">
        <v>0.49</v>
      </c>
      <c r="D39" s="105">
        <v>8.7799999999999994</v>
      </c>
      <c r="E39" s="105">
        <v>8.2899999999999991</v>
      </c>
      <c r="F39" s="105">
        <v>0.49</v>
      </c>
      <c r="G39" s="105">
        <v>8.7799999999999994</v>
      </c>
    </row>
    <row r="40" spans="1:7" x14ac:dyDescent="0.25">
      <c r="A40" s="104">
        <v>30</v>
      </c>
      <c r="B40" s="105">
        <v>8.59</v>
      </c>
      <c r="C40" s="105">
        <v>0.51</v>
      </c>
      <c r="D40" s="105">
        <v>9.09</v>
      </c>
      <c r="E40" s="105">
        <v>8.59</v>
      </c>
      <c r="F40" s="105">
        <v>0.51</v>
      </c>
      <c r="G40" s="105">
        <v>9.09</v>
      </c>
    </row>
    <row r="41" spans="1:7" x14ac:dyDescent="0.25">
      <c r="A41" s="104">
        <v>31</v>
      </c>
      <c r="B41" s="105">
        <v>8.89</v>
      </c>
      <c r="C41" s="105">
        <v>0.52</v>
      </c>
      <c r="D41" s="105">
        <v>9.41</v>
      </c>
      <c r="E41" s="105">
        <v>8.89</v>
      </c>
      <c r="F41" s="105">
        <v>0.52</v>
      </c>
      <c r="G41" s="105">
        <v>9.41</v>
      </c>
    </row>
    <row r="42" spans="1:7" x14ac:dyDescent="0.25">
      <c r="A42" s="104">
        <v>32</v>
      </c>
      <c r="B42" s="105">
        <v>9.1999999999999993</v>
      </c>
      <c r="C42" s="105">
        <v>0.54</v>
      </c>
      <c r="D42" s="105">
        <v>9.75</v>
      </c>
      <c r="E42" s="105">
        <v>9.1999999999999993</v>
      </c>
      <c r="F42" s="105">
        <v>0.54</v>
      </c>
      <c r="G42" s="105">
        <v>9.75</v>
      </c>
    </row>
    <row r="43" spans="1:7" x14ac:dyDescent="0.25">
      <c r="A43" s="104">
        <v>33</v>
      </c>
      <c r="B43" s="105">
        <v>9.5299999999999994</v>
      </c>
      <c r="C43" s="105">
        <v>0.56000000000000005</v>
      </c>
      <c r="D43" s="105">
        <v>10.09</v>
      </c>
      <c r="E43" s="105">
        <v>9.5299999999999994</v>
      </c>
      <c r="F43" s="105">
        <v>0.56000000000000005</v>
      </c>
      <c r="G43" s="105">
        <v>10.09</v>
      </c>
    </row>
    <row r="44" spans="1:7" x14ac:dyDescent="0.25">
      <c r="A44" s="104">
        <v>34</v>
      </c>
      <c r="B44" s="105">
        <v>9.8699999999999992</v>
      </c>
      <c r="C44" s="105">
        <v>0.57999999999999996</v>
      </c>
      <c r="D44" s="105">
        <v>10.45</v>
      </c>
      <c r="E44" s="105">
        <v>9.8699999999999992</v>
      </c>
      <c r="F44" s="105">
        <v>0.57999999999999996</v>
      </c>
      <c r="G44" s="105">
        <v>10.45</v>
      </c>
    </row>
    <row r="45" spans="1:7" x14ac:dyDescent="0.25">
      <c r="A45" s="104">
        <v>35</v>
      </c>
      <c r="B45" s="105">
        <v>10.220000000000001</v>
      </c>
      <c r="C45" s="105">
        <v>0.6</v>
      </c>
      <c r="D45" s="105">
        <v>10.82</v>
      </c>
      <c r="E45" s="105">
        <v>10.220000000000001</v>
      </c>
      <c r="F45" s="105">
        <v>0.6</v>
      </c>
      <c r="G45" s="105">
        <v>10.82</v>
      </c>
    </row>
    <row r="46" spans="1:7" x14ac:dyDescent="0.25">
      <c r="A46" s="104">
        <v>36</v>
      </c>
      <c r="B46" s="105">
        <v>10.58</v>
      </c>
      <c r="C46" s="105">
        <v>0.62</v>
      </c>
      <c r="D46" s="105">
        <v>11.2</v>
      </c>
      <c r="E46" s="105">
        <v>10.58</v>
      </c>
      <c r="F46" s="105">
        <v>0.62</v>
      </c>
      <c r="G46" s="105">
        <v>11.2</v>
      </c>
    </row>
    <row r="47" spans="1:7" x14ac:dyDescent="0.25">
      <c r="A47" s="104">
        <v>37</v>
      </c>
      <c r="B47" s="105">
        <v>10.95</v>
      </c>
      <c r="C47" s="105">
        <v>0.64</v>
      </c>
      <c r="D47" s="105">
        <v>11.59</v>
      </c>
      <c r="E47" s="105">
        <v>10.95</v>
      </c>
      <c r="F47" s="105">
        <v>0.64</v>
      </c>
      <c r="G47" s="105">
        <v>11.59</v>
      </c>
    </row>
    <row r="48" spans="1:7" x14ac:dyDescent="0.25">
      <c r="A48" s="104">
        <v>38</v>
      </c>
      <c r="B48" s="105">
        <v>11.34</v>
      </c>
      <c r="C48" s="105">
        <v>0.66</v>
      </c>
      <c r="D48" s="105">
        <v>12</v>
      </c>
      <c r="E48" s="105">
        <v>11.34</v>
      </c>
      <c r="F48" s="105">
        <v>0.66</v>
      </c>
      <c r="G48" s="105">
        <v>12</v>
      </c>
    </row>
    <row r="49" spans="1:7" x14ac:dyDescent="0.25">
      <c r="A49" s="104">
        <v>39</v>
      </c>
      <c r="B49" s="105">
        <v>11.75</v>
      </c>
      <c r="C49" s="105">
        <v>0.68</v>
      </c>
      <c r="D49" s="105">
        <v>12.43</v>
      </c>
      <c r="E49" s="105">
        <v>11.75</v>
      </c>
      <c r="F49" s="105">
        <v>0.68</v>
      </c>
      <c r="G49" s="105">
        <v>12.43</v>
      </c>
    </row>
    <row r="50" spans="1:7" x14ac:dyDescent="0.25">
      <c r="A50" s="104">
        <v>40</v>
      </c>
      <c r="B50" s="105">
        <v>12.16</v>
      </c>
      <c r="C50" s="105">
        <v>0.7</v>
      </c>
      <c r="D50" s="105">
        <v>12.87</v>
      </c>
      <c r="E50" s="105">
        <v>12.16</v>
      </c>
      <c r="F50" s="105">
        <v>0.7</v>
      </c>
      <c r="G50" s="105">
        <v>12.87</v>
      </c>
    </row>
    <row r="51" spans="1:7" x14ac:dyDescent="0.25">
      <c r="A51" s="104">
        <v>41</v>
      </c>
      <c r="B51" s="105">
        <v>12.6</v>
      </c>
      <c r="C51" s="105">
        <v>0.73</v>
      </c>
      <c r="D51" s="105">
        <v>13.33</v>
      </c>
      <c r="E51" s="105">
        <v>12.6</v>
      </c>
      <c r="F51" s="105">
        <v>0.73</v>
      </c>
      <c r="G51" s="105">
        <v>13.33</v>
      </c>
    </row>
    <row r="52" spans="1:7" x14ac:dyDescent="0.25">
      <c r="A52" s="104">
        <v>42</v>
      </c>
      <c r="B52" s="105">
        <v>13.05</v>
      </c>
      <c r="C52" s="105">
        <v>0.75</v>
      </c>
      <c r="D52" s="105">
        <v>13.8</v>
      </c>
      <c r="E52" s="105">
        <v>13.05</v>
      </c>
      <c r="F52" s="105">
        <v>0.75</v>
      </c>
      <c r="G52" s="105">
        <v>13.8</v>
      </c>
    </row>
    <row r="53" spans="1:7" x14ac:dyDescent="0.25">
      <c r="A53" s="104">
        <v>43</v>
      </c>
      <c r="B53" s="105">
        <v>13.51</v>
      </c>
      <c r="C53" s="105">
        <v>0.77</v>
      </c>
      <c r="D53" s="105">
        <v>14.29</v>
      </c>
      <c r="E53" s="105">
        <v>13.51</v>
      </c>
      <c r="F53" s="105">
        <v>0.77</v>
      </c>
      <c r="G53" s="105">
        <v>14.29</v>
      </c>
    </row>
    <row r="54" spans="1:7" x14ac:dyDescent="0.25">
      <c r="A54" s="104">
        <v>44</v>
      </c>
      <c r="B54" s="105">
        <v>14</v>
      </c>
      <c r="C54" s="105">
        <v>0.8</v>
      </c>
      <c r="D54" s="105">
        <v>14.8</v>
      </c>
      <c r="E54" s="105">
        <v>14</v>
      </c>
      <c r="F54" s="105">
        <v>0.8</v>
      </c>
      <c r="G54" s="105">
        <v>14.8</v>
      </c>
    </row>
    <row r="55" spans="1:7" x14ac:dyDescent="0.25">
      <c r="A55" s="104">
        <v>45</v>
      </c>
      <c r="B55" s="105">
        <v>14.5</v>
      </c>
      <c r="C55" s="105">
        <v>0.82</v>
      </c>
      <c r="D55" s="105">
        <v>15.32</v>
      </c>
      <c r="E55" s="105">
        <v>14.5</v>
      </c>
      <c r="F55" s="105">
        <v>0.82</v>
      </c>
      <c r="G55" s="105">
        <v>15.32</v>
      </c>
    </row>
    <row r="56" spans="1:7" x14ac:dyDescent="0.25">
      <c r="A56" s="104">
        <v>46</v>
      </c>
      <c r="B56" s="105">
        <v>15.02</v>
      </c>
      <c r="C56" s="105">
        <v>0.85</v>
      </c>
      <c r="D56" s="105">
        <v>15.87</v>
      </c>
      <c r="E56" s="105">
        <v>15.02</v>
      </c>
      <c r="F56" s="105">
        <v>0.85</v>
      </c>
      <c r="G56" s="105">
        <v>15.87</v>
      </c>
    </row>
    <row r="57" spans="1:7" x14ac:dyDescent="0.25">
      <c r="A57" s="104">
        <v>47</v>
      </c>
      <c r="B57" s="105">
        <v>15.56</v>
      </c>
      <c r="C57" s="105">
        <v>0.87</v>
      </c>
      <c r="D57" s="105">
        <v>16.43</v>
      </c>
      <c r="E57" s="105">
        <v>15.56</v>
      </c>
      <c r="F57" s="105">
        <v>0.87</v>
      </c>
      <c r="G57" s="105">
        <v>16.43</v>
      </c>
    </row>
    <row r="58" spans="1:7" x14ac:dyDescent="0.25">
      <c r="A58" s="104">
        <v>48</v>
      </c>
      <c r="B58" s="105">
        <v>16.13</v>
      </c>
      <c r="C58" s="105">
        <v>0.89</v>
      </c>
      <c r="D58" s="105">
        <v>17.02</v>
      </c>
      <c r="E58" s="105">
        <v>16.13</v>
      </c>
      <c r="F58" s="105">
        <v>0.89</v>
      </c>
      <c r="G58" s="105">
        <v>17.02</v>
      </c>
    </row>
    <row r="59" spans="1:7" x14ac:dyDescent="0.25">
      <c r="A59" s="104">
        <v>49</v>
      </c>
      <c r="B59" s="105">
        <v>16.71</v>
      </c>
      <c r="C59" s="105">
        <v>0.92</v>
      </c>
      <c r="D59" s="105">
        <v>17.63</v>
      </c>
      <c r="E59" s="105">
        <v>16.71</v>
      </c>
      <c r="F59" s="105">
        <v>0.92</v>
      </c>
      <c r="G59" s="105">
        <v>17.63</v>
      </c>
    </row>
    <row r="60" spans="1:7" x14ac:dyDescent="0.25">
      <c r="A60" s="104">
        <v>50</v>
      </c>
      <c r="B60" s="105">
        <v>17.32</v>
      </c>
      <c r="C60" s="105">
        <v>0.95</v>
      </c>
      <c r="D60" s="105">
        <v>18.260000000000002</v>
      </c>
      <c r="E60" s="105">
        <v>17.32</v>
      </c>
      <c r="F60" s="105">
        <v>0.95</v>
      </c>
      <c r="G60" s="105">
        <v>18.260000000000002</v>
      </c>
    </row>
    <row r="61" spans="1:7" x14ac:dyDescent="0.25">
      <c r="A61" s="104">
        <v>51</v>
      </c>
      <c r="B61" s="105">
        <v>17.95</v>
      </c>
      <c r="C61" s="105">
        <v>0.97</v>
      </c>
      <c r="D61" s="105">
        <v>18.920000000000002</v>
      </c>
      <c r="E61" s="105">
        <v>17.95</v>
      </c>
      <c r="F61" s="105">
        <v>0.97</v>
      </c>
      <c r="G61" s="105">
        <v>18.920000000000002</v>
      </c>
    </row>
    <row r="62" spans="1:7" x14ac:dyDescent="0.25">
      <c r="A62" s="104">
        <v>52</v>
      </c>
      <c r="B62" s="105">
        <v>18.600000000000001</v>
      </c>
      <c r="C62" s="105">
        <v>1</v>
      </c>
      <c r="D62" s="105">
        <v>19.600000000000001</v>
      </c>
      <c r="E62" s="105">
        <v>18.600000000000001</v>
      </c>
      <c r="F62" s="105">
        <v>1</v>
      </c>
      <c r="G62" s="105">
        <v>19.600000000000001</v>
      </c>
    </row>
    <row r="63" spans="1:7" x14ac:dyDescent="0.25">
      <c r="A63" s="104">
        <v>53</v>
      </c>
      <c r="B63" s="105">
        <v>19.29</v>
      </c>
      <c r="C63" s="105">
        <v>1.02</v>
      </c>
      <c r="D63" s="105">
        <v>20.309999999999999</v>
      </c>
      <c r="E63" s="105">
        <v>19.29</v>
      </c>
      <c r="F63" s="105">
        <v>1.02</v>
      </c>
      <c r="G63" s="105">
        <v>20.309999999999999</v>
      </c>
    </row>
    <row r="64" spans="1:7" x14ac:dyDescent="0.25">
      <c r="A64" s="104">
        <v>54</v>
      </c>
      <c r="B64" s="105">
        <v>20</v>
      </c>
      <c r="C64" s="105">
        <v>1.05</v>
      </c>
      <c r="D64" s="105">
        <v>21.05</v>
      </c>
      <c r="E64" s="105">
        <v>20</v>
      </c>
      <c r="F64" s="105">
        <v>1.05</v>
      </c>
      <c r="G64" s="105">
        <v>21.05</v>
      </c>
    </row>
    <row r="65" spans="1:7" x14ac:dyDescent="0.25">
      <c r="A65" s="104">
        <v>55</v>
      </c>
      <c r="B65" s="105">
        <v>20.74</v>
      </c>
      <c r="C65" s="105">
        <v>1.08</v>
      </c>
      <c r="D65" s="105">
        <v>21.81</v>
      </c>
      <c r="E65" s="105">
        <v>20.74</v>
      </c>
      <c r="F65" s="105">
        <v>1.08</v>
      </c>
      <c r="G65" s="105">
        <v>21.81</v>
      </c>
    </row>
    <row r="66" spans="1:7" x14ac:dyDescent="0.25">
      <c r="A66" s="104">
        <v>56</v>
      </c>
      <c r="B66" s="105">
        <v>21.51</v>
      </c>
      <c r="C66" s="105">
        <v>1.1000000000000001</v>
      </c>
      <c r="D66" s="105">
        <v>22.61</v>
      </c>
      <c r="E66" s="105">
        <v>21.51</v>
      </c>
      <c r="F66" s="105">
        <v>1.1000000000000001</v>
      </c>
      <c r="G66" s="105">
        <v>22.61</v>
      </c>
    </row>
    <row r="67" spans="1:7" x14ac:dyDescent="0.25">
      <c r="A67" s="104">
        <v>57</v>
      </c>
      <c r="B67" s="105">
        <v>22.32</v>
      </c>
      <c r="C67" s="105">
        <v>1.1299999999999999</v>
      </c>
      <c r="D67" s="105">
        <v>23.44</v>
      </c>
      <c r="E67" s="105">
        <v>22.32</v>
      </c>
      <c r="F67" s="105">
        <v>1.1299999999999999</v>
      </c>
      <c r="G67" s="105">
        <v>23.44</v>
      </c>
    </row>
    <row r="68" spans="1:7" x14ac:dyDescent="0.25">
      <c r="A68" s="104">
        <v>58</v>
      </c>
      <c r="B68" s="105">
        <v>23.16</v>
      </c>
      <c r="C68" s="105">
        <v>1.1499999999999999</v>
      </c>
      <c r="D68" s="105">
        <v>24.31</v>
      </c>
      <c r="E68" s="105">
        <v>23.16</v>
      </c>
      <c r="F68" s="105">
        <v>1.1499999999999999</v>
      </c>
      <c r="G68" s="105">
        <v>24.31</v>
      </c>
    </row>
    <row r="69" spans="1:7" x14ac:dyDescent="0.25">
      <c r="A69" s="104">
        <v>59</v>
      </c>
      <c r="B69" s="105">
        <v>24.04</v>
      </c>
      <c r="C69" s="105">
        <v>1.18</v>
      </c>
      <c r="D69" s="105">
        <v>25.22</v>
      </c>
      <c r="E69" s="105">
        <v>24.04</v>
      </c>
      <c r="F69" s="105">
        <v>1.18</v>
      </c>
      <c r="G69" s="105">
        <v>25.22</v>
      </c>
    </row>
    <row r="70" spans="1:7" x14ac:dyDescent="0.25">
      <c r="A70" s="104">
        <v>60</v>
      </c>
      <c r="B70" s="105">
        <v>24.18</v>
      </c>
      <c r="C70" s="105">
        <v>1.19</v>
      </c>
      <c r="D70" s="105">
        <v>25.37</v>
      </c>
      <c r="E70" s="105">
        <v>24.18</v>
      </c>
      <c r="F70" s="105">
        <v>1.19</v>
      </c>
      <c r="G70" s="105">
        <v>25.37</v>
      </c>
    </row>
    <row r="71" spans="1:7" x14ac:dyDescent="0.25">
      <c r="A71" s="104">
        <v>61</v>
      </c>
      <c r="B71" s="105">
        <v>23.55</v>
      </c>
      <c r="C71" s="105">
        <v>1.2</v>
      </c>
      <c r="D71" s="105">
        <v>24.75</v>
      </c>
      <c r="E71" s="105">
        <v>23.55</v>
      </c>
      <c r="F71" s="105">
        <v>1.2</v>
      </c>
      <c r="G71" s="105">
        <v>24.75</v>
      </c>
    </row>
    <row r="72" spans="1:7" x14ac:dyDescent="0.25">
      <c r="A72" s="104">
        <v>62</v>
      </c>
      <c r="B72" s="105">
        <v>22.93</v>
      </c>
      <c r="C72" s="105">
        <v>1.2</v>
      </c>
      <c r="D72" s="105">
        <v>24.13</v>
      </c>
      <c r="E72" s="105">
        <v>22.93</v>
      </c>
      <c r="F72" s="105">
        <v>1.2</v>
      </c>
      <c r="G72" s="105">
        <v>24.13</v>
      </c>
    </row>
    <row r="73" spans="1:7" x14ac:dyDescent="0.25">
      <c r="A73" s="104">
        <v>63</v>
      </c>
      <c r="B73" s="105">
        <v>22.3</v>
      </c>
      <c r="C73" s="105">
        <v>1.21</v>
      </c>
      <c r="D73" s="105">
        <v>23.51</v>
      </c>
      <c r="E73" s="105">
        <v>22.3</v>
      </c>
      <c r="F73" s="105">
        <v>1.21</v>
      </c>
      <c r="G73" s="105">
        <v>23.51</v>
      </c>
    </row>
    <row r="74" spans="1:7" x14ac:dyDescent="0.25">
      <c r="A74" s="104">
        <v>64</v>
      </c>
      <c r="B74" s="105">
        <v>21.67</v>
      </c>
      <c r="C74" s="105">
        <v>1.21</v>
      </c>
      <c r="D74" s="105">
        <v>22.88</v>
      </c>
      <c r="E74" s="105">
        <v>21.67</v>
      </c>
      <c r="F74" s="105">
        <v>1.21</v>
      </c>
      <c r="G74" s="105">
        <v>22.88</v>
      </c>
    </row>
    <row r="75" spans="1:7" x14ac:dyDescent="0.25">
      <c r="A75" s="104">
        <v>65</v>
      </c>
      <c r="B75" s="105">
        <v>21.04</v>
      </c>
      <c r="C75" s="105">
        <v>1.21</v>
      </c>
      <c r="D75" s="105">
        <v>22.25</v>
      </c>
      <c r="E75" s="105">
        <v>21.04</v>
      </c>
      <c r="F75" s="105">
        <v>1.21</v>
      </c>
      <c r="G75" s="105">
        <v>22.25</v>
      </c>
    </row>
    <row r="76" spans="1:7" x14ac:dyDescent="0.25">
      <c r="A76" s="104">
        <v>66</v>
      </c>
      <c r="B76" s="105">
        <v>20.399999999999999</v>
      </c>
      <c r="C76" s="105">
        <v>1.21</v>
      </c>
      <c r="D76" s="105">
        <v>21.61</v>
      </c>
      <c r="E76" s="105">
        <v>20.399999999999999</v>
      </c>
      <c r="F76" s="105">
        <v>1.21</v>
      </c>
      <c r="G76" s="105">
        <v>21.61</v>
      </c>
    </row>
    <row r="77" spans="1:7" x14ac:dyDescent="0.25">
      <c r="A77" s="104">
        <v>67</v>
      </c>
      <c r="B77" s="105">
        <v>19.760000000000002</v>
      </c>
      <c r="C77" s="105">
        <v>1.21</v>
      </c>
      <c r="D77" s="105">
        <v>20.97</v>
      </c>
      <c r="E77" s="105">
        <v>19.760000000000002</v>
      </c>
      <c r="F77" s="105">
        <v>1.21</v>
      </c>
      <c r="G77" s="105">
        <v>20.97</v>
      </c>
    </row>
    <row r="78" spans="1:7" x14ac:dyDescent="0.25">
      <c r="A78" s="104">
        <v>68</v>
      </c>
      <c r="B78" s="105">
        <v>19.12</v>
      </c>
      <c r="C78" s="105">
        <v>1.21</v>
      </c>
      <c r="D78" s="105">
        <v>20.329999999999998</v>
      </c>
      <c r="E78" s="105">
        <v>19.12</v>
      </c>
      <c r="F78" s="105">
        <v>1.21</v>
      </c>
      <c r="G78" s="105">
        <v>20.329999999999998</v>
      </c>
    </row>
    <row r="79" spans="1:7" x14ac:dyDescent="0.25">
      <c r="A79" s="104">
        <v>69</v>
      </c>
      <c r="B79" s="105">
        <v>18.48</v>
      </c>
      <c r="C79" s="105">
        <v>1.21</v>
      </c>
      <c r="D79" s="105">
        <v>19.690000000000001</v>
      </c>
      <c r="E79" s="105">
        <v>18.48</v>
      </c>
      <c r="F79" s="105">
        <v>1.21</v>
      </c>
      <c r="G79" s="105">
        <v>19.690000000000001</v>
      </c>
    </row>
    <row r="80" spans="1:7" x14ac:dyDescent="0.25">
      <c r="A80" s="104">
        <v>70</v>
      </c>
      <c r="B80" s="105">
        <v>17.84</v>
      </c>
      <c r="C80" s="105">
        <v>1.2</v>
      </c>
      <c r="D80" s="105">
        <v>19.04</v>
      </c>
      <c r="E80" s="105">
        <v>17.84</v>
      </c>
      <c r="F80" s="105">
        <v>1.2</v>
      </c>
      <c r="G80" s="105">
        <v>19.04</v>
      </c>
    </row>
    <row r="81" spans="1:7" x14ac:dyDescent="0.25">
      <c r="A81" s="104">
        <v>71</v>
      </c>
      <c r="B81" s="105">
        <v>17.2</v>
      </c>
      <c r="C81" s="105">
        <v>1.19</v>
      </c>
      <c r="D81" s="105">
        <v>18.39</v>
      </c>
      <c r="E81" s="105">
        <v>17.2</v>
      </c>
      <c r="F81" s="105">
        <v>1.19</v>
      </c>
      <c r="G81" s="105">
        <v>18.39</v>
      </c>
    </row>
    <row r="82" spans="1:7" x14ac:dyDescent="0.25">
      <c r="A82" s="104">
        <v>72</v>
      </c>
      <c r="B82" s="105">
        <v>16.57</v>
      </c>
      <c r="C82" s="105">
        <v>1.19</v>
      </c>
      <c r="D82" s="105">
        <v>17.75</v>
      </c>
      <c r="E82" s="105">
        <v>16.57</v>
      </c>
      <c r="F82" s="105">
        <v>1.19</v>
      </c>
      <c r="G82" s="105">
        <v>17.75</v>
      </c>
    </row>
    <row r="83" spans="1:7" x14ac:dyDescent="0.25">
      <c r="A83" s="104">
        <v>73</v>
      </c>
      <c r="B83" s="105">
        <v>15.94</v>
      </c>
      <c r="C83" s="105">
        <v>1.17</v>
      </c>
      <c r="D83" s="105">
        <v>17.11</v>
      </c>
      <c r="E83" s="105">
        <v>15.94</v>
      </c>
      <c r="F83" s="105">
        <v>1.17</v>
      </c>
      <c r="G83" s="105">
        <v>17.11</v>
      </c>
    </row>
    <row r="84" spans="1:7" x14ac:dyDescent="0.25">
      <c r="A84" s="104">
        <v>74</v>
      </c>
      <c r="B84" s="105">
        <v>15.31</v>
      </c>
      <c r="C84" s="105">
        <v>1.1599999999999999</v>
      </c>
      <c r="D84" s="105">
        <v>16.47</v>
      </c>
      <c r="E84" s="105">
        <v>15.31</v>
      </c>
      <c r="F84" s="105">
        <v>1.1599999999999999</v>
      </c>
      <c r="G84" s="105">
        <v>16.47</v>
      </c>
    </row>
    <row r="85" spans="1:7" x14ac:dyDescent="0.25">
      <c r="A85" s="104">
        <v>75</v>
      </c>
      <c r="B85" s="105">
        <v>14.69</v>
      </c>
      <c r="C85" s="105">
        <v>1.1499999999999999</v>
      </c>
      <c r="D85" s="105">
        <v>15.84</v>
      </c>
      <c r="E85" s="105">
        <v>14.69</v>
      </c>
      <c r="F85" s="105">
        <v>1.1499999999999999</v>
      </c>
      <c r="G85" s="105">
        <v>15.84</v>
      </c>
    </row>
  </sheetData>
  <sheetProtection algorithmName="SHA-512" hashValue="7iH+Upo5riwsz7I/h+H9b6txmeu58nJvaHM119nV50FOVLIYINYJdTFVc3mfSzpqjHbTKN68XGJNavgsqtDdQA==" saltValue="O4Zm7wKJYdEN3A/I4YXQmA==" spinCount="100000" sheet="1" objects="1" scenarios="1"/>
  <conditionalFormatting sqref="A6:A21">
    <cfRule type="expression" dxfId="1373" priority="1" stopIfTrue="1">
      <formula>MOD(ROW(),2)=0</formula>
    </cfRule>
    <cfRule type="expression" dxfId="1372" priority="2" stopIfTrue="1">
      <formula>MOD(ROW(),2)&lt;&gt;0</formula>
    </cfRule>
  </conditionalFormatting>
  <conditionalFormatting sqref="A26:A85">
    <cfRule type="expression" dxfId="1371" priority="7" stopIfTrue="1">
      <formula>MOD(ROW(),2)=0</formula>
    </cfRule>
    <cfRule type="expression" dxfId="1370" priority="8" stopIfTrue="1">
      <formula>MOD(ROW(),2)&lt;&gt;0</formula>
    </cfRule>
  </conditionalFormatting>
  <conditionalFormatting sqref="B12">
    <cfRule type="expression" dxfId="1369" priority="11" stopIfTrue="1">
      <formula>MOD(ROW(),2)=0</formula>
    </cfRule>
    <cfRule type="expression" dxfId="1368" priority="12" stopIfTrue="1">
      <formula>MOD(ROW(),2)&lt;&gt;0</formula>
    </cfRule>
  </conditionalFormatting>
  <conditionalFormatting sqref="B17:B21">
    <cfRule type="expression" dxfId="1367" priority="5" stopIfTrue="1">
      <formula>MOD(ROW(),2)=0</formula>
    </cfRule>
    <cfRule type="expression" dxfId="1366" priority="6" stopIfTrue="1">
      <formula>MOD(ROW(),2)&lt;&gt;0</formula>
    </cfRule>
  </conditionalFormatting>
  <conditionalFormatting sqref="B6:G6 C7:G7 B8:G11 C12:G12 B13:G16 C17:G21">
    <cfRule type="expression" dxfId="1365" priority="47" stopIfTrue="1">
      <formula>MOD(ROW(),2)=0</formula>
    </cfRule>
    <cfRule type="expression" dxfId="1364" priority="48" stopIfTrue="1">
      <formula>MOD(ROW(),2)&lt;&gt;0</formula>
    </cfRule>
  </conditionalFormatting>
  <conditionalFormatting sqref="B6:G21">
    <cfRule type="expression" dxfId="1363" priority="35" stopIfTrue="1">
      <formula>MOD(ROW(),2)=0</formula>
    </cfRule>
    <cfRule type="expression" dxfId="1362" priority="36" stopIfTrue="1">
      <formula>MOD(ROW(),2)&lt;&gt;0</formula>
    </cfRule>
  </conditionalFormatting>
  <conditionalFormatting sqref="B26:G85">
    <cfRule type="expression" dxfId="1361" priority="9" stopIfTrue="1">
      <formula>MOD(ROW(),2)=0</formula>
    </cfRule>
    <cfRule type="expression" dxfId="1360" priority="10" stopIfTrue="1">
      <formula>MOD(ROW(),2)&lt;&gt;0</formula>
    </cfRule>
  </conditionalFormatting>
  <hyperlinks>
    <hyperlink ref="B24" location="Sheet1!A1" display="Assumptions" xr:uid="{031822D7-6C86-479E-A420-004FAA7F76B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0"/>
  <dimension ref="A1:I85"/>
  <sheetViews>
    <sheetView showGridLines="0" zoomScale="85" zoomScaleNormal="85" workbookViewId="0">
      <selection activeCell="A4" sqref="A4"/>
    </sheetView>
  </sheetViews>
  <sheetFormatPr defaultColWidth="10" defaultRowHeight="13.2" x14ac:dyDescent="0.25"/>
  <cols>
    <col min="1" max="1" width="31.5546875" style="27" customWidth="1"/>
    <col min="2" max="7" width="22.5546875" style="27" customWidth="1"/>
    <col min="8"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CETV - x-212</v>
      </c>
      <c r="B3" s="42"/>
      <c r="C3" s="42"/>
      <c r="D3" s="42"/>
      <c r="E3" s="42"/>
      <c r="F3" s="42"/>
      <c r="G3" s="42"/>
      <c r="H3" s="42"/>
      <c r="I3" s="42"/>
    </row>
    <row r="4" spans="1:9" x14ac:dyDescent="0.25">
      <c r="A4" s="44"/>
    </row>
    <row r="6" spans="1:9" x14ac:dyDescent="0.25">
      <c r="A6" s="76" t="s">
        <v>290</v>
      </c>
      <c r="B6" s="129" t="s">
        <v>291</v>
      </c>
      <c r="C6" s="129"/>
      <c r="D6" s="129"/>
      <c r="E6" s="129"/>
      <c r="F6" s="129"/>
      <c r="G6" s="129"/>
    </row>
    <row r="7" spans="1:9" x14ac:dyDescent="0.25">
      <c r="A7" s="77" t="s">
        <v>804</v>
      </c>
      <c r="B7" s="129" t="s">
        <v>345</v>
      </c>
      <c r="C7" s="129"/>
      <c r="D7" s="129"/>
      <c r="E7" s="129"/>
      <c r="F7" s="129"/>
      <c r="G7" s="129"/>
    </row>
    <row r="8" spans="1:9" x14ac:dyDescent="0.25">
      <c r="A8" s="77" t="s">
        <v>805</v>
      </c>
      <c r="B8" s="129" t="s">
        <v>359</v>
      </c>
      <c r="C8" s="129"/>
      <c r="D8" s="129"/>
      <c r="E8" s="129"/>
      <c r="F8" s="129"/>
      <c r="G8" s="129"/>
    </row>
    <row r="9" spans="1:9" x14ac:dyDescent="0.25">
      <c r="A9" s="77" t="s">
        <v>296</v>
      </c>
      <c r="B9" s="129" t="s">
        <v>325</v>
      </c>
      <c r="C9" s="129"/>
      <c r="D9" s="129"/>
      <c r="E9" s="129"/>
      <c r="F9" s="129"/>
      <c r="G9" s="129"/>
    </row>
    <row r="10" spans="1:9" x14ac:dyDescent="0.25">
      <c r="A10" s="77" t="s">
        <v>6</v>
      </c>
      <c r="B10" s="129" t="s">
        <v>360</v>
      </c>
      <c r="C10" s="129"/>
      <c r="D10" s="129"/>
      <c r="E10" s="129"/>
      <c r="F10" s="129"/>
      <c r="G10" s="129"/>
    </row>
    <row r="11" spans="1:9" x14ac:dyDescent="0.25">
      <c r="A11" s="77" t="s">
        <v>299</v>
      </c>
      <c r="B11" s="129" t="s">
        <v>327</v>
      </c>
      <c r="C11" s="129"/>
      <c r="D11" s="129"/>
      <c r="E11" s="129"/>
      <c r="F11" s="129"/>
      <c r="G11" s="129"/>
    </row>
    <row r="12" spans="1:9" x14ac:dyDescent="0.25">
      <c r="A12" s="77" t="s">
        <v>301</v>
      </c>
      <c r="B12" s="129" t="s">
        <v>328</v>
      </c>
      <c r="C12" s="129"/>
      <c r="D12" s="129"/>
      <c r="E12" s="129"/>
      <c r="F12" s="129"/>
      <c r="G12" s="129"/>
    </row>
    <row r="13" spans="1:9" x14ac:dyDescent="0.25">
      <c r="A13" s="77" t="s">
        <v>806</v>
      </c>
      <c r="B13" s="129">
        <v>1</v>
      </c>
      <c r="C13" s="129"/>
      <c r="D13" s="129"/>
      <c r="E13" s="129"/>
      <c r="F13" s="129"/>
      <c r="G13" s="129"/>
    </row>
    <row r="14" spans="1:9" x14ac:dyDescent="0.25">
      <c r="A14" s="77" t="s">
        <v>305</v>
      </c>
      <c r="B14" s="129">
        <v>212</v>
      </c>
      <c r="C14" s="129"/>
      <c r="D14" s="129"/>
      <c r="E14" s="129"/>
      <c r="F14" s="129"/>
      <c r="G14" s="129"/>
    </row>
    <row r="15" spans="1:9" x14ac:dyDescent="0.25">
      <c r="A15" s="77" t="s">
        <v>307</v>
      </c>
      <c r="B15" s="129" t="s">
        <v>361</v>
      </c>
      <c r="C15" s="129"/>
      <c r="D15" s="129"/>
      <c r="E15" s="129"/>
      <c r="F15" s="129"/>
      <c r="G15" s="129"/>
    </row>
    <row r="16" spans="1:9" x14ac:dyDescent="0.25">
      <c r="A16" s="77" t="s">
        <v>309</v>
      </c>
      <c r="B16" s="129" t="s">
        <v>362</v>
      </c>
      <c r="C16" s="129"/>
      <c r="D16" s="129"/>
      <c r="E16" s="129"/>
      <c r="F16" s="129"/>
      <c r="G16" s="129"/>
    </row>
    <row r="17" spans="1:7" x14ac:dyDescent="0.25">
      <c r="A17" s="77" t="s">
        <v>803</v>
      </c>
      <c r="B17" s="129"/>
      <c r="C17" s="129"/>
      <c r="D17" s="129"/>
      <c r="E17" s="129"/>
      <c r="F17" s="129"/>
      <c r="G17" s="129"/>
    </row>
    <row r="18" spans="1:7" x14ac:dyDescent="0.25">
      <c r="A18" s="77" t="s">
        <v>313</v>
      </c>
      <c r="B18" s="187">
        <v>45071</v>
      </c>
      <c r="C18" s="129"/>
      <c r="D18" s="129"/>
      <c r="E18" s="129"/>
      <c r="F18" s="129"/>
      <c r="G18" s="129"/>
    </row>
    <row r="19" spans="1:7" x14ac:dyDescent="0.25">
      <c r="A19" s="77" t="s">
        <v>315</v>
      </c>
      <c r="B19" s="187"/>
      <c r="C19" s="129"/>
      <c r="D19" s="129"/>
      <c r="E19" s="129"/>
      <c r="F19" s="129"/>
      <c r="G19" s="129"/>
    </row>
    <row r="20" spans="1:7" x14ac:dyDescent="0.25">
      <c r="A20" s="77" t="s">
        <v>317</v>
      </c>
      <c r="B20" s="129" t="s">
        <v>331</v>
      </c>
      <c r="C20" s="129"/>
      <c r="D20" s="129"/>
      <c r="E20" s="129"/>
      <c r="F20" s="129"/>
      <c r="G20" s="129"/>
    </row>
    <row r="21" spans="1:7" x14ac:dyDescent="0.25">
      <c r="A21" s="77" t="s">
        <v>323</v>
      </c>
      <c r="B21" s="129" t="s">
        <v>332</v>
      </c>
      <c r="C21" s="129"/>
      <c r="D21" s="129"/>
      <c r="E21" s="129"/>
      <c r="F21" s="129"/>
      <c r="G21" s="129"/>
    </row>
    <row r="23" spans="1:7" x14ac:dyDescent="0.25">
      <c r="B23" s="102" t="str">
        <f>HYPERLINK("#'Factor List'!A1","Back to Factor List")</f>
        <v>Back to Factor List</v>
      </c>
    </row>
    <row r="24" spans="1:7" x14ac:dyDescent="0.25">
      <c r="B24" s="102" t="s">
        <v>13</v>
      </c>
    </row>
    <row r="25" spans="1:7" x14ac:dyDescent="0.25">
      <c r="B25" s="102"/>
    </row>
    <row r="26" spans="1:7" ht="37.200000000000003" customHeight="1" x14ac:dyDescent="0.25">
      <c r="A26" s="103" t="s">
        <v>373</v>
      </c>
      <c r="B26" s="103" t="s">
        <v>822</v>
      </c>
      <c r="C26" s="103" t="s">
        <v>817</v>
      </c>
      <c r="D26" s="103" t="s">
        <v>818</v>
      </c>
      <c r="E26" s="103" t="s">
        <v>823</v>
      </c>
      <c r="F26" s="103" t="s">
        <v>820</v>
      </c>
      <c r="G26" s="103" t="s">
        <v>821</v>
      </c>
    </row>
    <row r="27" spans="1:7" x14ac:dyDescent="0.25">
      <c r="A27" s="104">
        <v>17</v>
      </c>
      <c r="B27" s="105">
        <v>4.8499999999999996</v>
      </c>
      <c r="C27" s="105">
        <v>0.24</v>
      </c>
      <c r="D27" s="105">
        <v>5.09</v>
      </c>
      <c r="E27" s="105">
        <v>4.8499999999999996</v>
      </c>
      <c r="F27" s="105">
        <v>0.24</v>
      </c>
      <c r="G27" s="105">
        <v>5.09</v>
      </c>
    </row>
    <row r="28" spans="1:7" x14ac:dyDescent="0.25">
      <c r="A28" s="104">
        <v>18</v>
      </c>
      <c r="B28" s="105">
        <v>5.0199999999999996</v>
      </c>
      <c r="C28" s="105">
        <v>0.26</v>
      </c>
      <c r="D28" s="105">
        <v>5.27</v>
      </c>
      <c r="E28" s="105">
        <v>5.0199999999999996</v>
      </c>
      <c r="F28" s="105">
        <v>0.26</v>
      </c>
      <c r="G28" s="105">
        <v>5.27</v>
      </c>
    </row>
    <row r="29" spans="1:7" x14ac:dyDescent="0.25">
      <c r="A29" s="104">
        <v>19</v>
      </c>
      <c r="B29" s="105">
        <v>5.19</v>
      </c>
      <c r="C29" s="105">
        <v>0.27</v>
      </c>
      <c r="D29" s="105">
        <v>5.46</v>
      </c>
      <c r="E29" s="105">
        <v>5.19</v>
      </c>
      <c r="F29" s="105">
        <v>0.27</v>
      </c>
      <c r="G29" s="105">
        <v>5.46</v>
      </c>
    </row>
    <row r="30" spans="1:7" x14ac:dyDescent="0.25">
      <c r="A30" s="104">
        <v>20</v>
      </c>
      <c r="B30" s="105">
        <v>5.37</v>
      </c>
      <c r="C30" s="105">
        <v>0.28000000000000003</v>
      </c>
      <c r="D30" s="105">
        <v>5.65</v>
      </c>
      <c r="E30" s="105">
        <v>5.37</v>
      </c>
      <c r="F30" s="105">
        <v>0.28000000000000003</v>
      </c>
      <c r="G30" s="105">
        <v>5.65</v>
      </c>
    </row>
    <row r="31" spans="1:7" x14ac:dyDescent="0.25">
      <c r="A31" s="104">
        <v>21</v>
      </c>
      <c r="B31" s="105">
        <v>5.56</v>
      </c>
      <c r="C31" s="105">
        <v>0.28999999999999998</v>
      </c>
      <c r="D31" s="105">
        <v>5.85</v>
      </c>
      <c r="E31" s="105">
        <v>5.56</v>
      </c>
      <c r="F31" s="105">
        <v>0.28999999999999998</v>
      </c>
      <c r="G31" s="105">
        <v>5.85</v>
      </c>
    </row>
    <row r="32" spans="1:7" x14ac:dyDescent="0.25">
      <c r="A32" s="104">
        <v>22</v>
      </c>
      <c r="B32" s="105">
        <v>5.75</v>
      </c>
      <c r="C32" s="105">
        <v>0.3</v>
      </c>
      <c r="D32" s="105">
        <v>6.06</v>
      </c>
      <c r="E32" s="105">
        <v>5.75</v>
      </c>
      <c r="F32" s="105">
        <v>0.3</v>
      </c>
      <c r="G32" s="105">
        <v>6.06</v>
      </c>
    </row>
    <row r="33" spans="1:7" x14ac:dyDescent="0.25">
      <c r="A33" s="104">
        <v>23</v>
      </c>
      <c r="B33" s="105">
        <v>5.96</v>
      </c>
      <c r="C33" s="105">
        <v>0.31</v>
      </c>
      <c r="D33" s="105">
        <v>6.27</v>
      </c>
      <c r="E33" s="105">
        <v>5.96</v>
      </c>
      <c r="F33" s="105">
        <v>0.31</v>
      </c>
      <c r="G33" s="105">
        <v>6.27</v>
      </c>
    </row>
    <row r="34" spans="1:7" x14ac:dyDescent="0.25">
      <c r="A34" s="104">
        <v>24</v>
      </c>
      <c r="B34" s="105">
        <v>6.16</v>
      </c>
      <c r="C34" s="105">
        <v>0.32</v>
      </c>
      <c r="D34" s="105">
        <v>6.49</v>
      </c>
      <c r="E34" s="105">
        <v>6.16</v>
      </c>
      <c r="F34" s="105">
        <v>0.32</v>
      </c>
      <c r="G34" s="105">
        <v>6.49</v>
      </c>
    </row>
    <row r="35" spans="1:7" x14ac:dyDescent="0.25">
      <c r="A35" s="104">
        <v>25</v>
      </c>
      <c r="B35" s="105">
        <v>6.38</v>
      </c>
      <c r="C35" s="105">
        <v>0.34</v>
      </c>
      <c r="D35" s="105">
        <v>6.72</v>
      </c>
      <c r="E35" s="105">
        <v>6.38</v>
      </c>
      <c r="F35" s="105">
        <v>0.34</v>
      </c>
      <c r="G35" s="105">
        <v>6.72</v>
      </c>
    </row>
    <row r="36" spans="1:7" x14ac:dyDescent="0.25">
      <c r="A36" s="104">
        <v>26</v>
      </c>
      <c r="B36" s="105">
        <v>6.6</v>
      </c>
      <c r="C36" s="105">
        <v>0.35</v>
      </c>
      <c r="D36" s="105">
        <v>6.95</v>
      </c>
      <c r="E36" s="105">
        <v>6.6</v>
      </c>
      <c r="F36" s="105">
        <v>0.35</v>
      </c>
      <c r="G36" s="105">
        <v>6.95</v>
      </c>
    </row>
    <row r="37" spans="1:7" x14ac:dyDescent="0.25">
      <c r="A37" s="104">
        <v>27</v>
      </c>
      <c r="B37" s="105">
        <v>6.83</v>
      </c>
      <c r="C37" s="105">
        <v>0.36</v>
      </c>
      <c r="D37" s="105">
        <v>7.19</v>
      </c>
      <c r="E37" s="105">
        <v>6.83</v>
      </c>
      <c r="F37" s="105">
        <v>0.36</v>
      </c>
      <c r="G37" s="105">
        <v>7.19</v>
      </c>
    </row>
    <row r="38" spans="1:7" x14ac:dyDescent="0.25">
      <c r="A38" s="104">
        <v>28</v>
      </c>
      <c r="B38" s="105">
        <v>7.07</v>
      </c>
      <c r="C38" s="105">
        <v>0.37</v>
      </c>
      <c r="D38" s="105">
        <v>7.45</v>
      </c>
      <c r="E38" s="105">
        <v>7.07</v>
      </c>
      <c r="F38" s="105">
        <v>0.37</v>
      </c>
      <c r="G38" s="105">
        <v>7.45</v>
      </c>
    </row>
    <row r="39" spans="1:7" x14ac:dyDescent="0.25">
      <c r="A39" s="104">
        <v>29</v>
      </c>
      <c r="B39" s="105">
        <v>7.32</v>
      </c>
      <c r="C39" s="105">
        <v>0.39</v>
      </c>
      <c r="D39" s="105">
        <v>7.71</v>
      </c>
      <c r="E39" s="105">
        <v>7.32</v>
      </c>
      <c r="F39" s="105">
        <v>0.39</v>
      </c>
      <c r="G39" s="105">
        <v>7.71</v>
      </c>
    </row>
    <row r="40" spans="1:7" x14ac:dyDescent="0.25">
      <c r="A40" s="104">
        <v>30</v>
      </c>
      <c r="B40" s="105">
        <v>7.58</v>
      </c>
      <c r="C40" s="105">
        <v>0.4</v>
      </c>
      <c r="D40" s="105">
        <v>7.98</v>
      </c>
      <c r="E40" s="105">
        <v>7.58</v>
      </c>
      <c r="F40" s="105">
        <v>0.4</v>
      </c>
      <c r="G40" s="105">
        <v>7.98</v>
      </c>
    </row>
    <row r="41" spans="1:7" x14ac:dyDescent="0.25">
      <c r="A41" s="104">
        <v>31</v>
      </c>
      <c r="B41" s="105">
        <v>7.84</v>
      </c>
      <c r="C41" s="105">
        <v>0.41</v>
      </c>
      <c r="D41" s="105">
        <v>8.26</v>
      </c>
      <c r="E41" s="105">
        <v>7.84</v>
      </c>
      <c r="F41" s="105">
        <v>0.41</v>
      </c>
      <c r="G41" s="105">
        <v>8.26</v>
      </c>
    </row>
    <row r="42" spans="1:7" x14ac:dyDescent="0.25">
      <c r="A42" s="104">
        <v>32</v>
      </c>
      <c r="B42" s="105">
        <v>8.1199999999999992</v>
      </c>
      <c r="C42" s="105">
        <v>0.43</v>
      </c>
      <c r="D42" s="105">
        <v>8.5500000000000007</v>
      </c>
      <c r="E42" s="105">
        <v>8.1199999999999992</v>
      </c>
      <c r="F42" s="105">
        <v>0.43</v>
      </c>
      <c r="G42" s="105">
        <v>8.5500000000000007</v>
      </c>
    </row>
    <row r="43" spans="1:7" x14ac:dyDescent="0.25">
      <c r="A43" s="104">
        <v>33</v>
      </c>
      <c r="B43" s="105">
        <v>8.41</v>
      </c>
      <c r="C43" s="105">
        <v>0.44</v>
      </c>
      <c r="D43" s="105">
        <v>8.85</v>
      </c>
      <c r="E43" s="105">
        <v>8.41</v>
      </c>
      <c r="F43" s="105">
        <v>0.44</v>
      </c>
      <c r="G43" s="105">
        <v>8.85</v>
      </c>
    </row>
    <row r="44" spans="1:7" x14ac:dyDescent="0.25">
      <c r="A44" s="104">
        <v>34</v>
      </c>
      <c r="B44" s="105">
        <v>8.6999999999999993</v>
      </c>
      <c r="C44" s="105">
        <v>0.46</v>
      </c>
      <c r="D44" s="105">
        <v>9.16</v>
      </c>
      <c r="E44" s="105">
        <v>8.6999999999999993</v>
      </c>
      <c r="F44" s="105">
        <v>0.46</v>
      </c>
      <c r="G44" s="105">
        <v>9.16</v>
      </c>
    </row>
    <row r="45" spans="1:7" x14ac:dyDescent="0.25">
      <c r="A45" s="104">
        <v>35</v>
      </c>
      <c r="B45" s="105">
        <v>9.01</v>
      </c>
      <c r="C45" s="105">
        <v>0.47</v>
      </c>
      <c r="D45" s="105">
        <v>9.48</v>
      </c>
      <c r="E45" s="105">
        <v>9.01</v>
      </c>
      <c r="F45" s="105">
        <v>0.47</v>
      </c>
      <c r="G45" s="105">
        <v>9.48</v>
      </c>
    </row>
    <row r="46" spans="1:7" x14ac:dyDescent="0.25">
      <c r="A46" s="104">
        <v>36</v>
      </c>
      <c r="B46" s="105">
        <v>9.32</v>
      </c>
      <c r="C46" s="105">
        <v>0.49</v>
      </c>
      <c r="D46" s="105">
        <v>9.81</v>
      </c>
      <c r="E46" s="105">
        <v>9.32</v>
      </c>
      <c r="F46" s="105">
        <v>0.49</v>
      </c>
      <c r="G46" s="105">
        <v>9.81</v>
      </c>
    </row>
    <row r="47" spans="1:7" x14ac:dyDescent="0.25">
      <c r="A47" s="104">
        <v>37</v>
      </c>
      <c r="B47" s="105">
        <v>9.65</v>
      </c>
      <c r="C47" s="105">
        <v>0.51</v>
      </c>
      <c r="D47" s="105">
        <v>10.16</v>
      </c>
      <c r="E47" s="105">
        <v>9.65</v>
      </c>
      <c r="F47" s="105">
        <v>0.51</v>
      </c>
      <c r="G47" s="105">
        <v>10.16</v>
      </c>
    </row>
    <row r="48" spans="1:7" x14ac:dyDescent="0.25">
      <c r="A48" s="104">
        <v>38</v>
      </c>
      <c r="B48" s="105">
        <v>9.99</v>
      </c>
      <c r="C48" s="105">
        <v>0.52</v>
      </c>
      <c r="D48" s="105">
        <v>10.52</v>
      </c>
      <c r="E48" s="105">
        <v>9.99</v>
      </c>
      <c r="F48" s="105">
        <v>0.52</v>
      </c>
      <c r="G48" s="105">
        <v>10.52</v>
      </c>
    </row>
    <row r="49" spans="1:7" x14ac:dyDescent="0.25">
      <c r="A49" s="104">
        <v>39</v>
      </c>
      <c r="B49" s="105">
        <v>10.35</v>
      </c>
      <c r="C49" s="105">
        <v>0.54</v>
      </c>
      <c r="D49" s="105">
        <v>10.89</v>
      </c>
      <c r="E49" s="105">
        <v>10.35</v>
      </c>
      <c r="F49" s="105">
        <v>0.54</v>
      </c>
      <c r="G49" s="105">
        <v>10.89</v>
      </c>
    </row>
    <row r="50" spans="1:7" x14ac:dyDescent="0.25">
      <c r="A50" s="104">
        <v>40</v>
      </c>
      <c r="B50" s="105">
        <v>10.71</v>
      </c>
      <c r="C50" s="105">
        <v>0.56000000000000005</v>
      </c>
      <c r="D50" s="105">
        <v>11.27</v>
      </c>
      <c r="E50" s="105">
        <v>10.71</v>
      </c>
      <c r="F50" s="105">
        <v>0.56000000000000005</v>
      </c>
      <c r="G50" s="105">
        <v>11.27</v>
      </c>
    </row>
    <row r="51" spans="1:7" x14ac:dyDescent="0.25">
      <c r="A51" s="104">
        <v>41</v>
      </c>
      <c r="B51" s="105">
        <v>11.09</v>
      </c>
      <c r="C51" s="105">
        <v>0.56999999999999995</v>
      </c>
      <c r="D51" s="105">
        <v>11.67</v>
      </c>
      <c r="E51" s="105">
        <v>11.09</v>
      </c>
      <c r="F51" s="105">
        <v>0.56999999999999995</v>
      </c>
      <c r="G51" s="105">
        <v>11.67</v>
      </c>
    </row>
    <row r="52" spans="1:7" x14ac:dyDescent="0.25">
      <c r="A52" s="104">
        <v>42</v>
      </c>
      <c r="B52" s="105">
        <v>11.49</v>
      </c>
      <c r="C52" s="105">
        <v>0.59</v>
      </c>
      <c r="D52" s="105">
        <v>12.08</v>
      </c>
      <c r="E52" s="105">
        <v>11.49</v>
      </c>
      <c r="F52" s="105">
        <v>0.59</v>
      </c>
      <c r="G52" s="105">
        <v>12.08</v>
      </c>
    </row>
    <row r="53" spans="1:7" x14ac:dyDescent="0.25">
      <c r="A53" s="104">
        <v>43</v>
      </c>
      <c r="B53" s="105">
        <v>11.89</v>
      </c>
      <c r="C53" s="105">
        <v>0.61</v>
      </c>
      <c r="D53" s="105">
        <v>12.5</v>
      </c>
      <c r="E53" s="105">
        <v>11.89</v>
      </c>
      <c r="F53" s="105">
        <v>0.61</v>
      </c>
      <c r="G53" s="105">
        <v>12.5</v>
      </c>
    </row>
    <row r="54" spans="1:7" x14ac:dyDescent="0.25">
      <c r="A54" s="104">
        <v>44</v>
      </c>
      <c r="B54" s="105">
        <v>12.32</v>
      </c>
      <c r="C54" s="105">
        <v>0.63</v>
      </c>
      <c r="D54" s="105">
        <v>12.95</v>
      </c>
      <c r="E54" s="105">
        <v>12.32</v>
      </c>
      <c r="F54" s="105">
        <v>0.63</v>
      </c>
      <c r="G54" s="105">
        <v>12.95</v>
      </c>
    </row>
    <row r="55" spans="1:7" x14ac:dyDescent="0.25">
      <c r="A55" s="104">
        <v>45</v>
      </c>
      <c r="B55" s="105">
        <v>12.76</v>
      </c>
      <c r="C55" s="105">
        <v>0.65</v>
      </c>
      <c r="D55" s="105">
        <v>13.41</v>
      </c>
      <c r="E55" s="105">
        <v>12.76</v>
      </c>
      <c r="F55" s="105">
        <v>0.65</v>
      </c>
      <c r="G55" s="105">
        <v>13.41</v>
      </c>
    </row>
    <row r="56" spans="1:7" x14ac:dyDescent="0.25">
      <c r="A56" s="104">
        <v>46</v>
      </c>
      <c r="B56" s="105">
        <v>13.21</v>
      </c>
      <c r="C56" s="105">
        <v>0.67</v>
      </c>
      <c r="D56" s="105">
        <v>13.88</v>
      </c>
      <c r="E56" s="105">
        <v>13.21</v>
      </c>
      <c r="F56" s="105">
        <v>0.67</v>
      </c>
      <c r="G56" s="105">
        <v>13.88</v>
      </c>
    </row>
    <row r="57" spans="1:7" x14ac:dyDescent="0.25">
      <c r="A57" s="104">
        <v>47</v>
      </c>
      <c r="B57" s="105">
        <v>13.69</v>
      </c>
      <c r="C57" s="105">
        <v>0.69</v>
      </c>
      <c r="D57" s="105">
        <v>14.38</v>
      </c>
      <c r="E57" s="105">
        <v>13.69</v>
      </c>
      <c r="F57" s="105">
        <v>0.69</v>
      </c>
      <c r="G57" s="105">
        <v>14.38</v>
      </c>
    </row>
    <row r="58" spans="1:7" x14ac:dyDescent="0.25">
      <c r="A58" s="104">
        <v>48</v>
      </c>
      <c r="B58" s="105">
        <v>14.18</v>
      </c>
      <c r="C58" s="105">
        <v>0.71</v>
      </c>
      <c r="D58" s="105">
        <v>14.89</v>
      </c>
      <c r="E58" s="105">
        <v>14.18</v>
      </c>
      <c r="F58" s="105">
        <v>0.71</v>
      </c>
      <c r="G58" s="105">
        <v>14.89</v>
      </c>
    </row>
    <row r="59" spans="1:7" x14ac:dyDescent="0.25">
      <c r="A59" s="104">
        <v>49</v>
      </c>
      <c r="B59" s="105">
        <v>14.69</v>
      </c>
      <c r="C59" s="105">
        <v>0.73</v>
      </c>
      <c r="D59" s="105">
        <v>15.42</v>
      </c>
      <c r="E59" s="105">
        <v>14.69</v>
      </c>
      <c r="F59" s="105">
        <v>0.73</v>
      </c>
      <c r="G59" s="105">
        <v>15.42</v>
      </c>
    </row>
    <row r="60" spans="1:7" x14ac:dyDescent="0.25">
      <c r="A60" s="104">
        <v>50</v>
      </c>
      <c r="B60" s="105">
        <v>15.22</v>
      </c>
      <c r="C60" s="105">
        <v>0.75</v>
      </c>
      <c r="D60" s="105">
        <v>15.97</v>
      </c>
      <c r="E60" s="105">
        <v>15.22</v>
      </c>
      <c r="F60" s="105">
        <v>0.75</v>
      </c>
      <c r="G60" s="105">
        <v>15.97</v>
      </c>
    </row>
    <row r="61" spans="1:7" x14ac:dyDescent="0.25">
      <c r="A61" s="104">
        <v>51</v>
      </c>
      <c r="B61" s="105">
        <v>15.78</v>
      </c>
      <c r="C61" s="105">
        <v>0.77</v>
      </c>
      <c r="D61" s="105">
        <v>16.55</v>
      </c>
      <c r="E61" s="105">
        <v>15.78</v>
      </c>
      <c r="F61" s="105">
        <v>0.77</v>
      </c>
      <c r="G61" s="105">
        <v>16.55</v>
      </c>
    </row>
    <row r="62" spans="1:7" x14ac:dyDescent="0.25">
      <c r="A62" s="104">
        <v>52</v>
      </c>
      <c r="B62" s="105">
        <v>16.350000000000001</v>
      </c>
      <c r="C62" s="105">
        <v>0.79</v>
      </c>
      <c r="D62" s="105">
        <v>17.14</v>
      </c>
      <c r="E62" s="105">
        <v>16.350000000000001</v>
      </c>
      <c r="F62" s="105">
        <v>0.79</v>
      </c>
      <c r="G62" s="105">
        <v>17.14</v>
      </c>
    </row>
    <row r="63" spans="1:7" x14ac:dyDescent="0.25">
      <c r="A63" s="104">
        <v>53</v>
      </c>
      <c r="B63" s="105">
        <v>16.95</v>
      </c>
      <c r="C63" s="105">
        <v>0.81</v>
      </c>
      <c r="D63" s="105">
        <v>17.760000000000002</v>
      </c>
      <c r="E63" s="105">
        <v>16.95</v>
      </c>
      <c r="F63" s="105">
        <v>0.81</v>
      </c>
      <c r="G63" s="105">
        <v>17.760000000000002</v>
      </c>
    </row>
    <row r="64" spans="1:7" x14ac:dyDescent="0.25">
      <c r="A64" s="104">
        <v>54</v>
      </c>
      <c r="B64" s="105">
        <v>17.579999999999998</v>
      </c>
      <c r="C64" s="105">
        <v>0.83</v>
      </c>
      <c r="D64" s="105">
        <v>18.41</v>
      </c>
      <c r="E64" s="105">
        <v>17.579999999999998</v>
      </c>
      <c r="F64" s="105">
        <v>0.83</v>
      </c>
      <c r="G64" s="105">
        <v>18.41</v>
      </c>
    </row>
    <row r="65" spans="1:7" x14ac:dyDescent="0.25">
      <c r="A65" s="104">
        <v>55</v>
      </c>
      <c r="B65" s="105">
        <v>18.23</v>
      </c>
      <c r="C65" s="105">
        <v>0.85</v>
      </c>
      <c r="D65" s="105">
        <v>19.079999999999998</v>
      </c>
      <c r="E65" s="105">
        <v>18.23</v>
      </c>
      <c r="F65" s="105">
        <v>0.85</v>
      </c>
      <c r="G65" s="105">
        <v>19.079999999999998</v>
      </c>
    </row>
    <row r="66" spans="1:7" x14ac:dyDescent="0.25">
      <c r="A66" s="104">
        <v>56</v>
      </c>
      <c r="B66" s="105">
        <v>18.91</v>
      </c>
      <c r="C66" s="105">
        <v>0.87</v>
      </c>
      <c r="D66" s="105">
        <v>19.78</v>
      </c>
      <c r="E66" s="105">
        <v>18.91</v>
      </c>
      <c r="F66" s="105">
        <v>0.87</v>
      </c>
      <c r="G66" s="105">
        <v>19.78</v>
      </c>
    </row>
    <row r="67" spans="1:7" x14ac:dyDescent="0.25">
      <c r="A67" s="104">
        <v>57</v>
      </c>
      <c r="B67" s="105">
        <v>19.61</v>
      </c>
      <c r="C67" s="105">
        <v>0.89</v>
      </c>
      <c r="D67" s="105">
        <v>20.51</v>
      </c>
      <c r="E67" s="105">
        <v>19.61</v>
      </c>
      <c r="F67" s="105">
        <v>0.89</v>
      </c>
      <c r="G67" s="105">
        <v>20.51</v>
      </c>
    </row>
    <row r="68" spans="1:7" x14ac:dyDescent="0.25">
      <c r="A68" s="104">
        <v>58</v>
      </c>
      <c r="B68" s="105">
        <v>20.36</v>
      </c>
      <c r="C68" s="105">
        <v>0.91</v>
      </c>
      <c r="D68" s="105">
        <v>21.27</v>
      </c>
      <c r="E68" s="105">
        <v>20.36</v>
      </c>
      <c r="F68" s="105">
        <v>0.91</v>
      </c>
      <c r="G68" s="105">
        <v>21.27</v>
      </c>
    </row>
    <row r="69" spans="1:7" x14ac:dyDescent="0.25">
      <c r="A69" s="104">
        <v>59</v>
      </c>
      <c r="B69" s="105">
        <v>21.13</v>
      </c>
      <c r="C69" s="105">
        <v>0.93</v>
      </c>
      <c r="D69" s="105">
        <v>22.06</v>
      </c>
      <c r="E69" s="105">
        <v>21.13</v>
      </c>
      <c r="F69" s="105">
        <v>0.93</v>
      </c>
      <c r="G69" s="105">
        <v>22.06</v>
      </c>
    </row>
    <row r="70" spans="1:7" x14ac:dyDescent="0.25">
      <c r="A70" s="104">
        <v>60</v>
      </c>
      <c r="B70" s="105">
        <v>21.21</v>
      </c>
      <c r="C70" s="105">
        <v>0.94</v>
      </c>
      <c r="D70" s="105">
        <v>22.16</v>
      </c>
      <c r="E70" s="105">
        <v>21.21</v>
      </c>
      <c r="F70" s="105">
        <v>0.94</v>
      </c>
      <c r="G70" s="105">
        <v>22.16</v>
      </c>
    </row>
    <row r="71" spans="1:7" x14ac:dyDescent="0.25">
      <c r="A71" s="104">
        <v>61</v>
      </c>
      <c r="B71" s="105">
        <v>20.58</v>
      </c>
      <c r="C71" s="105">
        <v>0.95</v>
      </c>
      <c r="D71" s="105">
        <v>21.53</v>
      </c>
      <c r="E71" s="105">
        <v>20.58</v>
      </c>
      <c r="F71" s="105">
        <v>0.95</v>
      </c>
      <c r="G71" s="105">
        <v>21.53</v>
      </c>
    </row>
    <row r="72" spans="1:7" x14ac:dyDescent="0.25">
      <c r="A72" s="104">
        <v>62</v>
      </c>
      <c r="B72" s="105">
        <v>19.940000000000001</v>
      </c>
      <c r="C72" s="105">
        <v>0.95</v>
      </c>
      <c r="D72" s="105">
        <v>20.89</v>
      </c>
      <c r="E72" s="105">
        <v>19.940000000000001</v>
      </c>
      <c r="F72" s="105">
        <v>0.95</v>
      </c>
      <c r="G72" s="105">
        <v>20.89</v>
      </c>
    </row>
    <row r="73" spans="1:7" x14ac:dyDescent="0.25">
      <c r="A73" s="104">
        <v>63</v>
      </c>
      <c r="B73" s="105">
        <v>19.309999999999999</v>
      </c>
      <c r="C73" s="105">
        <v>0.95</v>
      </c>
      <c r="D73" s="105">
        <v>20.260000000000002</v>
      </c>
      <c r="E73" s="105">
        <v>19.309999999999999</v>
      </c>
      <c r="F73" s="105">
        <v>0.95</v>
      </c>
      <c r="G73" s="105">
        <v>20.260000000000002</v>
      </c>
    </row>
    <row r="74" spans="1:7" x14ac:dyDescent="0.25">
      <c r="A74" s="104">
        <v>64</v>
      </c>
      <c r="B74" s="105">
        <v>18.670000000000002</v>
      </c>
      <c r="C74" s="105">
        <v>0.96</v>
      </c>
      <c r="D74" s="105">
        <v>19.63</v>
      </c>
      <c r="E74" s="105">
        <v>18.670000000000002</v>
      </c>
      <c r="F74" s="105">
        <v>0.96</v>
      </c>
      <c r="G74" s="105">
        <v>19.63</v>
      </c>
    </row>
    <row r="75" spans="1:7" x14ac:dyDescent="0.25">
      <c r="A75" s="104">
        <v>65</v>
      </c>
      <c r="B75" s="105">
        <v>18.04</v>
      </c>
      <c r="C75" s="105">
        <v>0.96</v>
      </c>
      <c r="D75" s="105">
        <v>18.989999999999998</v>
      </c>
      <c r="E75" s="105">
        <v>18.04</v>
      </c>
      <c r="F75" s="105">
        <v>0.96</v>
      </c>
      <c r="G75" s="105">
        <v>18.989999999999998</v>
      </c>
    </row>
    <row r="76" spans="1:7" x14ac:dyDescent="0.25">
      <c r="A76" s="104">
        <v>66</v>
      </c>
      <c r="B76" s="105">
        <v>17.399999999999999</v>
      </c>
      <c r="C76" s="105">
        <v>0.96</v>
      </c>
      <c r="D76" s="105">
        <v>18.36</v>
      </c>
      <c r="E76" s="105">
        <v>17.399999999999999</v>
      </c>
      <c r="F76" s="105">
        <v>0.96</v>
      </c>
      <c r="G76" s="105">
        <v>18.36</v>
      </c>
    </row>
    <row r="77" spans="1:7" x14ac:dyDescent="0.25">
      <c r="A77" s="104">
        <v>67</v>
      </c>
      <c r="B77" s="105">
        <v>16.760000000000002</v>
      </c>
      <c r="C77" s="105">
        <v>0.96</v>
      </c>
      <c r="D77" s="105">
        <v>17.72</v>
      </c>
      <c r="E77" s="105">
        <v>16.760000000000002</v>
      </c>
      <c r="F77" s="105">
        <v>0.96</v>
      </c>
      <c r="G77" s="105">
        <v>17.72</v>
      </c>
    </row>
    <row r="78" spans="1:7" x14ac:dyDescent="0.25">
      <c r="A78" s="104">
        <v>68</v>
      </c>
      <c r="B78" s="105">
        <v>16.12</v>
      </c>
      <c r="C78" s="105">
        <v>0.96</v>
      </c>
      <c r="D78" s="105">
        <v>17.079999999999998</v>
      </c>
      <c r="E78" s="105">
        <v>16.12</v>
      </c>
      <c r="F78" s="105">
        <v>0.96</v>
      </c>
      <c r="G78" s="105">
        <v>17.079999999999998</v>
      </c>
    </row>
    <row r="79" spans="1:7" x14ac:dyDescent="0.25">
      <c r="A79" s="104">
        <v>69</v>
      </c>
      <c r="B79" s="105">
        <v>15.48</v>
      </c>
      <c r="C79" s="105">
        <v>0.95</v>
      </c>
      <c r="D79" s="105">
        <v>16.43</v>
      </c>
      <c r="E79" s="105">
        <v>15.48</v>
      </c>
      <c r="F79" s="105">
        <v>0.95</v>
      </c>
      <c r="G79" s="105">
        <v>16.43</v>
      </c>
    </row>
    <row r="80" spans="1:7" x14ac:dyDescent="0.25">
      <c r="A80" s="104">
        <v>70</v>
      </c>
      <c r="B80" s="105">
        <v>14.84</v>
      </c>
      <c r="C80" s="105">
        <v>0.95</v>
      </c>
      <c r="D80" s="105">
        <v>15.79</v>
      </c>
      <c r="E80" s="105">
        <v>14.84</v>
      </c>
      <c r="F80" s="105">
        <v>0.95</v>
      </c>
      <c r="G80" s="105">
        <v>15.79</v>
      </c>
    </row>
    <row r="81" spans="1:7" x14ac:dyDescent="0.25">
      <c r="A81" s="104">
        <v>71</v>
      </c>
      <c r="B81" s="105">
        <v>14.2</v>
      </c>
      <c r="C81" s="105">
        <v>0.94</v>
      </c>
      <c r="D81" s="105">
        <v>15.14</v>
      </c>
      <c r="E81" s="105">
        <v>14.2</v>
      </c>
      <c r="F81" s="105">
        <v>0.94</v>
      </c>
      <c r="G81" s="105">
        <v>15.14</v>
      </c>
    </row>
    <row r="82" spans="1:7" x14ac:dyDescent="0.25">
      <c r="A82" s="104">
        <v>72</v>
      </c>
      <c r="B82" s="105">
        <v>13.57</v>
      </c>
      <c r="C82" s="105">
        <v>0.94</v>
      </c>
      <c r="D82" s="105">
        <v>14.5</v>
      </c>
      <c r="E82" s="105">
        <v>13.57</v>
      </c>
      <c r="F82" s="105">
        <v>0.94</v>
      </c>
      <c r="G82" s="105">
        <v>14.5</v>
      </c>
    </row>
    <row r="83" spans="1:7" x14ac:dyDescent="0.25">
      <c r="A83" s="104">
        <v>73</v>
      </c>
      <c r="B83" s="105">
        <v>12.94</v>
      </c>
      <c r="C83" s="105">
        <v>0.93</v>
      </c>
      <c r="D83" s="105">
        <v>13.86</v>
      </c>
      <c r="E83" s="105">
        <v>12.94</v>
      </c>
      <c r="F83" s="105">
        <v>0.93</v>
      </c>
      <c r="G83" s="105">
        <v>13.86</v>
      </c>
    </row>
    <row r="84" spans="1:7" x14ac:dyDescent="0.25">
      <c r="A84" s="104">
        <v>74</v>
      </c>
      <c r="B84" s="105">
        <v>12.31</v>
      </c>
      <c r="C84" s="105">
        <v>0.92</v>
      </c>
      <c r="D84" s="105">
        <v>13.23</v>
      </c>
      <c r="E84" s="105">
        <v>12.31</v>
      </c>
      <c r="F84" s="105">
        <v>0.92</v>
      </c>
      <c r="G84" s="105">
        <v>13.23</v>
      </c>
    </row>
    <row r="85" spans="1:7" x14ac:dyDescent="0.25">
      <c r="A85" s="104">
        <v>75</v>
      </c>
      <c r="B85" s="105">
        <v>11.69</v>
      </c>
      <c r="C85" s="105">
        <v>0.91</v>
      </c>
      <c r="D85" s="105">
        <v>12.6</v>
      </c>
      <c r="E85" s="105">
        <v>11.69</v>
      </c>
      <c r="F85" s="105">
        <v>0.91</v>
      </c>
      <c r="G85" s="105">
        <v>12.6</v>
      </c>
    </row>
  </sheetData>
  <sheetProtection algorithmName="SHA-512" hashValue="1USt1nh+qqm1wiDpPzz01kfgjXyquixiWtQo1TArmvvvhK9GYT2XW+KzoN3+zKcYWYk8ngvEezvRXBkdhiFKuA==" saltValue="GcdUYBO8qSl93qX2F4g4VA==" spinCount="100000" sheet="1" objects="1" scenarios="1"/>
  <conditionalFormatting sqref="A6:A21">
    <cfRule type="expression" dxfId="1359" priority="1" stopIfTrue="1">
      <formula>MOD(ROW(),2)=0</formula>
    </cfRule>
    <cfRule type="expression" dxfId="1358" priority="2" stopIfTrue="1">
      <formula>MOD(ROW(),2)&lt;&gt;0</formula>
    </cfRule>
  </conditionalFormatting>
  <conditionalFormatting sqref="A26:A85">
    <cfRule type="expression" dxfId="1357" priority="9" stopIfTrue="1">
      <formula>MOD(ROW(),2)=0</formula>
    </cfRule>
    <cfRule type="expression" dxfId="1356" priority="10" stopIfTrue="1">
      <formula>MOD(ROW(),2)&lt;&gt;0</formula>
    </cfRule>
  </conditionalFormatting>
  <conditionalFormatting sqref="B12">
    <cfRule type="expression" dxfId="1355" priority="13" stopIfTrue="1">
      <formula>MOD(ROW(),2)=0</formula>
    </cfRule>
    <cfRule type="expression" dxfId="1354" priority="14" stopIfTrue="1">
      <formula>MOD(ROW(),2)&lt;&gt;0</formula>
    </cfRule>
  </conditionalFormatting>
  <conditionalFormatting sqref="B17:B21">
    <cfRule type="expression" dxfId="1353" priority="3" stopIfTrue="1">
      <formula>MOD(ROW(),2)=0</formula>
    </cfRule>
    <cfRule type="expression" dxfId="1352" priority="4" stopIfTrue="1">
      <formula>MOD(ROW(),2)&lt;&gt;0</formula>
    </cfRule>
  </conditionalFormatting>
  <conditionalFormatting sqref="B6:G6 C7:G7 B8:G11 C12:G12 B13:G16 C17:G20">
    <cfRule type="expression" dxfId="1351" priority="49" stopIfTrue="1">
      <formula>MOD(ROW(),2)=0</formula>
    </cfRule>
    <cfRule type="expression" dxfId="1350" priority="50" stopIfTrue="1">
      <formula>MOD(ROW(),2)&lt;&gt;0</formula>
    </cfRule>
  </conditionalFormatting>
  <conditionalFormatting sqref="B6:G21">
    <cfRule type="expression" dxfId="1349" priority="37" stopIfTrue="1">
      <formula>MOD(ROW(),2)=0</formula>
    </cfRule>
    <cfRule type="expression" dxfId="1348" priority="38" stopIfTrue="1">
      <formula>MOD(ROW(),2)&lt;&gt;0</formula>
    </cfRule>
  </conditionalFormatting>
  <conditionalFormatting sqref="B26:G85">
    <cfRule type="expression" dxfId="1347" priority="11" stopIfTrue="1">
      <formula>MOD(ROW(),2)=0</formula>
    </cfRule>
    <cfRule type="expression" dxfId="1346" priority="12" stopIfTrue="1">
      <formula>MOD(ROW(),2)&lt;&gt;0</formula>
    </cfRule>
  </conditionalFormatting>
  <conditionalFormatting sqref="C21:G21">
    <cfRule type="expression" dxfId="1345" priority="5" stopIfTrue="1">
      <formula>MOD(ROW(),2)=0</formula>
    </cfRule>
    <cfRule type="expression" dxfId="1344" priority="6" stopIfTrue="1">
      <formula>MOD(ROW(),2)&lt;&gt;0</formula>
    </cfRule>
  </conditionalFormatting>
  <hyperlinks>
    <hyperlink ref="B24" location="Sheet1!A1" display="Assumptions" xr:uid="{DF85361F-E826-4271-9C56-97E870DF713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5"/>
  <dimension ref="A1:I77"/>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CETV - x-213</v>
      </c>
      <c r="B3" s="42"/>
      <c r="C3" s="42"/>
      <c r="D3" s="42"/>
      <c r="E3" s="42"/>
      <c r="F3" s="42"/>
      <c r="G3" s="42"/>
      <c r="H3" s="42"/>
      <c r="I3" s="42"/>
    </row>
    <row r="4" spans="1:9" x14ac:dyDescent="0.25">
      <c r="A4" s="44"/>
    </row>
    <row r="6" spans="1:9" x14ac:dyDescent="0.25">
      <c r="A6" s="76" t="s">
        <v>290</v>
      </c>
      <c r="B6" s="129" t="s">
        <v>291</v>
      </c>
    </row>
    <row r="7" spans="1:9" ht="29.1" customHeight="1" x14ac:dyDescent="0.25">
      <c r="A7" s="77" t="s">
        <v>804</v>
      </c>
      <c r="B7" s="129" t="s">
        <v>324</v>
      </c>
    </row>
    <row r="8" spans="1:9" x14ac:dyDescent="0.25">
      <c r="A8" s="77" t="s">
        <v>805</v>
      </c>
      <c r="B8" s="129" t="s">
        <v>85</v>
      </c>
    </row>
    <row r="9" spans="1:9" x14ac:dyDescent="0.25">
      <c r="A9" s="77" t="s">
        <v>296</v>
      </c>
      <c r="B9" s="129" t="s">
        <v>325</v>
      </c>
    </row>
    <row r="10" spans="1:9" ht="13.5" customHeight="1" x14ac:dyDescent="0.25">
      <c r="A10" s="81" t="s">
        <v>6</v>
      </c>
      <c r="B10" s="129" t="s">
        <v>363</v>
      </c>
    </row>
    <row r="11" spans="1:9" x14ac:dyDescent="0.25">
      <c r="A11" s="81" t="s">
        <v>299</v>
      </c>
      <c r="B11" s="129" t="s">
        <v>364</v>
      </c>
    </row>
    <row r="12" spans="1:9" x14ac:dyDescent="0.25">
      <c r="A12" s="81" t="s">
        <v>301</v>
      </c>
      <c r="B12" s="129" t="s">
        <v>365</v>
      </c>
    </row>
    <row r="13" spans="1:9" x14ac:dyDescent="0.25">
      <c r="A13" s="81" t="s">
        <v>303</v>
      </c>
      <c r="B13" s="129">
        <v>0</v>
      </c>
    </row>
    <row r="14" spans="1:9" x14ac:dyDescent="0.25">
      <c r="A14" s="81" t="s">
        <v>305</v>
      </c>
      <c r="B14" s="129">
        <v>213</v>
      </c>
    </row>
    <row r="15" spans="1:9" x14ac:dyDescent="0.25">
      <c r="A15" s="81" t="s">
        <v>307</v>
      </c>
      <c r="B15" s="129" t="s">
        <v>366</v>
      </c>
    </row>
    <row r="16" spans="1:9" x14ac:dyDescent="0.25">
      <c r="A16" s="81" t="s">
        <v>309</v>
      </c>
      <c r="B16" s="129" t="s">
        <v>367</v>
      </c>
    </row>
    <row r="17" spans="1:2" ht="84.6" customHeight="1" x14ac:dyDescent="0.25">
      <c r="A17" s="77" t="s">
        <v>803</v>
      </c>
      <c r="B17" s="129"/>
    </row>
    <row r="18" spans="1:2" x14ac:dyDescent="0.25">
      <c r="A18" s="77" t="s">
        <v>313</v>
      </c>
      <c r="B18" s="187">
        <v>45071</v>
      </c>
    </row>
    <row r="19" spans="1:2" x14ac:dyDescent="0.25">
      <c r="A19" s="77" t="s">
        <v>315</v>
      </c>
      <c r="B19" s="187"/>
    </row>
    <row r="20" spans="1:2" x14ac:dyDescent="0.25">
      <c r="A20" s="77" t="s">
        <v>317</v>
      </c>
      <c r="B20" s="129" t="s">
        <v>331</v>
      </c>
    </row>
    <row r="21" spans="1:2" x14ac:dyDescent="0.25">
      <c r="A21" s="77" t="s">
        <v>323</v>
      </c>
      <c r="B21" s="129" t="s">
        <v>332</v>
      </c>
    </row>
    <row r="23" spans="1:2" x14ac:dyDescent="0.25">
      <c r="B23" s="102" t="str">
        <f>HYPERLINK("#'Factor List'!A1","Back to Factor List")</f>
        <v>Back to Factor List</v>
      </c>
    </row>
    <row r="24" spans="1:2" x14ac:dyDescent="0.25">
      <c r="B24" s="102" t="s">
        <v>13</v>
      </c>
    </row>
    <row r="26" spans="1:2" x14ac:dyDescent="0.25">
      <c r="A26" s="83" t="s">
        <v>373</v>
      </c>
      <c r="B26" s="83" t="s">
        <v>824</v>
      </c>
    </row>
    <row r="27" spans="1:2" x14ac:dyDescent="0.25">
      <c r="A27" s="84">
        <v>0</v>
      </c>
      <c r="B27" s="85">
        <v>1</v>
      </c>
    </row>
    <row r="28" spans="1:2" x14ac:dyDescent="0.25">
      <c r="A28" s="84">
        <v>1</v>
      </c>
      <c r="B28" s="85">
        <v>1.02</v>
      </c>
    </row>
    <row r="29" spans="1:2" x14ac:dyDescent="0.25">
      <c r="A29" s="84">
        <v>2</v>
      </c>
      <c r="B29" s="85">
        <v>1.04</v>
      </c>
    </row>
    <row r="30" spans="1:2" x14ac:dyDescent="0.25">
      <c r="A30" s="84">
        <v>3</v>
      </c>
      <c r="B30" s="85">
        <v>1.06</v>
      </c>
    </row>
    <row r="31" spans="1:2" x14ac:dyDescent="0.25">
      <c r="A31" s="84">
        <v>4</v>
      </c>
      <c r="B31" s="85">
        <v>1.08</v>
      </c>
    </row>
    <row r="32" spans="1:2" x14ac:dyDescent="0.25">
      <c r="A32" s="84">
        <v>5</v>
      </c>
      <c r="B32" s="85">
        <v>1.1000000000000001</v>
      </c>
    </row>
    <row r="33" spans="1:2" x14ac:dyDescent="0.25">
      <c r="A33" s="84">
        <v>6</v>
      </c>
      <c r="B33" s="85">
        <v>1.1299999999999999</v>
      </c>
    </row>
    <row r="34" spans="1:2" x14ac:dyDescent="0.25">
      <c r="A34" s="84">
        <v>7</v>
      </c>
      <c r="B34" s="85">
        <v>1.1499999999999999</v>
      </c>
    </row>
    <row r="35" spans="1:2" x14ac:dyDescent="0.25">
      <c r="A35" s="84">
        <v>8</v>
      </c>
      <c r="B35" s="85">
        <v>1.17</v>
      </c>
    </row>
    <row r="36" spans="1:2" x14ac:dyDescent="0.25">
      <c r="A36" s="84">
        <v>9</v>
      </c>
      <c r="B36" s="85">
        <v>1.2</v>
      </c>
    </row>
    <row r="37" spans="1:2" x14ac:dyDescent="0.25">
      <c r="A37" s="84">
        <v>10</v>
      </c>
      <c r="B37" s="85">
        <v>1.22</v>
      </c>
    </row>
    <row r="38" spans="1:2" x14ac:dyDescent="0.25">
      <c r="A38" s="84">
        <v>11</v>
      </c>
      <c r="B38" s="85">
        <v>1.24</v>
      </c>
    </row>
    <row r="39" spans="1:2" x14ac:dyDescent="0.25">
      <c r="A39" s="84">
        <v>12</v>
      </c>
      <c r="B39" s="85">
        <v>1.27</v>
      </c>
    </row>
    <row r="40" spans="1:2" x14ac:dyDescent="0.25">
      <c r="A40" s="84">
        <v>13</v>
      </c>
      <c r="B40" s="85">
        <v>1.29</v>
      </c>
    </row>
    <row r="41" spans="1:2" x14ac:dyDescent="0.25">
      <c r="A41" s="84">
        <v>14</v>
      </c>
      <c r="B41" s="85">
        <v>1.32</v>
      </c>
    </row>
    <row r="42" spans="1:2" x14ac:dyDescent="0.25">
      <c r="A42" s="84">
        <v>15</v>
      </c>
      <c r="B42" s="85">
        <v>1.35</v>
      </c>
    </row>
    <row r="43" spans="1:2" x14ac:dyDescent="0.25">
      <c r="A43" s="84">
        <v>16</v>
      </c>
      <c r="B43" s="85">
        <v>1.37</v>
      </c>
    </row>
    <row r="44" spans="1:2" x14ac:dyDescent="0.25">
      <c r="A44" s="84">
        <v>17</v>
      </c>
      <c r="B44" s="85">
        <v>1.4</v>
      </c>
    </row>
    <row r="45" spans="1:2" x14ac:dyDescent="0.25">
      <c r="A45" s="84">
        <v>18</v>
      </c>
      <c r="B45" s="85">
        <v>1.43</v>
      </c>
    </row>
    <row r="46" spans="1:2" x14ac:dyDescent="0.25">
      <c r="A46" s="84">
        <v>19</v>
      </c>
      <c r="B46" s="85">
        <v>1.46</v>
      </c>
    </row>
    <row r="47" spans="1:2" x14ac:dyDescent="0.25">
      <c r="A47" s="84">
        <v>20</v>
      </c>
      <c r="B47" s="85">
        <v>1.49</v>
      </c>
    </row>
    <row r="48" spans="1:2" x14ac:dyDescent="0.25">
      <c r="A48" s="84">
        <v>21</v>
      </c>
      <c r="B48" s="85">
        <v>1.52</v>
      </c>
    </row>
    <row r="49" spans="1:2" x14ac:dyDescent="0.25">
      <c r="A49" s="84">
        <v>22</v>
      </c>
      <c r="B49" s="85">
        <v>1.55</v>
      </c>
    </row>
    <row r="50" spans="1:2" x14ac:dyDescent="0.25">
      <c r="A50" s="84">
        <v>23</v>
      </c>
      <c r="B50" s="85">
        <v>1.58</v>
      </c>
    </row>
    <row r="51" spans="1:2" x14ac:dyDescent="0.25">
      <c r="A51" s="84">
        <v>24</v>
      </c>
      <c r="B51" s="85">
        <v>1.61</v>
      </c>
    </row>
    <row r="52" spans="1:2" x14ac:dyDescent="0.25">
      <c r="A52" s="84">
        <v>25</v>
      </c>
      <c r="B52" s="85">
        <v>1.64</v>
      </c>
    </row>
    <row r="53" spans="1:2" x14ac:dyDescent="0.25">
      <c r="A53" s="84">
        <v>26</v>
      </c>
      <c r="B53" s="85">
        <v>1.67</v>
      </c>
    </row>
    <row r="54" spans="1:2" x14ac:dyDescent="0.25">
      <c r="A54" s="84">
        <v>27</v>
      </c>
      <c r="B54" s="85">
        <v>1.71</v>
      </c>
    </row>
    <row r="55" spans="1:2" x14ac:dyDescent="0.25">
      <c r="A55" s="84">
        <v>28</v>
      </c>
      <c r="B55" s="85">
        <v>1.74</v>
      </c>
    </row>
    <row r="56" spans="1:2" x14ac:dyDescent="0.25">
      <c r="A56" s="84">
        <v>29</v>
      </c>
      <c r="B56" s="85">
        <v>1.78</v>
      </c>
    </row>
    <row r="57" spans="1:2" x14ac:dyDescent="0.25">
      <c r="A57" s="84">
        <v>30</v>
      </c>
      <c r="B57" s="85">
        <v>1.81</v>
      </c>
    </row>
    <row r="58" spans="1:2" x14ac:dyDescent="0.25">
      <c r="A58" s="84">
        <v>31</v>
      </c>
      <c r="B58" s="85">
        <v>1.85</v>
      </c>
    </row>
    <row r="59" spans="1:2" x14ac:dyDescent="0.25">
      <c r="A59" s="84">
        <v>32</v>
      </c>
      <c r="B59" s="85">
        <v>1.88</v>
      </c>
    </row>
    <row r="60" spans="1:2" x14ac:dyDescent="0.25">
      <c r="A60" s="84">
        <v>33</v>
      </c>
      <c r="B60" s="85">
        <v>1.92</v>
      </c>
    </row>
    <row r="61" spans="1:2" x14ac:dyDescent="0.25">
      <c r="A61" s="84">
        <v>34</v>
      </c>
      <c r="B61" s="85">
        <v>1.96</v>
      </c>
    </row>
    <row r="62" spans="1:2" x14ac:dyDescent="0.25">
      <c r="A62" s="84">
        <v>35</v>
      </c>
      <c r="B62" s="85">
        <v>2</v>
      </c>
    </row>
    <row r="63" spans="1:2" x14ac:dyDescent="0.25">
      <c r="A63" s="84">
        <v>36</v>
      </c>
      <c r="B63" s="85">
        <v>2.04</v>
      </c>
    </row>
    <row r="64" spans="1:2" x14ac:dyDescent="0.25">
      <c r="A64" s="84">
        <v>37</v>
      </c>
      <c r="B64" s="85">
        <v>2.08</v>
      </c>
    </row>
    <row r="65" spans="1:2" x14ac:dyDescent="0.25">
      <c r="A65" s="84">
        <v>38</v>
      </c>
      <c r="B65" s="85">
        <v>2.12</v>
      </c>
    </row>
    <row r="66" spans="1:2" x14ac:dyDescent="0.25">
      <c r="A66" s="84">
        <v>39</v>
      </c>
      <c r="B66" s="85">
        <v>2.16</v>
      </c>
    </row>
    <row r="67" spans="1:2" x14ac:dyDescent="0.25">
      <c r="A67" s="84">
        <v>40</v>
      </c>
      <c r="B67" s="85">
        <v>2.21</v>
      </c>
    </row>
    <row r="68" spans="1:2" x14ac:dyDescent="0.25">
      <c r="A68" s="84">
        <v>41</v>
      </c>
      <c r="B68" s="85">
        <v>2.25</v>
      </c>
    </row>
    <row r="69" spans="1:2" x14ac:dyDescent="0.25">
      <c r="A69" s="84">
        <v>42</v>
      </c>
      <c r="B69" s="85">
        <v>2.2999999999999998</v>
      </c>
    </row>
    <row r="70" spans="1:2" x14ac:dyDescent="0.25">
      <c r="A70" s="84">
        <v>43</v>
      </c>
      <c r="B70" s="85">
        <v>2.34</v>
      </c>
    </row>
    <row r="71" spans="1:2" x14ac:dyDescent="0.25">
      <c r="A71" s="84">
        <v>44</v>
      </c>
      <c r="B71" s="85">
        <v>2.39</v>
      </c>
    </row>
    <row r="72" spans="1:2" x14ac:dyDescent="0.25">
      <c r="A72" s="84">
        <v>45</v>
      </c>
      <c r="B72" s="85">
        <v>2.44</v>
      </c>
    </row>
    <row r="73" spans="1:2" x14ac:dyDescent="0.25">
      <c r="A73" s="84">
        <v>46</v>
      </c>
      <c r="B73" s="85">
        <v>2.4900000000000002</v>
      </c>
    </row>
    <row r="74" spans="1:2" x14ac:dyDescent="0.25">
      <c r="A74" s="84">
        <v>47</v>
      </c>
      <c r="B74" s="85">
        <v>2.54</v>
      </c>
    </row>
    <row r="75" spans="1:2" x14ac:dyDescent="0.25">
      <c r="A75" s="84">
        <v>48</v>
      </c>
      <c r="B75" s="85">
        <v>2.59</v>
      </c>
    </row>
    <row r="76" spans="1:2" x14ac:dyDescent="0.25">
      <c r="A76" s="84">
        <v>49</v>
      </c>
      <c r="B76" s="85">
        <v>2.64</v>
      </c>
    </row>
    <row r="77" spans="1:2" x14ac:dyDescent="0.25">
      <c r="A77" s="84">
        <v>50</v>
      </c>
      <c r="B77" s="85">
        <v>2.69</v>
      </c>
    </row>
  </sheetData>
  <sheetProtection algorithmName="SHA-512" hashValue="wap3NTuZ7QOhGBGwAuauyJWTk2jCWuG4suVqNdexqiHcrmD/miww1inMCVefm7q/WMk+rGSAxh5Wm9QxIgwvnw==" saltValue="boaFnKJPfohG31WyD3RaeA==" spinCount="100000" sheet="1" objects="1" scenarios="1"/>
  <conditionalFormatting sqref="A6:A21">
    <cfRule type="expression" dxfId="1343" priority="7" stopIfTrue="1">
      <formula>MOD(ROW(),2)=0</formula>
    </cfRule>
    <cfRule type="expression" dxfId="1342" priority="8" stopIfTrue="1">
      <formula>MOD(ROW(),2)&lt;&gt;0</formula>
    </cfRule>
  </conditionalFormatting>
  <conditionalFormatting sqref="A26:A77">
    <cfRule type="expression" dxfId="1341" priority="37" stopIfTrue="1">
      <formula>MOD(ROW(),2)=0</formula>
    </cfRule>
    <cfRule type="expression" dxfId="1340" priority="38" stopIfTrue="1">
      <formula>MOD(ROW(),2)&lt;&gt;0</formula>
    </cfRule>
  </conditionalFormatting>
  <conditionalFormatting sqref="B6">
    <cfRule type="expression" dxfId="1339" priority="23" stopIfTrue="1">
      <formula>MOD(ROW(),2)=0</formula>
    </cfRule>
    <cfRule type="expression" dxfId="1338" priority="24" stopIfTrue="1">
      <formula>MOD(ROW(),2)&lt;&gt;0</formula>
    </cfRule>
  </conditionalFormatting>
  <conditionalFormatting sqref="B6:B21">
    <cfRule type="expression" dxfId="1337" priority="11" stopIfTrue="1">
      <formula>MOD(ROW(),2)=0</formula>
    </cfRule>
    <cfRule type="expression" dxfId="1336" priority="12" stopIfTrue="1">
      <formula>MOD(ROW(),2)&lt;&gt;0</formula>
    </cfRule>
  </conditionalFormatting>
  <conditionalFormatting sqref="B8:B16">
    <cfRule type="expression" dxfId="1335" priority="13" stopIfTrue="1">
      <formula>MOD(ROW(),2)=0</formula>
    </cfRule>
    <cfRule type="expression" dxfId="1334" priority="14" stopIfTrue="1">
      <formula>MOD(ROW(),2)&lt;&gt;0</formula>
    </cfRule>
  </conditionalFormatting>
  <conditionalFormatting sqref="B17">
    <cfRule type="expression" dxfId="1333" priority="1" stopIfTrue="1">
      <formula>MOD(ROW(),2)=0</formula>
    </cfRule>
    <cfRule type="expression" dxfId="1332" priority="2" stopIfTrue="1">
      <formula>MOD(ROW(),2)&lt;&gt;0</formula>
    </cfRule>
  </conditionalFormatting>
  <conditionalFormatting sqref="B18:B21">
    <cfRule type="expression" dxfId="1331" priority="35" stopIfTrue="1">
      <formula>MOD(ROW(),2)=0</formula>
    </cfRule>
    <cfRule type="expression" dxfId="1330" priority="36" stopIfTrue="1">
      <formula>MOD(ROW(),2)&lt;&gt;0</formula>
    </cfRule>
  </conditionalFormatting>
  <conditionalFormatting sqref="B26:B77">
    <cfRule type="expression" dxfId="1329" priority="3" stopIfTrue="1">
      <formula>MOD(ROW(),2)=0</formula>
    </cfRule>
    <cfRule type="expression" dxfId="1328" priority="4" stopIfTrue="1">
      <formula>MOD(ROW(),2)&lt;&gt;0</formula>
    </cfRule>
  </conditionalFormatting>
  <hyperlinks>
    <hyperlink ref="B24" location="Sheet1!A1" display="Assumptions" xr:uid="{5F31BB06-C98B-48B4-99B7-5E5084C41A2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topLeftCell="A7" zoomScale="85" zoomScaleNormal="85" workbookViewId="0">
      <selection activeCell="A3" sqref="A3"/>
    </sheetView>
  </sheetViews>
  <sheetFormatPr defaultRowHeight="13.2" x14ac:dyDescent="0.25"/>
  <sheetData>
    <row r="1" spans="1:13" ht="21" x14ac:dyDescent="0.4">
      <c r="A1" s="4" t="s">
        <v>0</v>
      </c>
      <c r="B1" s="4"/>
      <c r="C1" s="4"/>
      <c r="D1" s="4"/>
      <c r="E1" s="4"/>
      <c r="F1" s="4"/>
      <c r="G1" s="4"/>
      <c r="H1" s="4"/>
      <c r="I1" s="4"/>
      <c r="J1" s="4"/>
      <c r="K1" s="4"/>
      <c r="L1" s="4"/>
      <c r="M1" s="4"/>
    </row>
    <row r="2" spans="1:13" ht="15.6" x14ac:dyDescent="0.3">
      <c r="A2" s="5" t="str">
        <f>IF(title="&gt; Enter workbook title here","Enter workbook title in Cover sheet",title)</f>
        <v>Civil Service Pension Schemes - Consolidated Factor Spreadsheet</v>
      </c>
      <c r="B2" s="5"/>
      <c r="C2" s="5"/>
      <c r="D2" s="5"/>
      <c r="E2" s="5"/>
      <c r="F2" s="5"/>
      <c r="G2" s="5"/>
      <c r="H2" s="5"/>
      <c r="I2" s="5"/>
      <c r="J2" s="5"/>
      <c r="K2" s="5"/>
      <c r="L2" s="5"/>
      <c r="M2" s="5"/>
    </row>
    <row r="3" spans="1:13" ht="15.6" x14ac:dyDescent="0.3">
      <c r="A3" s="6" t="s">
        <v>31</v>
      </c>
      <c r="B3" s="6"/>
      <c r="C3" s="6"/>
      <c r="D3" s="6"/>
      <c r="E3" s="6"/>
      <c r="F3" s="6"/>
      <c r="G3" s="6"/>
      <c r="H3" s="6"/>
      <c r="I3" s="6"/>
      <c r="J3" s="6"/>
      <c r="K3" s="6"/>
      <c r="L3" s="6"/>
      <c r="M3" s="6"/>
    </row>
    <row r="4" spans="1:13" x14ac:dyDescent="0.25">
      <c r="A4" s="7" t="str">
        <f ca="1">CELL("filename",A1)</f>
        <v>https://tris42.sharepoint.com/sites/gad_wrkgrp_actuarial/pspsactuarialwork/Central/Factors &amp; Guidance/2024 Guidance Review/4. Online portal/3. Import data/3. Factor tables/0_client_friendly/Ready to be uploaded/2025-03/[CS GB Consolidated Factors 2025-02.xlsx]Purpose of spreadsheet</v>
      </c>
      <c r="B4" s="7"/>
    </row>
    <row r="5" spans="1:13" x14ac:dyDescent="0.25">
      <c r="E5" s="8"/>
      <c r="F5" s="8"/>
      <c r="G5" s="8"/>
    </row>
    <row r="7" spans="1:13" ht="23.25" customHeight="1" x14ac:dyDescent="0.3">
      <c r="A7" s="192" t="s">
        <v>32</v>
      </c>
      <c r="B7" s="193"/>
      <c r="C7" s="193"/>
      <c r="D7" s="193"/>
      <c r="E7" s="193"/>
      <c r="F7" s="193"/>
      <c r="G7" s="193"/>
      <c r="H7" s="193"/>
      <c r="I7" s="193"/>
      <c r="J7" s="193"/>
      <c r="K7" s="193"/>
      <c r="L7" s="193"/>
      <c r="M7" s="194"/>
    </row>
    <row r="8" spans="1:13" x14ac:dyDescent="0.25">
      <c r="A8" s="28"/>
      <c r="M8" s="18"/>
    </row>
    <row r="9" spans="1:13" x14ac:dyDescent="0.25">
      <c r="A9" s="195" t="s">
        <v>33</v>
      </c>
      <c r="B9" s="196"/>
      <c r="C9" s="196"/>
      <c r="D9" s="196"/>
      <c r="E9" s="196"/>
      <c r="F9" s="196"/>
      <c r="G9" s="196"/>
      <c r="H9" s="196"/>
      <c r="I9" s="196"/>
      <c r="J9" s="196"/>
      <c r="K9" s="196"/>
      <c r="L9" s="196"/>
      <c r="M9" s="197"/>
    </row>
    <row r="10" spans="1:13" ht="22.5" customHeight="1" x14ac:dyDescent="0.25">
      <c r="A10" s="198"/>
      <c r="B10" s="196"/>
      <c r="C10" s="196"/>
      <c r="D10" s="196"/>
      <c r="E10" s="196"/>
      <c r="F10" s="196"/>
      <c r="G10" s="196"/>
      <c r="H10" s="196"/>
      <c r="I10" s="196"/>
      <c r="J10" s="196"/>
      <c r="K10" s="196"/>
      <c r="L10" s="196"/>
      <c r="M10" s="197"/>
    </row>
    <row r="11" spans="1:13" ht="31.5" customHeight="1" x14ac:dyDescent="0.25">
      <c r="A11" s="198"/>
      <c r="B11" s="196"/>
      <c r="C11" s="196"/>
      <c r="D11" s="196"/>
      <c r="E11" s="196"/>
      <c r="F11" s="196"/>
      <c r="G11" s="196"/>
      <c r="H11" s="196"/>
      <c r="I11" s="196"/>
      <c r="J11" s="196"/>
      <c r="K11" s="196"/>
      <c r="L11" s="196"/>
      <c r="M11" s="197"/>
    </row>
    <row r="12" spans="1:13" ht="125.25" customHeight="1" x14ac:dyDescent="0.25">
      <c r="A12" s="199"/>
      <c r="B12" s="200"/>
      <c r="C12" s="200"/>
      <c r="D12" s="200"/>
      <c r="E12" s="200"/>
      <c r="F12" s="200"/>
      <c r="G12" s="200"/>
      <c r="H12" s="200"/>
      <c r="I12" s="200"/>
      <c r="J12" s="200"/>
      <c r="K12" s="200"/>
      <c r="L12" s="200"/>
      <c r="M12" s="201"/>
    </row>
  </sheetData>
  <sheetProtection algorithmName="SHA-512" hashValue="zV9PLJyakqEXpXd8qMPStDOu9ka9mRK8JIDu9qu7zEB+nYqThNYd3axt7B5qFNGUgkEUPvHhExa/9uZX/aebew==" saltValue="Bhi0pJymnr9xjk52Ri+S4Q=="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6"/>
  <dimension ref="A1:I77"/>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CETV - x-214</v>
      </c>
      <c r="B3" s="42"/>
      <c r="C3" s="42"/>
      <c r="D3" s="42"/>
      <c r="E3" s="42"/>
      <c r="F3" s="42"/>
      <c r="G3" s="42"/>
      <c r="H3" s="42"/>
      <c r="I3" s="42"/>
    </row>
    <row r="4" spans="1:9" x14ac:dyDescent="0.25">
      <c r="A4" s="44"/>
    </row>
    <row r="6" spans="1:9" x14ac:dyDescent="0.25">
      <c r="A6" s="76" t="s">
        <v>290</v>
      </c>
      <c r="B6" s="129" t="s">
        <v>291</v>
      </c>
    </row>
    <row r="7" spans="1:9" ht="30.6" customHeight="1" x14ac:dyDescent="0.25">
      <c r="A7" s="77" t="s">
        <v>804</v>
      </c>
      <c r="B7" s="129" t="s">
        <v>345</v>
      </c>
    </row>
    <row r="8" spans="1:9" x14ac:dyDescent="0.25">
      <c r="A8" s="77" t="s">
        <v>805</v>
      </c>
      <c r="B8" s="129" t="s">
        <v>89</v>
      </c>
    </row>
    <row r="9" spans="1:9" x14ac:dyDescent="0.25">
      <c r="A9" s="77" t="s">
        <v>296</v>
      </c>
      <c r="B9" s="129" t="s">
        <v>325</v>
      </c>
    </row>
    <row r="10" spans="1:9" ht="15.6" customHeight="1" x14ac:dyDescent="0.25">
      <c r="A10" s="81" t="s">
        <v>6</v>
      </c>
      <c r="B10" s="129" t="s">
        <v>368</v>
      </c>
    </row>
    <row r="11" spans="1:9" x14ac:dyDescent="0.25">
      <c r="A11" s="81" t="s">
        <v>299</v>
      </c>
      <c r="B11" s="129" t="s">
        <v>364</v>
      </c>
    </row>
    <row r="12" spans="1:9" x14ac:dyDescent="0.25">
      <c r="A12" s="81" t="s">
        <v>301</v>
      </c>
      <c r="B12" s="129" t="s">
        <v>365</v>
      </c>
    </row>
    <row r="13" spans="1:9" x14ac:dyDescent="0.25">
      <c r="A13" s="81" t="s">
        <v>303</v>
      </c>
      <c r="B13" s="129">
        <v>1</v>
      </c>
    </row>
    <row r="14" spans="1:9" x14ac:dyDescent="0.25">
      <c r="A14" s="81" t="s">
        <v>305</v>
      </c>
      <c r="B14" s="129">
        <v>214</v>
      </c>
    </row>
    <row r="15" spans="1:9" x14ac:dyDescent="0.25">
      <c r="A15" s="81" t="s">
        <v>307</v>
      </c>
      <c r="B15" s="129" t="s">
        <v>369</v>
      </c>
    </row>
    <row r="16" spans="1:9" x14ac:dyDescent="0.25">
      <c r="A16" s="81" t="s">
        <v>309</v>
      </c>
      <c r="B16" s="129" t="s">
        <v>370</v>
      </c>
    </row>
    <row r="17" spans="1:2" ht="123" customHeight="1" x14ac:dyDescent="0.25">
      <c r="A17" s="77" t="s">
        <v>803</v>
      </c>
      <c r="B17" s="129"/>
    </row>
    <row r="18" spans="1:2" x14ac:dyDescent="0.25">
      <c r="A18" s="77" t="s">
        <v>313</v>
      </c>
      <c r="B18" s="187">
        <v>45071</v>
      </c>
    </row>
    <row r="19" spans="1:2" x14ac:dyDescent="0.25">
      <c r="A19" s="77" t="s">
        <v>315</v>
      </c>
      <c r="B19" s="187"/>
    </row>
    <row r="20" spans="1:2" x14ac:dyDescent="0.25">
      <c r="A20" s="77" t="s">
        <v>317</v>
      </c>
      <c r="B20" s="129" t="s">
        <v>331</v>
      </c>
    </row>
    <row r="21" spans="1:2" x14ac:dyDescent="0.25">
      <c r="A21" s="77" t="s">
        <v>323</v>
      </c>
      <c r="B21" s="129" t="s">
        <v>332</v>
      </c>
    </row>
    <row r="23" spans="1:2" x14ac:dyDescent="0.25">
      <c r="B23" s="102" t="str">
        <f>HYPERLINK("#'Factor List'!A1","Back to Factor List")</f>
        <v>Back to Factor List</v>
      </c>
    </row>
    <row r="24" spans="1:2" x14ac:dyDescent="0.25">
      <c r="B24" s="102" t="s">
        <v>13</v>
      </c>
    </row>
    <row r="25" spans="1:2" x14ac:dyDescent="0.25">
      <c r="B25" s="102"/>
    </row>
    <row r="26" spans="1:2" x14ac:dyDescent="0.25">
      <c r="A26" s="83" t="s">
        <v>373</v>
      </c>
      <c r="B26" s="83" t="s">
        <v>824</v>
      </c>
    </row>
    <row r="27" spans="1:2" x14ac:dyDescent="0.25">
      <c r="A27" s="84">
        <v>0</v>
      </c>
      <c r="B27" s="85">
        <v>1</v>
      </c>
    </row>
    <row r="28" spans="1:2" x14ac:dyDescent="0.25">
      <c r="A28" s="84">
        <v>1</v>
      </c>
      <c r="B28" s="85">
        <v>1.02</v>
      </c>
    </row>
    <row r="29" spans="1:2" x14ac:dyDescent="0.25">
      <c r="A29" s="84">
        <v>2</v>
      </c>
      <c r="B29" s="85">
        <v>1.04</v>
      </c>
    </row>
    <row r="30" spans="1:2" x14ac:dyDescent="0.25">
      <c r="A30" s="84">
        <v>3</v>
      </c>
      <c r="B30" s="85">
        <v>1.06</v>
      </c>
    </row>
    <row r="31" spans="1:2" x14ac:dyDescent="0.25">
      <c r="A31" s="84">
        <v>4</v>
      </c>
      <c r="B31" s="85">
        <v>1.08</v>
      </c>
    </row>
    <row r="32" spans="1:2" x14ac:dyDescent="0.25">
      <c r="A32" s="84">
        <v>5</v>
      </c>
      <c r="B32" s="85">
        <v>1.1000000000000001</v>
      </c>
    </row>
    <row r="33" spans="1:2" x14ac:dyDescent="0.25">
      <c r="A33" s="84">
        <v>6</v>
      </c>
      <c r="B33" s="85">
        <v>1.1299999999999999</v>
      </c>
    </row>
    <row r="34" spans="1:2" x14ac:dyDescent="0.25">
      <c r="A34" s="84">
        <v>7</v>
      </c>
      <c r="B34" s="85">
        <v>1.1499999999999999</v>
      </c>
    </row>
    <row r="35" spans="1:2" x14ac:dyDescent="0.25">
      <c r="A35" s="84">
        <v>8</v>
      </c>
      <c r="B35" s="85">
        <v>1.17</v>
      </c>
    </row>
    <row r="36" spans="1:2" x14ac:dyDescent="0.25">
      <c r="A36" s="84">
        <v>9</v>
      </c>
      <c r="B36" s="85">
        <v>1.2</v>
      </c>
    </row>
    <row r="37" spans="1:2" x14ac:dyDescent="0.25">
      <c r="A37" s="84">
        <v>10</v>
      </c>
      <c r="B37" s="85">
        <v>1.22</v>
      </c>
    </row>
    <row r="38" spans="1:2" x14ac:dyDescent="0.25">
      <c r="A38" s="84">
        <v>11</v>
      </c>
      <c r="B38" s="85">
        <v>1.24</v>
      </c>
    </row>
    <row r="39" spans="1:2" x14ac:dyDescent="0.25">
      <c r="A39" s="84">
        <v>12</v>
      </c>
      <c r="B39" s="85">
        <v>1.27</v>
      </c>
    </row>
    <row r="40" spans="1:2" x14ac:dyDescent="0.25">
      <c r="A40" s="84">
        <v>13</v>
      </c>
      <c r="B40" s="85">
        <v>1.29</v>
      </c>
    </row>
    <row r="41" spans="1:2" x14ac:dyDescent="0.25">
      <c r="A41" s="84">
        <v>14</v>
      </c>
      <c r="B41" s="85">
        <v>1.32</v>
      </c>
    </row>
    <row r="42" spans="1:2" x14ac:dyDescent="0.25">
      <c r="A42" s="84">
        <v>15</v>
      </c>
      <c r="B42" s="85">
        <v>1.35</v>
      </c>
    </row>
    <row r="43" spans="1:2" x14ac:dyDescent="0.25">
      <c r="A43" s="84">
        <v>16</v>
      </c>
      <c r="B43" s="85">
        <v>1.37</v>
      </c>
    </row>
    <row r="44" spans="1:2" x14ac:dyDescent="0.25">
      <c r="A44" s="84">
        <v>17</v>
      </c>
      <c r="B44" s="85">
        <v>1.4</v>
      </c>
    </row>
    <row r="45" spans="1:2" x14ac:dyDescent="0.25">
      <c r="A45" s="84">
        <v>18</v>
      </c>
      <c r="B45" s="85">
        <v>1.43</v>
      </c>
    </row>
    <row r="46" spans="1:2" x14ac:dyDescent="0.25">
      <c r="A46" s="84">
        <v>19</v>
      </c>
      <c r="B46" s="85">
        <v>1.46</v>
      </c>
    </row>
    <row r="47" spans="1:2" x14ac:dyDescent="0.25">
      <c r="A47" s="84">
        <v>20</v>
      </c>
      <c r="B47" s="85">
        <v>1.49</v>
      </c>
    </row>
    <row r="48" spans="1:2" x14ac:dyDescent="0.25">
      <c r="A48" s="84">
        <v>21</v>
      </c>
      <c r="B48" s="85">
        <v>1.52</v>
      </c>
    </row>
    <row r="49" spans="1:2" x14ac:dyDescent="0.25">
      <c r="A49" s="84">
        <v>22</v>
      </c>
      <c r="B49" s="85">
        <v>1.55</v>
      </c>
    </row>
    <row r="50" spans="1:2" x14ac:dyDescent="0.25">
      <c r="A50" s="84">
        <v>23</v>
      </c>
      <c r="B50" s="85">
        <v>1.58</v>
      </c>
    </row>
    <row r="51" spans="1:2" x14ac:dyDescent="0.25">
      <c r="A51" s="84">
        <v>24</v>
      </c>
      <c r="B51" s="85">
        <v>1.61</v>
      </c>
    </row>
    <row r="52" spans="1:2" x14ac:dyDescent="0.25">
      <c r="A52" s="84">
        <v>25</v>
      </c>
      <c r="B52" s="85">
        <v>1.64</v>
      </c>
    </row>
    <row r="53" spans="1:2" x14ac:dyDescent="0.25">
      <c r="A53" s="84">
        <v>26</v>
      </c>
      <c r="B53" s="85">
        <v>1.67</v>
      </c>
    </row>
    <row r="54" spans="1:2" x14ac:dyDescent="0.25">
      <c r="A54" s="84">
        <v>27</v>
      </c>
      <c r="B54" s="85">
        <v>1.71</v>
      </c>
    </row>
    <row r="55" spans="1:2" x14ac:dyDescent="0.25">
      <c r="A55" s="84">
        <v>28</v>
      </c>
      <c r="B55" s="85">
        <v>1.74</v>
      </c>
    </row>
    <row r="56" spans="1:2" x14ac:dyDescent="0.25">
      <c r="A56" s="84">
        <v>29</v>
      </c>
      <c r="B56" s="85">
        <v>1.78</v>
      </c>
    </row>
    <row r="57" spans="1:2" x14ac:dyDescent="0.25">
      <c r="A57" s="84">
        <v>30</v>
      </c>
      <c r="B57" s="85">
        <v>1.81</v>
      </c>
    </row>
    <row r="58" spans="1:2" x14ac:dyDescent="0.25">
      <c r="A58" s="84">
        <v>31</v>
      </c>
      <c r="B58" s="85">
        <v>1.85</v>
      </c>
    </row>
    <row r="59" spans="1:2" x14ac:dyDescent="0.25">
      <c r="A59" s="84">
        <v>32</v>
      </c>
      <c r="B59" s="85">
        <v>1.88</v>
      </c>
    </row>
    <row r="60" spans="1:2" x14ac:dyDescent="0.25">
      <c r="A60" s="84">
        <v>33</v>
      </c>
      <c r="B60" s="85">
        <v>1.92</v>
      </c>
    </row>
    <row r="61" spans="1:2" x14ac:dyDescent="0.25">
      <c r="A61" s="84">
        <v>34</v>
      </c>
      <c r="B61" s="85">
        <v>1.96</v>
      </c>
    </row>
    <row r="62" spans="1:2" x14ac:dyDescent="0.25">
      <c r="A62" s="84">
        <v>35</v>
      </c>
      <c r="B62" s="85">
        <v>2</v>
      </c>
    </row>
    <row r="63" spans="1:2" x14ac:dyDescent="0.25">
      <c r="A63" s="84">
        <v>36</v>
      </c>
      <c r="B63" s="85">
        <v>2.04</v>
      </c>
    </row>
    <row r="64" spans="1:2" x14ac:dyDescent="0.25">
      <c r="A64" s="84">
        <v>37</v>
      </c>
      <c r="B64" s="85">
        <v>2.08</v>
      </c>
    </row>
    <row r="65" spans="1:2" x14ac:dyDescent="0.25">
      <c r="A65" s="84">
        <v>38</v>
      </c>
      <c r="B65" s="85">
        <v>2.12</v>
      </c>
    </row>
    <row r="66" spans="1:2" x14ac:dyDescent="0.25">
      <c r="A66" s="84">
        <v>39</v>
      </c>
      <c r="B66" s="85">
        <v>2.16</v>
      </c>
    </row>
    <row r="67" spans="1:2" x14ac:dyDescent="0.25">
      <c r="A67" s="84">
        <v>40</v>
      </c>
      <c r="B67" s="85">
        <v>2.21</v>
      </c>
    </row>
    <row r="68" spans="1:2" x14ac:dyDescent="0.25">
      <c r="A68" s="84">
        <v>41</v>
      </c>
      <c r="B68" s="85">
        <v>2.25</v>
      </c>
    </row>
    <row r="69" spans="1:2" x14ac:dyDescent="0.25">
      <c r="A69" s="84">
        <v>42</v>
      </c>
      <c r="B69" s="85">
        <v>2.2999999999999998</v>
      </c>
    </row>
    <row r="70" spans="1:2" x14ac:dyDescent="0.25">
      <c r="A70" s="84">
        <v>43</v>
      </c>
      <c r="B70" s="85">
        <v>2.34</v>
      </c>
    </row>
    <row r="71" spans="1:2" x14ac:dyDescent="0.25">
      <c r="A71" s="84">
        <v>44</v>
      </c>
      <c r="B71" s="85">
        <v>2.39</v>
      </c>
    </row>
    <row r="72" spans="1:2" x14ac:dyDescent="0.25">
      <c r="A72" s="84">
        <v>45</v>
      </c>
      <c r="B72" s="85">
        <v>2.44</v>
      </c>
    </row>
    <row r="73" spans="1:2" x14ac:dyDescent="0.25">
      <c r="A73" s="84">
        <v>46</v>
      </c>
      <c r="B73" s="85">
        <v>2.4900000000000002</v>
      </c>
    </row>
    <row r="74" spans="1:2" x14ac:dyDescent="0.25">
      <c r="A74" s="84">
        <v>47</v>
      </c>
      <c r="B74" s="85">
        <v>2.54</v>
      </c>
    </row>
    <row r="75" spans="1:2" x14ac:dyDescent="0.25">
      <c r="A75" s="84">
        <v>48</v>
      </c>
      <c r="B75" s="85">
        <v>2.59</v>
      </c>
    </row>
    <row r="76" spans="1:2" x14ac:dyDescent="0.25">
      <c r="A76" s="84">
        <v>49</v>
      </c>
      <c r="B76" s="85">
        <v>2.64</v>
      </c>
    </row>
    <row r="77" spans="1:2" x14ac:dyDescent="0.25">
      <c r="A77" s="84">
        <v>50</v>
      </c>
      <c r="B77" s="85">
        <v>2.69</v>
      </c>
    </row>
  </sheetData>
  <sheetProtection algorithmName="SHA-512" hashValue="5S84PRN65mCMs7hFt8pwekO8g5kXUTSQsIPVevRAGrzdOZvhkphMf2UaWj12hYBkrERuxsgm9mzuStHUXrhS8g==" saltValue="zkyPErGIEnIF0E/46kJjsQ==" spinCount="100000" sheet="1" objects="1" scenarios="1"/>
  <conditionalFormatting sqref="A6:A21">
    <cfRule type="expression" dxfId="1327" priority="1" stopIfTrue="1">
      <formula>MOD(ROW(),2)=0</formula>
    </cfRule>
    <cfRule type="expression" dxfId="1326" priority="2" stopIfTrue="1">
      <formula>MOD(ROW(),2)&lt;&gt;0</formula>
    </cfRule>
  </conditionalFormatting>
  <conditionalFormatting sqref="A26:A77">
    <cfRule type="expression" dxfId="1325" priority="33" stopIfTrue="1">
      <formula>MOD(ROW(),2)=0</formula>
    </cfRule>
    <cfRule type="expression" dxfId="1324" priority="34" stopIfTrue="1">
      <formula>MOD(ROW(),2)&lt;&gt;0</formula>
    </cfRule>
  </conditionalFormatting>
  <conditionalFormatting sqref="B6 B8:B16">
    <cfRule type="expression" dxfId="1323" priority="21" stopIfTrue="1">
      <formula>MOD(ROW(),2)=0</formula>
    </cfRule>
    <cfRule type="expression" dxfId="1322" priority="22" stopIfTrue="1">
      <formula>MOD(ROW(),2)&lt;&gt;0</formula>
    </cfRule>
  </conditionalFormatting>
  <conditionalFormatting sqref="B6:B21">
    <cfRule type="expression" dxfId="1321" priority="17" stopIfTrue="1">
      <formula>MOD(ROW(),2)=0</formula>
    </cfRule>
    <cfRule type="expression" dxfId="1320" priority="18" stopIfTrue="1">
      <formula>MOD(ROW(),2)&lt;&gt;0</formula>
    </cfRule>
  </conditionalFormatting>
  <conditionalFormatting sqref="B17">
    <cfRule type="expression" dxfId="1319" priority="5" stopIfTrue="1">
      <formula>MOD(ROW(),2)=0</formula>
    </cfRule>
    <cfRule type="expression" dxfId="1318" priority="6" stopIfTrue="1">
      <formula>MOD(ROW(),2)&lt;&gt;0</formula>
    </cfRule>
  </conditionalFormatting>
  <conditionalFormatting sqref="B18:B20">
    <cfRule type="expression" dxfId="1317" priority="31" stopIfTrue="1">
      <formula>MOD(ROW(),2)=0</formula>
    </cfRule>
    <cfRule type="expression" dxfId="1316" priority="32" stopIfTrue="1">
      <formula>MOD(ROW(),2)&lt;&gt;0</formula>
    </cfRule>
  </conditionalFormatting>
  <conditionalFormatting sqref="B21">
    <cfRule type="expression" dxfId="1315" priority="3" stopIfTrue="1">
      <formula>MOD(ROW(),2)=0</formula>
    </cfRule>
    <cfRule type="expression" dxfId="1314" priority="4" stopIfTrue="1">
      <formula>MOD(ROW(),2)&lt;&gt;0</formula>
    </cfRule>
  </conditionalFormatting>
  <conditionalFormatting sqref="B26:B77">
    <cfRule type="expression" dxfId="1313" priority="9" stopIfTrue="1">
      <formula>MOD(ROW(),2)=0</formula>
    </cfRule>
    <cfRule type="expression" dxfId="1312" priority="10" stopIfTrue="1">
      <formula>MOD(ROW(),2)&lt;&gt;0</formula>
    </cfRule>
  </conditionalFormatting>
  <hyperlinks>
    <hyperlink ref="B24" location="Sheet1!A1" display="Assumptions" xr:uid="{B483FAAD-36D0-4362-A784-848194AA1D0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15"/>
  <dimension ref="A1:E85"/>
  <sheetViews>
    <sheetView showGridLines="0" zoomScale="85" zoomScaleNormal="85" workbookViewId="0">
      <selection activeCell="A4" sqref="A4"/>
    </sheetView>
  </sheetViews>
  <sheetFormatPr defaultColWidth="10" defaultRowHeight="13.2" x14ac:dyDescent="0.25"/>
  <cols>
    <col min="1" max="1" width="31.5546875" style="27" customWidth="1"/>
    <col min="2" max="5" width="22.5546875" style="27" customWidth="1"/>
    <col min="6" max="16384" width="10" style="27"/>
  </cols>
  <sheetData>
    <row r="1" spans="1:5" ht="21" x14ac:dyDescent="0.4">
      <c r="A1" s="39" t="s">
        <v>0</v>
      </c>
      <c r="B1" s="40"/>
      <c r="C1" s="40"/>
      <c r="D1" s="40"/>
      <c r="E1" s="40"/>
    </row>
    <row r="2" spans="1:5" ht="15.6" x14ac:dyDescent="0.3">
      <c r="A2" s="41" t="str">
        <f>IF(title="&gt; Enter workbook title here","Enter workbook title in Cover sheet",title)</f>
        <v>Civil Service Pension Schemes - Consolidated Factor Spreadsheet</v>
      </c>
      <c r="B2" s="42"/>
      <c r="C2" s="42"/>
      <c r="D2" s="42"/>
      <c r="E2" s="42"/>
    </row>
    <row r="3" spans="1:5" ht="15.6" x14ac:dyDescent="0.3">
      <c r="A3" s="43" t="str">
        <f>TABLE_FACTOR_TYPE_1&amp;" - x-"&amp;TABLE_SERIES_NUMBER_1</f>
        <v>TV In (non-club) - x-215</v>
      </c>
      <c r="B3" s="42"/>
      <c r="C3" s="42"/>
      <c r="D3" s="42"/>
      <c r="E3" s="42"/>
    </row>
    <row r="4" spans="1:5" x14ac:dyDescent="0.25">
      <c r="A4" s="44"/>
    </row>
    <row r="6" spans="1:5" x14ac:dyDescent="0.25">
      <c r="A6" s="76" t="s">
        <v>290</v>
      </c>
      <c r="B6" s="129" t="s">
        <v>291</v>
      </c>
      <c r="C6" s="129"/>
      <c r="D6" s="129"/>
      <c r="E6" s="129"/>
    </row>
    <row r="7" spans="1:5" x14ac:dyDescent="0.25">
      <c r="A7" s="77" t="s">
        <v>804</v>
      </c>
      <c r="B7" s="129" t="s">
        <v>324</v>
      </c>
      <c r="C7" s="129"/>
      <c r="D7" s="129"/>
      <c r="E7" s="129"/>
    </row>
    <row r="8" spans="1:5" x14ac:dyDescent="0.25">
      <c r="A8" s="77" t="s">
        <v>805</v>
      </c>
      <c r="B8" s="129" t="s">
        <v>85</v>
      </c>
      <c r="C8" s="129"/>
      <c r="D8" s="129"/>
      <c r="E8" s="129"/>
    </row>
    <row r="9" spans="1:5" x14ac:dyDescent="0.25">
      <c r="A9" s="77" t="s">
        <v>296</v>
      </c>
      <c r="B9" s="129" t="s">
        <v>371</v>
      </c>
      <c r="C9" s="129"/>
      <c r="D9" s="129"/>
      <c r="E9" s="129"/>
    </row>
    <row r="10" spans="1:5" x14ac:dyDescent="0.25">
      <c r="A10" s="77" t="s">
        <v>6</v>
      </c>
      <c r="B10" s="129" t="s">
        <v>372</v>
      </c>
      <c r="C10" s="129"/>
      <c r="D10" s="129"/>
      <c r="E10" s="129"/>
    </row>
    <row r="11" spans="1:5" x14ac:dyDescent="0.25">
      <c r="A11" s="77" t="s">
        <v>299</v>
      </c>
      <c r="B11" s="129" t="s">
        <v>327</v>
      </c>
      <c r="C11" s="129"/>
      <c r="D11" s="129"/>
      <c r="E11" s="129"/>
    </row>
    <row r="12" spans="1:5" x14ac:dyDescent="0.25">
      <c r="A12" s="77" t="s">
        <v>301</v>
      </c>
      <c r="B12" s="129" t="s">
        <v>373</v>
      </c>
      <c r="C12" s="129"/>
      <c r="D12" s="129"/>
      <c r="E12" s="129"/>
    </row>
    <row r="13" spans="1:5" x14ac:dyDescent="0.25">
      <c r="A13" s="77" t="s">
        <v>806</v>
      </c>
      <c r="B13" s="129">
        <v>0</v>
      </c>
      <c r="C13" s="129"/>
      <c r="D13" s="129"/>
      <c r="E13" s="129"/>
    </row>
    <row r="14" spans="1:5" x14ac:dyDescent="0.25">
      <c r="A14" s="77" t="s">
        <v>305</v>
      </c>
      <c r="B14" s="129">
        <v>215</v>
      </c>
      <c r="C14" s="129"/>
      <c r="D14" s="129"/>
      <c r="E14" s="129"/>
    </row>
    <row r="15" spans="1:5" x14ac:dyDescent="0.25">
      <c r="A15" s="77" t="s">
        <v>307</v>
      </c>
      <c r="B15" s="129" t="s">
        <v>374</v>
      </c>
      <c r="C15" s="129"/>
      <c r="D15" s="129"/>
      <c r="E15" s="129"/>
    </row>
    <row r="16" spans="1:5" x14ac:dyDescent="0.25">
      <c r="A16" s="77" t="s">
        <v>825</v>
      </c>
      <c r="B16" s="129" t="s">
        <v>375</v>
      </c>
      <c r="C16" s="129"/>
      <c r="D16" s="129"/>
      <c r="E16" s="129"/>
    </row>
    <row r="17" spans="1:5" ht="52.2" customHeight="1" x14ac:dyDescent="0.25">
      <c r="A17" s="77" t="s">
        <v>803</v>
      </c>
      <c r="B17" s="129"/>
      <c r="C17" s="129"/>
      <c r="D17" s="129"/>
      <c r="E17" s="129"/>
    </row>
    <row r="18" spans="1:5" x14ac:dyDescent="0.25">
      <c r="A18" s="77" t="s">
        <v>313</v>
      </c>
      <c r="B18" s="187">
        <v>45106</v>
      </c>
      <c r="C18" s="129"/>
      <c r="D18" s="129"/>
      <c r="E18" s="129"/>
    </row>
    <row r="19" spans="1:5" x14ac:dyDescent="0.25">
      <c r="A19" s="77" t="s">
        <v>315</v>
      </c>
      <c r="B19" s="187"/>
      <c r="C19" s="129"/>
      <c r="D19" s="129"/>
      <c r="E19" s="129"/>
    </row>
    <row r="20" spans="1:5" x14ac:dyDescent="0.25">
      <c r="A20" s="77" t="s">
        <v>317</v>
      </c>
      <c r="B20" s="129" t="s">
        <v>331</v>
      </c>
      <c r="C20" s="129"/>
      <c r="D20" s="129"/>
      <c r="E20" s="129"/>
    </row>
    <row r="21" spans="1:5" x14ac:dyDescent="0.25">
      <c r="A21" s="77" t="s">
        <v>323</v>
      </c>
      <c r="B21" s="129" t="s">
        <v>332</v>
      </c>
      <c r="C21" s="129"/>
      <c r="D21" s="129"/>
      <c r="E21" s="129"/>
    </row>
    <row r="23" spans="1:5" x14ac:dyDescent="0.25">
      <c r="B23" s="102" t="str">
        <f>HYPERLINK("#'Factor List'!A1","Back to Factor List")</f>
        <v>Back to Factor List</v>
      </c>
    </row>
    <row r="24" spans="1:5" x14ac:dyDescent="0.25">
      <c r="B24" s="102" t="s">
        <v>13</v>
      </c>
    </row>
    <row r="25" spans="1:5" x14ac:dyDescent="0.25">
      <c r="B25" s="102"/>
    </row>
    <row r="26" spans="1:5" ht="26.4" x14ac:dyDescent="0.25">
      <c r="A26" s="103" t="s">
        <v>373</v>
      </c>
      <c r="B26" s="103" t="s">
        <v>826</v>
      </c>
      <c r="C26" s="103" t="s">
        <v>827</v>
      </c>
      <c r="D26" s="103" t="s">
        <v>828</v>
      </c>
      <c r="E26" s="103" t="s">
        <v>829</v>
      </c>
    </row>
    <row r="27" spans="1:5" x14ac:dyDescent="0.25">
      <c r="A27" s="104">
        <v>17</v>
      </c>
      <c r="B27" s="105">
        <v>3.67</v>
      </c>
      <c r="C27" s="105">
        <v>0.2</v>
      </c>
      <c r="D27" s="105">
        <v>3.67</v>
      </c>
      <c r="E27" s="105">
        <v>0.2</v>
      </c>
    </row>
    <row r="28" spans="1:5" x14ac:dyDescent="0.25">
      <c r="A28" s="104">
        <v>18</v>
      </c>
      <c r="B28" s="105">
        <v>3.79</v>
      </c>
      <c r="C28" s="105">
        <v>0.21</v>
      </c>
      <c r="D28" s="105">
        <v>3.79</v>
      </c>
      <c r="E28" s="105">
        <v>0.21</v>
      </c>
    </row>
    <row r="29" spans="1:5" x14ac:dyDescent="0.25">
      <c r="A29" s="104">
        <v>19</v>
      </c>
      <c r="B29" s="105">
        <v>3.93</v>
      </c>
      <c r="C29" s="105">
        <v>0.22</v>
      </c>
      <c r="D29" s="105">
        <v>3.93</v>
      </c>
      <c r="E29" s="105">
        <v>0.22</v>
      </c>
    </row>
    <row r="30" spans="1:5" x14ac:dyDescent="0.25">
      <c r="A30" s="104">
        <v>20</v>
      </c>
      <c r="B30" s="105">
        <v>4.0599999999999996</v>
      </c>
      <c r="C30" s="105">
        <v>0.23</v>
      </c>
      <c r="D30" s="105">
        <v>4.0599999999999996</v>
      </c>
      <c r="E30" s="105">
        <v>0.23</v>
      </c>
    </row>
    <row r="31" spans="1:5" x14ac:dyDescent="0.25">
      <c r="A31" s="104">
        <v>21</v>
      </c>
      <c r="B31" s="105">
        <v>4.2</v>
      </c>
      <c r="C31" s="105">
        <v>0.24</v>
      </c>
      <c r="D31" s="105">
        <v>4.2</v>
      </c>
      <c r="E31" s="105">
        <v>0.24</v>
      </c>
    </row>
    <row r="32" spans="1:5" x14ac:dyDescent="0.25">
      <c r="A32" s="104">
        <v>22</v>
      </c>
      <c r="B32" s="105">
        <v>4.3499999999999996</v>
      </c>
      <c r="C32" s="105">
        <v>0.24</v>
      </c>
      <c r="D32" s="105">
        <v>4.3499999999999996</v>
      </c>
      <c r="E32" s="105">
        <v>0.24</v>
      </c>
    </row>
    <row r="33" spans="1:5" x14ac:dyDescent="0.25">
      <c r="A33" s="104">
        <v>23</v>
      </c>
      <c r="B33" s="105">
        <v>4.5</v>
      </c>
      <c r="C33" s="105">
        <v>0.25</v>
      </c>
      <c r="D33" s="105">
        <v>4.5</v>
      </c>
      <c r="E33" s="105">
        <v>0.25</v>
      </c>
    </row>
    <row r="34" spans="1:5" x14ac:dyDescent="0.25">
      <c r="A34" s="104">
        <v>24</v>
      </c>
      <c r="B34" s="105">
        <v>4.66</v>
      </c>
      <c r="C34" s="105">
        <v>0.26</v>
      </c>
      <c r="D34" s="105">
        <v>4.66</v>
      </c>
      <c r="E34" s="105">
        <v>0.26</v>
      </c>
    </row>
    <row r="35" spans="1:5" x14ac:dyDescent="0.25">
      <c r="A35" s="104">
        <v>25</v>
      </c>
      <c r="B35" s="105">
        <v>4.82</v>
      </c>
      <c r="C35" s="105">
        <v>0.27</v>
      </c>
      <c r="D35" s="105">
        <v>4.82</v>
      </c>
      <c r="E35" s="105">
        <v>0.27</v>
      </c>
    </row>
    <row r="36" spans="1:5" x14ac:dyDescent="0.25">
      <c r="A36" s="104">
        <v>26</v>
      </c>
      <c r="B36" s="105">
        <v>4.9800000000000004</v>
      </c>
      <c r="C36" s="105">
        <v>0.28000000000000003</v>
      </c>
      <c r="D36" s="105">
        <v>4.9800000000000004</v>
      </c>
      <c r="E36" s="105">
        <v>0.28000000000000003</v>
      </c>
    </row>
    <row r="37" spans="1:5" x14ac:dyDescent="0.25">
      <c r="A37" s="104">
        <v>27</v>
      </c>
      <c r="B37" s="105">
        <v>5.16</v>
      </c>
      <c r="C37" s="105">
        <v>0.28999999999999998</v>
      </c>
      <c r="D37" s="105">
        <v>5.16</v>
      </c>
      <c r="E37" s="105">
        <v>0.28999999999999998</v>
      </c>
    </row>
    <row r="38" spans="1:5" x14ac:dyDescent="0.25">
      <c r="A38" s="104">
        <v>28</v>
      </c>
      <c r="B38" s="105">
        <v>5.34</v>
      </c>
      <c r="C38" s="105">
        <v>0.3</v>
      </c>
      <c r="D38" s="105">
        <v>5.34</v>
      </c>
      <c r="E38" s="105">
        <v>0.3</v>
      </c>
    </row>
    <row r="39" spans="1:5" x14ac:dyDescent="0.25">
      <c r="A39" s="104">
        <v>29</v>
      </c>
      <c r="B39" s="105">
        <v>5.52</v>
      </c>
      <c r="C39" s="105">
        <v>0.31</v>
      </c>
      <c r="D39" s="105">
        <v>5.52</v>
      </c>
      <c r="E39" s="105">
        <v>0.31</v>
      </c>
    </row>
    <row r="40" spans="1:5" x14ac:dyDescent="0.25">
      <c r="A40" s="104">
        <v>30</v>
      </c>
      <c r="B40" s="105">
        <v>5.71</v>
      </c>
      <c r="C40" s="105">
        <v>0.32</v>
      </c>
      <c r="D40" s="105">
        <v>5.71</v>
      </c>
      <c r="E40" s="105">
        <v>0.32</v>
      </c>
    </row>
    <row r="41" spans="1:5" x14ac:dyDescent="0.25">
      <c r="A41" s="104">
        <v>31</v>
      </c>
      <c r="B41" s="105">
        <v>5.91</v>
      </c>
      <c r="C41" s="105">
        <v>0.33</v>
      </c>
      <c r="D41" s="105">
        <v>5.91</v>
      </c>
      <c r="E41" s="105">
        <v>0.33</v>
      </c>
    </row>
    <row r="42" spans="1:5" x14ac:dyDescent="0.25">
      <c r="A42" s="104">
        <v>32</v>
      </c>
      <c r="B42" s="105">
        <v>6.11</v>
      </c>
      <c r="C42" s="105">
        <v>0.34</v>
      </c>
      <c r="D42" s="105">
        <v>6.11</v>
      </c>
      <c r="E42" s="105">
        <v>0.34</v>
      </c>
    </row>
    <row r="43" spans="1:5" x14ac:dyDescent="0.25">
      <c r="A43" s="104">
        <v>33</v>
      </c>
      <c r="B43" s="105">
        <v>6.32</v>
      </c>
      <c r="C43" s="105">
        <v>0.36</v>
      </c>
      <c r="D43" s="105">
        <v>6.32</v>
      </c>
      <c r="E43" s="105">
        <v>0.36</v>
      </c>
    </row>
    <row r="44" spans="1:5" x14ac:dyDescent="0.25">
      <c r="A44" s="104">
        <v>34</v>
      </c>
      <c r="B44" s="105">
        <v>6.54</v>
      </c>
      <c r="C44" s="105">
        <v>0.37</v>
      </c>
      <c r="D44" s="105">
        <v>6.54</v>
      </c>
      <c r="E44" s="105">
        <v>0.37</v>
      </c>
    </row>
    <row r="45" spans="1:5" x14ac:dyDescent="0.25">
      <c r="A45" s="104">
        <v>35</v>
      </c>
      <c r="B45" s="105">
        <v>6.76</v>
      </c>
      <c r="C45" s="105">
        <v>0.38</v>
      </c>
      <c r="D45" s="105">
        <v>6.76</v>
      </c>
      <c r="E45" s="105">
        <v>0.38</v>
      </c>
    </row>
    <row r="46" spans="1:5" x14ac:dyDescent="0.25">
      <c r="A46" s="104">
        <v>36</v>
      </c>
      <c r="B46" s="105">
        <v>6.99</v>
      </c>
      <c r="C46" s="105">
        <v>0.39</v>
      </c>
      <c r="D46" s="105">
        <v>6.99</v>
      </c>
      <c r="E46" s="105">
        <v>0.39</v>
      </c>
    </row>
    <row r="47" spans="1:5" x14ac:dyDescent="0.25">
      <c r="A47" s="104">
        <v>37</v>
      </c>
      <c r="B47" s="105">
        <v>7.23</v>
      </c>
      <c r="C47" s="105">
        <v>0.41</v>
      </c>
      <c r="D47" s="105">
        <v>7.23</v>
      </c>
      <c r="E47" s="105">
        <v>0.41</v>
      </c>
    </row>
    <row r="48" spans="1:5" x14ac:dyDescent="0.25">
      <c r="A48" s="104">
        <v>38</v>
      </c>
      <c r="B48" s="105">
        <v>7.48</v>
      </c>
      <c r="C48" s="105">
        <v>0.42</v>
      </c>
      <c r="D48" s="105">
        <v>7.48</v>
      </c>
      <c r="E48" s="105">
        <v>0.42</v>
      </c>
    </row>
    <row r="49" spans="1:5" x14ac:dyDescent="0.25">
      <c r="A49" s="104">
        <v>39</v>
      </c>
      <c r="B49" s="105">
        <v>7.73</v>
      </c>
      <c r="C49" s="105">
        <v>0.43</v>
      </c>
      <c r="D49" s="105">
        <v>7.73</v>
      </c>
      <c r="E49" s="105">
        <v>0.43</v>
      </c>
    </row>
    <row r="50" spans="1:5" x14ac:dyDescent="0.25">
      <c r="A50" s="104">
        <v>40</v>
      </c>
      <c r="B50" s="105">
        <v>8</v>
      </c>
      <c r="C50" s="105">
        <v>0.45</v>
      </c>
      <c r="D50" s="105">
        <v>8</v>
      </c>
      <c r="E50" s="105">
        <v>0.45</v>
      </c>
    </row>
    <row r="51" spans="1:5" x14ac:dyDescent="0.25">
      <c r="A51" s="104">
        <v>41</v>
      </c>
      <c r="B51" s="105">
        <v>8.27</v>
      </c>
      <c r="C51" s="105">
        <v>0.46</v>
      </c>
      <c r="D51" s="105">
        <v>8.27</v>
      </c>
      <c r="E51" s="105">
        <v>0.46</v>
      </c>
    </row>
    <row r="52" spans="1:5" x14ac:dyDescent="0.25">
      <c r="A52" s="104">
        <v>42</v>
      </c>
      <c r="B52" s="105">
        <v>8.5500000000000007</v>
      </c>
      <c r="C52" s="105">
        <v>0.48</v>
      </c>
      <c r="D52" s="105">
        <v>8.5500000000000007</v>
      </c>
      <c r="E52" s="105">
        <v>0.48</v>
      </c>
    </row>
    <row r="53" spans="1:5" x14ac:dyDescent="0.25">
      <c r="A53" s="104">
        <v>43</v>
      </c>
      <c r="B53" s="105">
        <v>8.84</v>
      </c>
      <c r="C53" s="105">
        <v>0.49</v>
      </c>
      <c r="D53" s="105">
        <v>8.84</v>
      </c>
      <c r="E53" s="105">
        <v>0.49</v>
      </c>
    </row>
    <row r="54" spans="1:5" x14ac:dyDescent="0.25">
      <c r="A54" s="104">
        <v>44</v>
      </c>
      <c r="B54" s="105">
        <v>9.14</v>
      </c>
      <c r="C54" s="105">
        <v>0.51</v>
      </c>
      <c r="D54" s="105">
        <v>9.14</v>
      </c>
      <c r="E54" s="105">
        <v>0.51</v>
      </c>
    </row>
    <row r="55" spans="1:5" x14ac:dyDescent="0.25">
      <c r="A55" s="104">
        <v>45</v>
      </c>
      <c r="B55" s="105">
        <v>9.4499999999999993</v>
      </c>
      <c r="C55" s="105">
        <v>0.52</v>
      </c>
      <c r="D55" s="105">
        <v>9.4499999999999993</v>
      </c>
      <c r="E55" s="105">
        <v>0.52</v>
      </c>
    </row>
    <row r="56" spans="1:5" x14ac:dyDescent="0.25">
      <c r="A56" s="104">
        <v>46</v>
      </c>
      <c r="B56" s="105">
        <v>9.77</v>
      </c>
      <c r="C56" s="105">
        <v>0.54</v>
      </c>
      <c r="D56" s="105">
        <v>9.77</v>
      </c>
      <c r="E56" s="105">
        <v>0.54</v>
      </c>
    </row>
    <row r="57" spans="1:5" x14ac:dyDescent="0.25">
      <c r="A57" s="104">
        <v>47</v>
      </c>
      <c r="B57" s="105">
        <v>10.1</v>
      </c>
      <c r="C57" s="105">
        <v>0.56000000000000005</v>
      </c>
      <c r="D57" s="105">
        <v>10.1</v>
      </c>
      <c r="E57" s="105">
        <v>0.56000000000000005</v>
      </c>
    </row>
    <row r="58" spans="1:5" x14ac:dyDescent="0.25">
      <c r="A58" s="104">
        <v>48</v>
      </c>
      <c r="B58" s="105">
        <v>10.44</v>
      </c>
      <c r="C58" s="105">
        <v>0.56999999999999995</v>
      </c>
      <c r="D58" s="105">
        <v>10.44</v>
      </c>
      <c r="E58" s="105">
        <v>0.56999999999999995</v>
      </c>
    </row>
    <row r="59" spans="1:5" x14ac:dyDescent="0.25">
      <c r="A59" s="104">
        <v>49</v>
      </c>
      <c r="B59" s="105">
        <v>10.8</v>
      </c>
      <c r="C59" s="105">
        <v>0.59</v>
      </c>
      <c r="D59" s="105">
        <v>10.8</v>
      </c>
      <c r="E59" s="105">
        <v>0.59</v>
      </c>
    </row>
    <row r="60" spans="1:5" x14ac:dyDescent="0.25">
      <c r="A60" s="104">
        <v>50</v>
      </c>
      <c r="B60" s="105">
        <v>11.16</v>
      </c>
      <c r="C60" s="105">
        <v>0.61</v>
      </c>
      <c r="D60" s="105">
        <v>11.16</v>
      </c>
      <c r="E60" s="105">
        <v>0.61</v>
      </c>
    </row>
    <row r="61" spans="1:5" x14ac:dyDescent="0.25">
      <c r="A61" s="104">
        <v>51</v>
      </c>
      <c r="B61" s="105">
        <v>11.54</v>
      </c>
      <c r="C61" s="105">
        <v>0.63</v>
      </c>
      <c r="D61" s="105">
        <v>11.54</v>
      </c>
      <c r="E61" s="105">
        <v>0.63</v>
      </c>
    </row>
    <row r="62" spans="1:5" x14ac:dyDescent="0.25">
      <c r="A62" s="104">
        <v>52</v>
      </c>
      <c r="B62" s="105">
        <v>11.93</v>
      </c>
      <c r="C62" s="105">
        <v>0.65</v>
      </c>
      <c r="D62" s="105">
        <v>11.93</v>
      </c>
      <c r="E62" s="105">
        <v>0.65</v>
      </c>
    </row>
    <row r="63" spans="1:5" x14ac:dyDescent="0.25">
      <c r="A63" s="104">
        <v>53</v>
      </c>
      <c r="B63" s="105">
        <v>12.34</v>
      </c>
      <c r="C63" s="105">
        <v>0.66</v>
      </c>
      <c r="D63" s="105">
        <v>12.34</v>
      </c>
      <c r="E63" s="105">
        <v>0.66</v>
      </c>
    </row>
    <row r="64" spans="1:5" x14ac:dyDescent="0.25">
      <c r="A64" s="104">
        <v>54</v>
      </c>
      <c r="B64" s="105">
        <v>12.76</v>
      </c>
      <c r="C64" s="105">
        <v>0.68</v>
      </c>
      <c r="D64" s="105">
        <v>12.76</v>
      </c>
      <c r="E64" s="105">
        <v>0.68</v>
      </c>
    </row>
    <row r="65" spans="1:5" x14ac:dyDescent="0.25">
      <c r="A65" s="104">
        <v>55</v>
      </c>
      <c r="B65" s="105">
        <v>13.19</v>
      </c>
      <c r="C65" s="105">
        <v>0.7</v>
      </c>
      <c r="D65" s="105">
        <v>13.19</v>
      </c>
      <c r="E65" s="105">
        <v>0.7</v>
      </c>
    </row>
    <row r="66" spans="1:5" x14ac:dyDescent="0.25">
      <c r="A66" s="104">
        <v>56</v>
      </c>
      <c r="B66" s="105">
        <v>13.65</v>
      </c>
      <c r="C66" s="105">
        <v>0.72</v>
      </c>
      <c r="D66" s="105">
        <v>13.65</v>
      </c>
      <c r="E66" s="105">
        <v>0.72</v>
      </c>
    </row>
    <row r="67" spans="1:5" x14ac:dyDescent="0.25">
      <c r="A67" s="104">
        <v>57</v>
      </c>
      <c r="B67" s="105">
        <v>14.12</v>
      </c>
      <c r="C67" s="105">
        <v>0.74</v>
      </c>
      <c r="D67" s="105">
        <v>14.12</v>
      </c>
      <c r="E67" s="105">
        <v>0.74</v>
      </c>
    </row>
    <row r="68" spans="1:5" x14ac:dyDescent="0.25">
      <c r="A68" s="104">
        <v>58</v>
      </c>
      <c r="B68" s="105">
        <v>14.61</v>
      </c>
      <c r="C68" s="105">
        <v>0.76</v>
      </c>
      <c r="D68" s="105">
        <v>14.61</v>
      </c>
      <c r="E68" s="105">
        <v>0.76</v>
      </c>
    </row>
    <row r="69" spans="1:5" x14ac:dyDescent="0.25">
      <c r="A69" s="104">
        <v>59</v>
      </c>
      <c r="B69" s="105">
        <v>15.12</v>
      </c>
      <c r="C69" s="105">
        <v>0.78</v>
      </c>
      <c r="D69" s="105">
        <v>15.12</v>
      </c>
      <c r="E69" s="105">
        <v>0.78</v>
      </c>
    </row>
    <row r="70" spans="1:5" x14ac:dyDescent="0.25">
      <c r="A70" s="104">
        <v>60</v>
      </c>
      <c r="B70" s="105">
        <v>15.66</v>
      </c>
      <c r="C70" s="105">
        <v>0.8</v>
      </c>
      <c r="D70" s="105">
        <v>15.66</v>
      </c>
      <c r="E70" s="105">
        <v>0.8</v>
      </c>
    </row>
    <row r="71" spans="1:5" x14ac:dyDescent="0.25">
      <c r="A71" s="104">
        <v>61</v>
      </c>
      <c r="B71" s="105">
        <v>16.22</v>
      </c>
      <c r="C71" s="105">
        <v>0.82</v>
      </c>
      <c r="D71" s="105">
        <v>16.22</v>
      </c>
      <c r="E71" s="105">
        <v>0.82</v>
      </c>
    </row>
    <row r="72" spans="1:5" x14ac:dyDescent="0.25">
      <c r="A72" s="104">
        <v>62</v>
      </c>
      <c r="B72" s="105">
        <v>16.809999999999999</v>
      </c>
      <c r="C72" s="105">
        <v>0.84</v>
      </c>
      <c r="D72" s="105">
        <v>16.809999999999999</v>
      </c>
      <c r="E72" s="105">
        <v>0.84</v>
      </c>
    </row>
    <row r="73" spans="1:5" x14ac:dyDescent="0.25">
      <c r="A73" s="104">
        <v>63</v>
      </c>
      <c r="B73" s="105">
        <v>17.440000000000001</v>
      </c>
      <c r="C73" s="105">
        <v>0.85</v>
      </c>
      <c r="D73" s="105">
        <v>17.440000000000001</v>
      </c>
      <c r="E73" s="105">
        <v>0.85</v>
      </c>
    </row>
    <row r="74" spans="1:5" x14ac:dyDescent="0.25">
      <c r="A74" s="104">
        <v>64</v>
      </c>
      <c r="B74" s="105">
        <v>18.09</v>
      </c>
      <c r="C74" s="105">
        <v>0.87</v>
      </c>
      <c r="D74" s="105">
        <v>18.09</v>
      </c>
      <c r="E74" s="105">
        <v>0.87</v>
      </c>
    </row>
    <row r="75" spans="1:5" x14ac:dyDescent="0.25">
      <c r="A75" s="104">
        <v>65</v>
      </c>
      <c r="B75" s="105">
        <v>18.12</v>
      </c>
      <c r="C75" s="105">
        <v>0.88</v>
      </c>
      <c r="D75" s="105">
        <v>18.12</v>
      </c>
      <c r="E75" s="105">
        <v>0.88</v>
      </c>
    </row>
    <row r="76" spans="1:5" x14ac:dyDescent="0.25">
      <c r="A76" s="104">
        <v>66</v>
      </c>
      <c r="B76" s="105">
        <v>17.5</v>
      </c>
      <c r="C76" s="105">
        <v>0.88</v>
      </c>
      <c r="D76" s="105">
        <v>17.5</v>
      </c>
      <c r="E76" s="105">
        <v>0.88</v>
      </c>
    </row>
    <row r="77" spans="1:5" x14ac:dyDescent="0.25">
      <c r="A77" s="104">
        <v>67</v>
      </c>
      <c r="B77" s="105">
        <v>16.87</v>
      </c>
      <c r="C77" s="105">
        <v>0.88</v>
      </c>
      <c r="D77" s="105">
        <v>16.87</v>
      </c>
      <c r="E77" s="105">
        <v>0.88</v>
      </c>
    </row>
    <row r="78" spans="1:5" x14ac:dyDescent="0.25">
      <c r="A78" s="104">
        <v>68</v>
      </c>
      <c r="B78" s="105">
        <v>16.239999999999998</v>
      </c>
      <c r="C78" s="105">
        <v>0.88</v>
      </c>
      <c r="D78" s="105">
        <v>16.239999999999998</v>
      </c>
      <c r="E78" s="105">
        <v>0.88</v>
      </c>
    </row>
    <row r="79" spans="1:5" x14ac:dyDescent="0.25">
      <c r="A79" s="104">
        <v>69</v>
      </c>
      <c r="B79" s="105">
        <v>15.61</v>
      </c>
      <c r="C79" s="105">
        <v>0.87</v>
      </c>
      <c r="D79" s="105">
        <v>15.61</v>
      </c>
      <c r="E79" s="105">
        <v>0.87</v>
      </c>
    </row>
    <row r="80" spans="1:5" x14ac:dyDescent="0.25">
      <c r="A80" s="104">
        <v>70</v>
      </c>
      <c r="B80" s="105">
        <v>14.99</v>
      </c>
      <c r="C80" s="105">
        <v>0.87</v>
      </c>
      <c r="D80" s="105">
        <v>14.99</v>
      </c>
      <c r="E80" s="105">
        <v>0.87</v>
      </c>
    </row>
    <row r="81" spans="1:5" x14ac:dyDescent="0.25">
      <c r="A81" s="104">
        <v>71</v>
      </c>
      <c r="B81" s="105">
        <v>14.37</v>
      </c>
      <c r="C81" s="105">
        <v>0.86</v>
      </c>
      <c r="D81" s="105">
        <v>14.37</v>
      </c>
      <c r="E81" s="105">
        <v>0.86</v>
      </c>
    </row>
    <row r="82" spans="1:5" x14ac:dyDescent="0.25">
      <c r="A82" s="104">
        <v>72</v>
      </c>
      <c r="B82" s="105">
        <v>13.76</v>
      </c>
      <c r="C82" s="105">
        <v>0.85</v>
      </c>
      <c r="D82" s="105">
        <v>13.76</v>
      </c>
      <c r="E82" s="105">
        <v>0.85</v>
      </c>
    </row>
    <row r="83" spans="1:5" x14ac:dyDescent="0.25">
      <c r="A83" s="104">
        <v>73</v>
      </c>
      <c r="B83" s="105">
        <v>13.15</v>
      </c>
      <c r="C83" s="105">
        <v>0.85</v>
      </c>
      <c r="D83" s="105">
        <v>13.15</v>
      </c>
      <c r="E83" s="105">
        <v>0.85</v>
      </c>
    </row>
    <row r="84" spans="1:5" x14ac:dyDescent="0.25">
      <c r="A84" s="104">
        <v>74</v>
      </c>
      <c r="B84" s="105">
        <v>12.56</v>
      </c>
      <c r="C84" s="105">
        <v>0.84</v>
      </c>
      <c r="D84" s="105">
        <v>12.56</v>
      </c>
      <c r="E84" s="105">
        <v>0.84</v>
      </c>
    </row>
    <row r="85" spans="1:5" x14ac:dyDescent="0.25">
      <c r="A85" s="104">
        <v>75</v>
      </c>
      <c r="B85" s="105">
        <v>12.26</v>
      </c>
      <c r="C85" s="105">
        <v>0.83</v>
      </c>
      <c r="D85" s="105">
        <v>12.26</v>
      </c>
      <c r="E85" s="105">
        <v>0.83</v>
      </c>
    </row>
  </sheetData>
  <sheetProtection algorithmName="SHA-512" hashValue="cZC/5r/GYMdP7Odd9nFVfylNozZwhAbWf2VxcPIfIe+dZCZDYfxPJsx6hSicFRmCjEH+GLYqLS4WP0NVRXNDyA==" saltValue="Rv3u03y+NuFNP0uw0FT1xQ==" spinCount="100000" sheet="1" objects="1" scenarios="1"/>
  <conditionalFormatting sqref="A6:A21">
    <cfRule type="expression" dxfId="1311" priority="1" stopIfTrue="1">
      <formula>MOD(ROW(),2)=0</formula>
    </cfRule>
    <cfRule type="expression" dxfId="1310" priority="2" stopIfTrue="1">
      <formula>MOD(ROW(),2)&lt;&gt;0</formula>
    </cfRule>
  </conditionalFormatting>
  <conditionalFormatting sqref="A26:A85">
    <cfRule type="expression" dxfId="1309" priority="5" stopIfTrue="1">
      <formula>MOD(ROW(),2)=0</formula>
    </cfRule>
    <cfRule type="expression" dxfId="1308" priority="6" stopIfTrue="1">
      <formula>MOD(ROW(),2)&lt;&gt;0</formula>
    </cfRule>
  </conditionalFormatting>
  <conditionalFormatting sqref="B18:B20">
    <cfRule type="expression" dxfId="1307" priority="9" stopIfTrue="1">
      <formula>MOD(ROW(),2)=0</formula>
    </cfRule>
    <cfRule type="expression" dxfId="1306" priority="10" stopIfTrue="1">
      <formula>MOD(ROW(),2)&lt;&gt;0</formula>
    </cfRule>
  </conditionalFormatting>
  <conditionalFormatting sqref="B6:E21">
    <cfRule type="expression" dxfId="1305" priority="19" stopIfTrue="1">
      <formula>MOD(ROW(),2)=0</formula>
    </cfRule>
    <cfRule type="expression" dxfId="1304" priority="20" stopIfTrue="1">
      <formula>MOD(ROW(),2)&lt;&gt;0</formula>
    </cfRule>
  </conditionalFormatting>
  <conditionalFormatting sqref="B21:E21">
    <cfRule type="expression" dxfId="1303" priority="3" stopIfTrue="1">
      <formula>MOD(ROW(),2)=0</formula>
    </cfRule>
    <cfRule type="expression" dxfId="1302" priority="4" stopIfTrue="1">
      <formula>MOD(ROW(),2)&lt;&gt;0</formula>
    </cfRule>
  </conditionalFormatting>
  <conditionalFormatting sqref="B26:E85">
    <cfRule type="expression" dxfId="1301" priority="7" stopIfTrue="1">
      <formula>MOD(ROW(),2)=0</formula>
    </cfRule>
    <cfRule type="expression" dxfId="1300" priority="8" stopIfTrue="1">
      <formula>MOD(ROW(),2)&lt;&gt;0</formula>
    </cfRule>
  </conditionalFormatting>
  <hyperlinks>
    <hyperlink ref="B24" location="Sheet1!A1" display="Assumptions" xr:uid="{680CF07B-5909-4198-9482-52867F8F6DE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16"/>
  <dimension ref="A1:E85"/>
  <sheetViews>
    <sheetView showGridLines="0" zoomScale="85" zoomScaleNormal="85" workbookViewId="0">
      <selection activeCell="A4" sqref="A4"/>
    </sheetView>
  </sheetViews>
  <sheetFormatPr defaultColWidth="10" defaultRowHeight="13.2" x14ac:dyDescent="0.25"/>
  <cols>
    <col min="1" max="1" width="31.5546875" style="27" customWidth="1"/>
    <col min="2" max="5" width="22.5546875" style="27" customWidth="1"/>
    <col min="6" max="16384" width="10" style="27"/>
  </cols>
  <sheetData>
    <row r="1" spans="1:5" ht="21" x14ac:dyDescent="0.4">
      <c r="A1" s="39" t="s">
        <v>0</v>
      </c>
      <c r="B1" s="40"/>
      <c r="C1" s="40"/>
      <c r="D1" s="40"/>
      <c r="E1" s="40"/>
    </row>
    <row r="2" spans="1:5" ht="15.6" x14ac:dyDescent="0.3">
      <c r="A2" s="41" t="str">
        <f>IF(title="&gt; Enter workbook title here","Enter workbook title in Cover sheet",title)</f>
        <v>Civil Service Pension Schemes - Consolidated Factor Spreadsheet</v>
      </c>
      <c r="B2" s="42"/>
      <c r="C2" s="42"/>
      <c r="D2" s="42"/>
      <c r="E2" s="42"/>
    </row>
    <row r="3" spans="1:5" ht="15.6" x14ac:dyDescent="0.3">
      <c r="A3" s="43" t="str">
        <f>TABLE_FACTOR_TYPE_1&amp;" - x-"&amp;TABLE_SERIES_NUMBER_1</f>
        <v>TV In (non-club) - x-216</v>
      </c>
      <c r="B3" s="42"/>
      <c r="C3" s="42"/>
      <c r="D3" s="42"/>
      <c r="E3" s="42"/>
    </row>
    <row r="4" spans="1:5" x14ac:dyDescent="0.25">
      <c r="A4" s="44"/>
    </row>
    <row r="6" spans="1:5" x14ac:dyDescent="0.25">
      <c r="A6" s="76" t="s">
        <v>290</v>
      </c>
      <c r="B6" s="129" t="s">
        <v>291</v>
      </c>
      <c r="C6" s="129"/>
      <c r="D6" s="129"/>
      <c r="E6" s="129"/>
    </row>
    <row r="7" spans="1:5" x14ac:dyDescent="0.25">
      <c r="A7" s="77" t="s">
        <v>804</v>
      </c>
      <c r="B7" s="129" t="s">
        <v>324</v>
      </c>
      <c r="C7" s="129"/>
      <c r="D7" s="129"/>
      <c r="E7" s="129"/>
    </row>
    <row r="8" spans="1:5" x14ac:dyDescent="0.25">
      <c r="A8" s="77" t="s">
        <v>805</v>
      </c>
      <c r="B8" s="129" t="s">
        <v>85</v>
      </c>
      <c r="C8" s="129"/>
      <c r="D8" s="129"/>
      <c r="E8" s="129"/>
    </row>
    <row r="9" spans="1:5" x14ac:dyDescent="0.25">
      <c r="A9" s="77" t="s">
        <v>296</v>
      </c>
      <c r="B9" s="129" t="s">
        <v>371</v>
      </c>
      <c r="C9" s="129"/>
      <c r="D9" s="129"/>
      <c r="E9" s="129"/>
    </row>
    <row r="10" spans="1:5" x14ac:dyDescent="0.25">
      <c r="A10" s="77" t="s">
        <v>6</v>
      </c>
      <c r="B10" s="129" t="s">
        <v>376</v>
      </c>
      <c r="C10" s="129"/>
      <c r="D10" s="129"/>
      <c r="E10" s="129"/>
    </row>
    <row r="11" spans="1:5" x14ac:dyDescent="0.25">
      <c r="A11" s="77" t="s">
        <v>299</v>
      </c>
      <c r="B11" s="129" t="s">
        <v>327</v>
      </c>
      <c r="C11" s="129"/>
      <c r="D11" s="129"/>
      <c r="E11" s="129"/>
    </row>
    <row r="12" spans="1:5" x14ac:dyDescent="0.25">
      <c r="A12" s="77" t="s">
        <v>301</v>
      </c>
      <c r="B12" s="129" t="s">
        <v>373</v>
      </c>
      <c r="C12" s="129"/>
      <c r="D12" s="129"/>
      <c r="E12" s="129"/>
    </row>
    <row r="13" spans="1:5" x14ac:dyDescent="0.25">
      <c r="A13" s="77" t="s">
        <v>806</v>
      </c>
      <c r="B13" s="129">
        <v>0</v>
      </c>
      <c r="C13" s="129"/>
      <c r="D13" s="129"/>
      <c r="E13" s="129"/>
    </row>
    <row r="14" spans="1:5" x14ac:dyDescent="0.25">
      <c r="A14" s="77" t="s">
        <v>305</v>
      </c>
      <c r="B14" s="129">
        <v>216</v>
      </c>
      <c r="C14" s="129"/>
      <c r="D14" s="129"/>
      <c r="E14" s="129"/>
    </row>
    <row r="15" spans="1:5" x14ac:dyDescent="0.25">
      <c r="A15" s="77" t="s">
        <v>307</v>
      </c>
      <c r="B15" s="129" t="s">
        <v>377</v>
      </c>
      <c r="C15" s="129"/>
      <c r="D15" s="129"/>
      <c r="E15" s="129"/>
    </row>
    <row r="16" spans="1:5" x14ac:dyDescent="0.25">
      <c r="A16" s="77" t="s">
        <v>825</v>
      </c>
      <c r="B16" s="129" t="s">
        <v>378</v>
      </c>
      <c r="C16" s="129"/>
      <c r="D16" s="129"/>
      <c r="E16" s="129"/>
    </row>
    <row r="17" spans="1:5" x14ac:dyDescent="0.25">
      <c r="A17" s="77" t="s">
        <v>803</v>
      </c>
      <c r="B17" s="129"/>
      <c r="C17" s="129"/>
      <c r="D17" s="129"/>
      <c r="E17" s="129"/>
    </row>
    <row r="18" spans="1:5" x14ac:dyDescent="0.25">
      <c r="A18" s="77" t="s">
        <v>313</v>
      </c>
      <c r="B18" s="187">
        <v>45106</v>
      </c>
      <c r="C18" s="129"/>
      <c r="D18" s="129"/>
      <c r="E18" s="129"/>
    </row>
    <row r="19" spans="1:5" x14ac:dyDescent="0.25">
      <c r="A19" s="77" t="s">
        <v>315</v>
      </c>
      <c r="B19" s="187"/>
      <c r="C19" s="129"/>
      <c r="D19" s="129"/>
      <c r="E19" s="129"/>
    </row>
    <row r="20" spans="1:5" x14ac:dyDescent="0.25">
      <c r="A20" s="77" t="s">
        <v>317</v>
      </c>
      <c r="B20" s="129" t="s">
        <v>331</v>
      </c>
      <c r="C20" s="129"/>
      <c r="D20" s="129"/>
      <c r="E20" s="129"/>
    </row>
    <row r="21" spans="1:5" x14ac:dyDescent="0.25">
      <c r="A21" s="77" t="s">
        <v>323</v>
      </c>
      <c r="B21" s="129" t="s">
        <v>332</v>
      </c>
      <c r="C21" s="129"/>
      <c r="D21" s="129"/>
      <c r="E21" s="129"/>
    </row>
    <row r="23" spans="1:5" x14ac:dyDescent="0.25">
      <c r="B23" s="102" t="str">
        <f>HYPERLINK("#'Factor List'!A1","Back to Factor List")</f>
        <v>Back to Factor List</v>
      </c>
    </row>
    <row r="24" spans="1:5" x14ac:dyDescent="0.25">
      <c r="B24" s="102" t="s">
        <v>13</v>
      </c>
    </row>
    <row r="25" spans="1:5" x14ac:dyDescent="0.25">
      <c r="B25" s="102"/>
    </row>
    <row r="26" spans="1:5" ht="26.4" x14ac:dyDescent="0.25">
      <c r="A26" s="103" t="s">
        <v>373</v>
      </c>
      <c r="B26" s="103" t="s">
        <v>826</v>
      </c>
      <c r="C26" s="103" t="s">
        <v>827</v>
      </c>
      <c r="D26" s="103" t="s">
        <v>828</v>
      </c>
      <c r="E26" s="103" t="s">
        <v>829</v>
      </c>
    </row>
    <row r="27" spans="1:5" x14ac:dyDescent="0.25">
      <c r="A27" s="104">
        <v>17</v>
      </c>
      <c r="B27" s="105">
        <v>3.45</v>
      </c>
      <c r="C27" s="105">
        <v>0.2</v>
      </c>
      <c r="D27" s="105">
        <v>3.45</v>
      </c>
      <c r="E27" s="105">
        <v>0.2</v>
      </c>
    </row>
    <row r="28" spans="1:5" x14ac:dyDescent="0.25">
      <c r="A28" s="104">
        <v>18</v>
      </c>
      <c r="B28" s="105">
        <v>3.56</v>
      </c>
      <c r="C28" s="105">
        <v>0.21</v>
      </c>
      <c r="D28" s="105">
        <v>3.56</v>
      </c>
      <c r="E28" s="105">
        <v>0.21</v>
      </c>
    </row>
    <row r="29" spans="1:5" x14ac:dyDescent="0.25">
      <c r="A29" s="104">
        <v>19</v>
      </c>
      <c r="B29" s="105">
        <v>3.69</v>
      </c>
      <c r="C29" s="105">
        <v>0.22</v>
      </c>
      <c r="D29" s="105">
        <v>3.69</v>
      </c>
      <c r="E29" s="105">
        <v>0.22</v>
      </c>
    </row>
    <row r="30" spans="1:5" x14ac:dyDescent="0.25">
      <c r="A30" s="104">
        <v>20</v>
      </c>
      <c r="B30" s="105">
        <v>3.82</v>
      </c>
      <c r="C30" s="105">
        <v>0.22</v>
      </c>
      <c r="D30" s="105">
        <v>3.82</v>
      </c>
      <c r="E30" s="105">
        <v>0.22</v>
      </c>
    </row>
    <row r="31" spans="1:5" x14ac:dyDescent="0.25">
      <c r="A31" s="104">
        <v>21</v>
      </c>
      <c r="B31" s="105">
        <v>3.95</v>
      </c>
      <c r="C31" s="105">
        <v>0.23</v>
      </c>
      <c r="D31" s="105">
        <v>3.95</v>
      </c>
      <c r="E31" s="105">
        <v>0.23</v>
      </c>
    </row>
    <row r="32" spans="1:5" x14ac:dyDescent="0.25">
      <c r="A32" s="104">
        <v>22</v>
      </c>
      <c r="B32" s="105">
        <v>4.08</v>
      </c>
      <c r="C32" s="105">
        <v>0.24</v>
      </c>
      <c r="D32" s="105">
        <v>4.08</v>
      </c>
      <c r="E32" s="105">
        <v>0.24</v>
      </c>
    </row>
    <row r="33" spans="1:5" x14ac:dyDescent="0.25">
      <c r="A33" s="104">
        <v>23</v>
      </c>
      <c r="B33" s="105">
        <v>4.2300000000000004</v>
      </c>
      <c r="C33" s="105">
        <v>0.25</v>
      </c>
      <c r="D33" s="105">
        <v>4.2300000000000004</v>
      </c>
      <c r="E33" s="105">
        <v>0.25</v>
      </c>
    </row>
    <row r="34" spans="1:5" x14ac:dyDescent="0.25">
      <c r="A34" s="104">
        <v>24</v>
      </c>
      <c r="B34" s="105">
        <v>4.37</v>
      </c>
      <c r="C34" s="105">
        <v>0.26</v>
      </c>
      <c r="D34" s="105">
        <v>4.37</v>
      </c>
      <c r="E34" s="105">
        <v>0.26</v>
      </c>
    </row>
    <row r="35" spans="1:5" x14ac:dyDescent="0.25">
      <c r="A35" s="104">
        <v>25</v>
      </c>
      <c r="B35" s="105">
        <v>4.5199999999999996</v>
      </c>
      <c r="C35" s="105">
        <v>0.27</v>
      </c>
      <c r="D35" s="105">
        <v>4.5199999999999996</v>
      </c>
      <c r="E35" s="105">
        <v>0.27</v>
      </c>
    </row>
    <row r="36" spans="1:5" x14ac:dyDescent="0.25">
      <c r="A36" s="104">
        <v>26</v>
      </c>
      <c r="B36" s="105">
        <v>4.68</v>
      </c>
      <c r="C36" s="105">
        <v>0.28000000000000003</v>
      </c>
      <c r="D36" s="105">
        <v>4.68</v>
      </c>
      <c r="E36" s="105">
        <v>0.28000000000000003</v>
      </c>
    </row>
    <row r="37" spans="1:5" x14ac:dyDescent="0.25">
      <c r="A37" s="104">
        <v>27</v>
      </c>
      <c r="B37" s="105">
        <v>4.84</v>
      </c>
      <c r="C37" s="105">
        <v>0.28999999999999998</v>
      </c>
      <c r="D37" s="105">
        <v>4.84</v>
      </c>
      <c r="E37" s="105">
        <v>0.28999999999999998</v>
      </c>
    </row>
    <row r="38" spans="1:5" x14ac:dyDescent="0.25">
      <c r="A38" s="104">
        <v>28</v>
      </c>
      <c r="B38" s="105">
        <v>5.01</v>
      </c>
      <c r="C38" s="105">
        <v>0.3</v>
      </c>
      <c r="D38" s="105">
        <v>5.01</v>
      </c>
      <c r="E38" s="105">
        <v>0.3</v>
      </c>
    </row>
    <row r="39" spans="1:5" x14ac:dyDescent="0.25">
      <c r="A39" s="104">
        <v>29</v>
      </c>
      <c r="B39" s="105">
        <v>5.18</v>
      </c>
      <c r="C39" s="105">
        <v>0.31</v>
      </c>
      <c r="D39" s="105">
        <v>5.18</v>
      </c>
      <c r="E39" s="105">
        <v>0.31</v>
      </c>
    </row>
    <row r="40" spans="1:5" x14ac:dyDescent="0.25">
      <c r="A40" s="104">
        <v>30</v>
      </c>
      <c r="B40" s="105">
        <v>5.36</v>
      </c>
      <c r="C40" s="105">
        <v>0.32</v>
      </c>
      <c r="D40" s="105">
        <v>5.36</v>
      </c>
      <c r="E40" s="105">
        <v>0.32</v>
      </c>
    </row>
    <row r="41" spans="1:5" x14ac:dyDescent="0.25">
      <c r="A41" s="104">
        <v>31</v>
      </c>
      <c r="B41" s="105">
        <v>5.55</v>
      </c>
      <c r="C41" s="105">
        <v>0.33</v>
      </c>
      <c r="D41" s="105">
        <v>5.55</v>
      </c>
      <c r="E41" s="105">
        <v>0.33</v>
      </c>
    </row>
    <row r="42" spans="1:5" x14ac:dyDescent="0.25">
      <c r="A42" s="104">
        <v>32</v>
      </c>
      <c r="B42" s="105">
        <v>5.74</v>
      </c>
      <c r="C42" s="105">
        <v>0.34</v>
      </c>
      <c r="D42" s="105">
        <v>5.74</v>
      </c>
      <c r="E42" s="105">
        <v>0.34</v>
      </c>
    </row>
    <row r="43" spans="1:5" x14ac:dyDescent="0.25">
      <c r="A43" s="104">
        <v>33</v>
      </c>
      <c r="B43" s="105">
        <v>5.93</v>
      </c>
      <c r="C43" s="105">
        <v>0.35</v>
      </c>
      <c r="D43" s="105">
        <v>5.93</v>
      </c>
      <c r="E43" s="105">
        <v>0.35</v>
      </c>
    </row>
    <row r="44" spans="1:5" x14ac:dyDescent="0.25">
      <c r="A44" s="104">
        <v>34</v>
      </c>
      <c r="B44" s="105">
        <v>6.14</v>
      </c>
      <c r="C44" s="105">
        <v>0.36</v>
      </c>
      <c r="D44" s="105">
        <v>6.14</v>
      </c>
      <c r="E44" s="105">
        <v>0.36</v>
      </c>
    </row>
    <row r="45" spans="1:5" x14ac:dyDescent="0.25">
      <c r="A45" s="104">
        <v>35</v>
      </c>
      <c r="B45" s="105">
        <v>6.34</v>
      </c>
      <c r="C45" s="105">
        <v>0.37</v>
      </c>
      <c r="D45" s="105">
        <v>6.34</v>
      </c>
      <c r="E45" s="105">
        <v>0.37</v>
      </c>
    </row>
    <row r="46" spans="1:5" x14ac:dyDescent="0.25">
      <c r="A46" s="104">
        <v>36</v>
      </c>
      <c r="B46" s="105">
        <v>6.56</v>
      </c>
      <c r="C46" s="105">
        <v>0.39</v>
      </c>
      <c r="D46" s="105">
        <v>6.56</v>
      </c>
      <c r="E46" s="105">
        <v>0.39</v>
      </c>
    </row>
    <row r="47" spans="1:5" x14ac:dyDescent="0.25">
      <c r="A47" s="104">
        <v>37</v>
      </c>
      <c r="B47" s="105">
        <v>6.78</v>
      </c>
      <c r="C47" s="105">
        <v>0.4</v>
      </c>
      <c r="D47" s="105">
        <v>6.78</v>
      </c>
      <c r="E47" s="105">
        <v>0.4</v>
      </c>
    </row>
    <row r="48" spans="1:5" x14ac:dyDescent="0.25">
      <c r="A48" s="104">
        <v>38</v>
      </c>
      <c r="B48" s="105">
        <v>7.01</v>
      </c>
      <c r="C48" s="105">
        <v>0.41</v>
      </c>
      <c r="D48" s="105">
        <v>7.01</v>
      </c>
      <c r="E48" s="105">
        <v>0.41</v>
      </c>
    </row>
    <row r="49" spans="1:5" x14ac:dyDescent="0.25">
      <c r="A49" s="104">
        <v>39</v>
      </c>
      <c r="B49" s="105">
        <v>7.25</v>
      </c>
      <c r="C49" s="105">
        <v>0.43</v>
      </c>
      <c r="D49" s="105">
        <v>7.25</v>
      </c>
      <c r="E49" s="105">
        <v>0.43</v>
      </c>
    </row>
    <row r="50" spans="1:5" x14ac:dyDescent="0.25">
      <c r="A50" s="104">
        <v>40</v>
      </c>
      <c r="B50" s="105">
        <v>7.5</v>
      </c>
      <c r="C50" s="105">
        <v>0.44</v>
      </c>
      <c r="D50" s="105">
        <v>7.5</v>
      </c>
      <c r="E50" s="105">
        <v>0.44</v>
      </c>
    </row>
    <row r="51" spans="1:5" x14ac:dyDescent="0.25">
      <c r="A51" s="104">
        <v>41</v>
      </c>
      <c r="B51" s="105">
        <v>7.75</v>
      </c>
      <c r="C51" s="105">
        <v>0.45</v>
      </c>
      <c r="D51" s="105">
        <v>7.75</v>
      </c>
      <c r="E51" s="105">
        <v>0.45</v>
      </c>
    </row>
    <row r="52" spans="1:5" x14ac:dyDescent="0.25">
      <c r="A52" s="104">
        <v>42</v>
      </c>
      <c r="B52" s="105">
        <v>8.01</v>
      </c>
      <c r="C52" s="105">
        <v>0.47</v>
      </c>
      <c r="D52" s="105">
        <v>8.01</v>
      </c>
      <c r="E52" s="105">
        <v>0.47</v>
      </c>
    </row>
    <row r="53" spans="1:5" x14ac:dyDescent="0.25">
      <c r="A53" s="104">
        <v>43</v>
      </c>
      <c r="B53" s="105">
        <v>8.2799999999999994</v>
      </c>
      <c r="C53" s="105">
        <v>0.48</v>
      </c>
      <c r="D53" s="105">
        <v>8.2799999999999994</v>
      </c>
      <c r="E53" s="105">
        <v>0.48</v>
      </c>
    </row>
    <row r="54" spans="1:5" x14ac:dyDescent="0.25">
      <c r="A54" s="104">
        <v>44</v>
      </c>
      <c r="B54" s="105">
        <v>8.56</v>
      </c>
      <c r="C54" s="105">
        <v>0.5</v>
      </c>
      <c r="D54" s="105">
        <v>8.56</v>
      </c>
      <c r="E54" s="105">
        <v>0.5</v>
      </c>
    </row>
    <row r="55" spans="1:5" x14ac:dyDescent="0.25">
      <c r="A55" s="104">
        <v>45</v>
      </c>
      <c r="B55" s="105">
        <v>8.85</v>
      </c>
      <c r="C55" s="105">
        <v>0.51</v>
      </c>
      <c r="D55" s="105">
        <v>8.85</v>
      </c>
      <c r="E55" s="105">
        <v>0.51</v>
      </c>
    </row>
    <row r="56" spans="1:5" x14ac:dyDescent="0.25">
      <c r="A56" s="104">
        <v>46</v>
      </c>
      <c r="B56" s="105">
        <v>9.15</v>
      </c>
      <c r="C56" s="105">
        <v>0.53</v>
      </c>
      <c r="D56" s="105">
        <v>9.15</v>
      </c>
      <c r="E56" s="105">
        <v>0.53</v>
      </c>
    </row>
    <row r="57" spans="1:5" x14ac:dyDescent="0.25">
      <c r="A57" s="104">
        <v>47</v>
      </c>
      <c r="B57" s="105">
        <v>9.4600000000000009</v>
      </c>
      <c r="C57" s="105">
        <v>0.55000000000000004</v>
      </c>
      <c r="D57" s="105">
        <v>9.4600000000000009</v>
      </c>
      <c r="E57" s="105">
        <v>0.55000000000000004</v>
      </c>
    </row>
    <row r="58" spans="1:5" x14ac:dyDescent="0.25">
      <c r="A58" s="104">
        <v>48</v>
      </c>
      <c r="B58" s="105">
        <v>9.7799999999999994</v>
      </c>
      <c r="C58" s="105">
        <v>0.56000000000000005</v>
      </c>
      <c r="D58" s="105">
        <v>9.7799999999999994</v>
      </c>
      <c r="E58" s="105">
        <v>0.56000000000000005</v>
      </c>
    </row>
    <row r="59" spans="1:5" x14ac:dyDescent="0.25">
      <c r="A59" s="104">
        <v>49</v>
      </c>
      <c r="B59" s="105">
        <v>10.1</v>
      </c>
      <c r="C59" s="105">
        <v>0.57999999999999996</v>
      </c>
      <c r="D59" s="105">
        <v>10.1</v>
      </c>
      <c r="E59" s="105">
        <v>0.57999999999999996</v>
      </c>
    </row>
    <row r="60" spans="1:5" x14ac:dyDescent="0.25">
      <c r="A60" s="104">
        <v>50</v>
      </c>
      <c r="B60" s="105">
        <v>10.44</v>
      </c>
      <c r="C60" s="105">
        <v>0.6</v>
      </c>
      <c r="D60" s="105">
        <v>10.44</v>
      </c>
      <c r="E60" s="105">
        <v>0.6</v>
      </c>
    </row>
    <row r="61" spans="1:5" x14ac:dyDescent="0.25">
      <c r="A61" s="104">
        <v>51</v>
      </c>
      <c r="B61" s="105">
        <v>10.8</v>
      </c>
      <c r="C61" s="105">
        <v>0.62</v>
      </c>
      <c r="D61" s="105">
        <v>10.8</v>
      </c>
      <c r="E61" s="105">
        <v>0.62</v>
      </c>
    </row>
    <row r="62" spans="1:5" x14ac:dyDescent="0.25">
      <c r="A62" s="104">
        <v>52</v>
      </c>
      <c r="B62" s="105">
        <v>11.16</v>
      </c>
      <c r="C62" s="105">
        <v>0.63</v>
      </c>
      <c r="D62" s="105">
        <v>11.16</v>
      </c>
      <c r="E62" s="105">
        <v>0.63</v>
      </c>
    </row>
    <row r="63" spans="1:5" x14ac:dyDescent="0.25">
      <c r="A63" s="104">
        <v>53</v>
      </c>
      <c r="B63" s="105">
        <v>11.53</v>
      </c>
      <c r="C63" s="105">
        <v>0.65</v>
      </c>
      <c r="D63" s="105">
        <v>11.53</v>
      </c>
      <c r="E63" s="105">
        <v>0.65</v>
      </c>
    </row>
    <row r="64" spans="1:5" x14ac:dyDescent="0.25">
      <c r="A64" s="104">
        <v>54</v>
      </c>
      <c r="B64" s="105">
        <v>11.92</v>
      </c>
      <c r="C64" s="105">
        <v>0.67</v>
      </c>
      <c r="D64" s="105">
        <v>11.92</v>
      </c>
      <c r="E64" s="105">
        <v>0.67</v>
      </c>
    </row>
    <row r="65" spans="1:5" x14ac:dyDescent="0.25">
      <c r="A65" s="104">
        <v>55</v>
      </c>
      <c r="B65" s="105">
        <v>12.33</v>
      </c>
      <c r="C65" s="105">
        <v>0.69</v>
      </c>
      <c r="D65" s="105">
        <v>12.33</v>
      </c>
      <c r="E65" s="105">
        <v>0.69</v>
      </c>
    </row>
    <row r="66" spans="1:5" x14ac:dyDescent="0.25">
      <c r="A66" s="104">
        <v>56</v>
      </c>
      <c r="B66" s="105">
        <v>12.75</v>
      </c>
      <c r="C66" s="105">
        <v>0.71</v>
      </c>
      <c r="D66" s="105">
        <v>12.75</v>
      </c>
      <c r="E66" s="105">
        <v>0.71</v>
      </c>
    </row>
    <row r="67" spans="1:5" x14ac:dyDescent="0.25">
      <c r="A67" s="104">
        <v>57</v>
      </c>
      <c r="B67" s="105">
        <v>13.18</v>
      </c>
      <c r="C67" s="105">
        <v>0.73</v>
      </c>
      <c r="D67" s="105">
        <v>13.18</v>
      </c>
      <c r="E67" s="105">
        <v>0.73</v>
      </c>
    </row>
    <row r="68" spans="1:5" x14ac:dyDescent="0.25">
      <c r="A68" s="104">
        <v>58</v>
      </c>
      <c r="B68" s="105">
        <v>13.64</v>
      </c>
      <c r="C68" s="105">
        <v>0.74</v>
      </c>
      <c r="D68" s="105">
        <v>13.64</v>
      </c>
      <c r="E68" s="105">
        <v>0.74</v>
      </c>
    </row>
    <row r="69" spans="1:5" x14ac:dyDescent="0.25">
      <c r="A69" s="104">
        <v>59</v>
      </c>
      <c r="B69" s="105">
        <v>14.11</v>
      </c>
      <c r="C69" s="105">
        <v>0.76</v>
      </c>
      <c r="D69" s="105">
        <v>14.11</v>
      </c>
      <c r="E69" s="105">
        <v>0.76</v>
      </c>
    </row>
    <row r="70" spans="1:5" x14ac:dyDescent="0.25">
      <c r="A70" s="104">
        <v>60</v>
      </c>
      <c r="B70" s="105">
        <v>14.6</v>
      </c>
      <c r="C70" s="105">
        <v>0.78</v>
      </c>
      <c r="D70" s="105">
        <v>14.6</v>
      </c>
      <c r="E70" s="105">
        <v>0.78</v>
      </c>
    </row>
    <row r="71" spans="1:5" x14ac:dyDescent="0.25">
      <c r="A71" s="104">
        <v>61</v>
      </c>
      <c r="B71" s="105">
        <v>15.12</v>
      </c>
      <c r="C71" s="105">
        <v>0.8</v>
      </c>
      <c r="D71" s="105">
        <v>15.12</v>
      </c>
      <c r="E71" s="105">
        <v>0.8</v>
      </c>
    </row>
    <row r="72" spans="1:5" x14ac:dyDescent="0.25">
      <c r="A72" s="104">
        <v>62</v>
      </c>
      <c r="B72" s="105">
        <v>15.66</v>
      </c>
      <c r="C72" s="105">
        <v>0.82</v>
      </c>
      <c r="D72" s="105">
        <v>15.66</v>
      </c>
      <c r="E72" s="105">
        <v>0.82</v>
      </c>
    </row>
    <row r="73" spans="1:5" x14ac:dyDescent="0.25">
      <c r="A73" s="104">
        <v>63</v>
      </c>
      <c r="B73" s="105">
        <v>16.23</v>
      </c>
      <c r="C73" s="105">
        <v>0.84</v>
      </c>
      <c r="D73" s="105">
        <v>16.23</v>
      </c>
      <c r="E73" s="105">
        <v>0.84</v>
      </c>
    </row>
    <row r="74" spans="1:5" x14ac:dyDescent="0.25">
      <c r="A74" s="104">
        <v>64</v>
      </c>
      <c r="B74" s="105">
        <v>16.84</v>
      </c>
      <c r="C74" s="105">
        <v>0.85</v>
      </c>
      <c r="D74" s="105">
        <v>16.84</v>
      </c>
      <c r="E74" s="105">
        <v>0.85</v>
      </c>
    </row>
    <row r="75" spans="1:5" x14ac:dyDescent="0.25">
      <c r="A75" s="104">
        <v>65</v>
      </c>
      <c r="B75" s="105">
        <v>17.48</v>
      </c>
      <c r="C75" s="105">
        <v>0.87</v>
      </c>
      <c r="D75" s="105">
        <v>17.48</v>
      </c>
      <c r="E75" s="105">
        <v>0.87</v>
      </c>
    </row>
    <row r="76" spans="1:5" x14ac:dyDescent="0.25">
      <c r="A76" s="104">
        <v>66</v>
      </c>
      <c r="B76" s="105">
        <v>17.5</v>
      </c>
      <c r="C76" s="105">
        <v>0.88</v>
      </c>
      <c r="D76" s="105">
        <v>17.5</v>
      </c>
      <c r="E76" s="105">
        <v>0.88</v>
      </c>
    </row>
    <row r="77" spans="1:5" x14ac:dyDescent="0.25">
      <c r="A77" s="104">
        <v>67</v>
      </c>
      <c r="B77" s="105">
        <v>16.87</v>
      </c>
      <c r="C77" s="105">
        <v>0.88</v>
      </c>
      <c r="D77" s="105">
        <v>16.87</v>
      </c>
      <c r="E77" s="105">
        <v>0.88</v>
      </c>
    </row>
    <row r="78" spans="1:5" x14ac:dyDescent="0.25">
      <c r="A78" s="104">
        <v>68</v>
      </c>
      <c r="B78" s="105">
        <v>16.239999999999998</v>
      </c>
      <c r="C78" s="105">
        <v>0.88</v>
      </c>
      <c r="D78" s="105">
        <v>16.239999999999998</v>
      </c>
      <c r="E78" s="105">
        <v>0.88</v>
      </c>
    </row>
    <row r="79" spans="1:5" x14ac:dyDescent="0.25">
      <c r="A79" s="104">
        <v>69</v>
      </c>
      <c r="B79" s="105">
        <v>15.61</v>
      </c>
      <c r="C79" s="105">
        <v>0.87</v>
      </c>
      <c r="D79" s="105">
        <v>15.61</v>
      </c>
      <c r="E79" s="105">
        <v>0.87</v>
      </c>
    </row>
    <row r="80" spans="1:5" x14ac:dyDescent="0.25">
      <c r="A80" s="104">
        <v>70</v>
      </c>
      <c r="B80" s="105">
        <v>14.99</v>
      </c>
      <c r="C80" s="105">
        <v>0.87</v>
      </c>
      <c r="D80" s="105">
        <v>14.99</v>
      </c>
      <c r="E80" s="105">
        <v>0.87</v>
      </c>
    </row>
    <row r="81" spans="1:5" x14ac:dyDescent="0.25">
      <c r="A81" s="104">
        <v>71</v>
      </c>
      <c r="B81" s="105">
        <v>14.37</v>
      </c>
      <c r="C81" s="105">
        <v>0.86</v>
      </c>
      <c r="D81" s="105">
        <v>14.37</v>
      </c>
      <c r="E81" s="105">
        <v>0.86</v>
      </c>
    </row>
    <row r="82" spans="1:5" x14ac:dyDescent="0.25">
      <c r="A82" s="104">
        <v>72</v>
      </c>
      <c r="B82" s="105">
        <v>13.76</v>
      </c>
      <c r="C82" s="105">
        <v>0.85</v>
      </c>
      <c r="D82" s="105">
        <v>13.76</v>
      </c>
      <c r="E82" s="105">
        <v>0.85</v>
      </c>
    </row>
    <row r="83" spans="1:5" x14ac:dyDescent="0.25">
      <c r="A83" s="104">
        <v>73</v>
      </c>
      <c r="B83" s="105">
        <v>13.15</v>
      </c>
      <c r="C83" s="105">
        <v>0.85</v>
      </c>
      <c r="D83" s="105">
        <v>13.15</v>
      </c>
      <c r="E83" s="105">
        <v>0.85</v>
      </c>
    </row>
    <row r="84" spans="1:5" x14ac:dyDescent="0.25">
      <c r="A84" s="104">
        <v>74</v>
      </c>
      <c r="B84" s="105">
        <v>12.56</v>
      </c>
      <c r="C84" s="105">
        <v>0.84</v>
      </c>
      <c r="D84" s="105">
        <v>12.56</v>
      </c>
      <c r="E84" s="105">
        <v>0.84</v>
      </c>
    </row>
    <row r="85" spans="1:5" x14ac:dyDescent="0.25">
      <c r="A85" s="104">
        <v>75</v>
      </c>
      <c r="B85" s="105">
        <v>12.26</v>
      </c>
      <c r="C85" s="105">
        <v>0.83</v>
      </c>
      <c r="D85" s="105">
        <v>12.26</v>
      </c>
      <c r="E85" s="105">
        <v>0.83</v>
      </c>
    </row>
  </sheetData>
  <sheetProtection algorithmName="SHA-512" hashValue="d2AmiJwcBAwSgzwGfVHXr0Q2pnsxGTFNGCmtZKrHtXrMFMk9yxCukeUx7y1MJPZ/9kreb9rK+A0yqkABB3+6qQ==" saltValue="0WAb85unHMqM9McyXCDkUA==" spinCount="100000" sheet="1" objects="1" scenarios="1"/>
  <conditionalFormatting sqref="A6:A21">
    <cfRule type="expression" dxfId="1299" priority="1" stopIfTrue="1">
      <formula>MOD(ROW(),2)=0</formula>
    </cfRule>
    <cfRule type="expression" dxfId="1298" priority="2" stopIfTrue="1">
      <formula>MOD(ROW(),2)&lt;&gt;0</formula>
    </cfRule>
  </conditionalFormatting>
  <conditionalFormatting sqref="A26:A85">
    <cfRule type="expression" dxfId="1297" priority="9" stopIfTrue="1">
      <formula>MOD(ROW(),2)=0</formula>
    </cfRule>
    <cfRule type="expression" dxfId="1296" priority="10" stopIfTrue="1">
      <formula>MOD(ROW(),2)&lt;&gt;0</formula>
    </cfRule>
  </conditionalFormatting>
  <conditionalFormatting sqref="B18:B20">
    <cfRule type="expression" dxfId="1295" priority="5" stopIfTrue="1">
      <formula>MOD(ROW(),2)=0</formula>
    </cfRule>
    <cfRule type="expression" dxfId="1294" priority="6" stopIfTrue="1">
      <formula>MOD(ROW(),2)&lt;&gt;0</formula>
    </cfRule>
  </conditionalFormatting>
  <conditionalFormatting sqref="B6:E21">
    <cfRule type="expression" dxfId="1293" priority="23" stopIfTrue="1">
      <formula>MOD(ROW(),2)=0</formula>
    </cfRule>
    <cfRule type="expression" dxfId="1292" priority="24" stopIfTrue="1">
      <formula>MOD(ROW(),2)&lt;&gt;0</formula>
    </cfRule>
  </conditionalFormatting>
  <conditionalFormatting sqref="B21:E21">
    <cfRule type="expression" dxfId="1291" priority="3" stopIfTrue="1">
      <formula>MOD(ROW(),2)=0</formula>
    </cfRule>
    <cfRule type="expression" dxfId="1290" priority="4" stopIfTrue="1">
      <formula>MOD(ROW(),2)&lt;&gt;0</formula>
    </cfRule>
  </conditionalFormatting>
  <conditionalFormatting sqref="B26:E85">
    <cfRule type="expression" dxfId="1289" priority="11" stopIfTrue="1">
      <formula>MOD(ROW(),2)=0</formula>
    </cfRule>
    <cfRule type="expression" dxfId="1288" priority="12" stopIfTrue="1">
      <formula>MOD(ROW(),2)&lt;&gt;0</formula>
    </cfRule>
  </conditionalFormatting>
  <conditionalFormatting sqref="C18:E19">
    <cfRule type="expression" dxfId="1287" priority="7" stopIfTrue="1">
      <formula>MOD(ROW(),2)=0</formula>
    </cfRule>
    <cfRule type="expression" dxfId="1286" priority="8" stopIfTrue="1">
      <formula>MOD(ROW(),2)&lt;&gt;0</formula>
    </cfRule>
  </conditionalFormatting>
  <hyperlinks>
    <hyperlink ref="B24" location="Sheet1!A1" display="Assumptions" xr:uid="{76532180-0AEA-4D20-9CCB-FF7315BFA7D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17"/>
  <dimension ref="A1:E85"/>
  <sheetViews>
    <sheetView showGridLines="0" zoomScale="85" zoomScaleNormal="85" workbookViewId="0">
      <selection activeCell="A4" sqref="A4"/>
    </sheetView>
  </sheetViews>
  <sheetFormatPr defaultColWidth="10" defaultRowHeight="13.2" x14ac:dyDescent="0.25"/>
  <cols>
    <col min="1" max="1" width="31.5546875" style="27" customWidth="1"/>
    <col min="2" max="5" width="22.5546875" style="27" customWidth="1"/>
    <col min="6" max="16384" width="10" style="27"/>
  </cols>
  <sheetData>
    <row r="1" spans="1:5" ht="21" x14ac:dyDescent="0.4">
      <c r="A1" s="39" t="s">
        <v>0</v>
      </c>
      <c r="B1" s="40"/>
      <c r="C1" s="40"/>
      <c r="D1" s="40"/>
      <c r="E1" s="40"/>
    </row>
    <row r="2" spans="1:5" ht="15.6" x14ac:dyDescent="0.3">
      <c r="A2" s="41" t="str">
        <f>IF(title="&gt; Enter workbook title here","Enter workbook title in Cover sheet",title)</f>
        <v>Civil Service Pension Schemes - Consolidated Factor Spreadsheet</v>
      </c>
      <c r="B2" s="42"/>
      <c r="C2" s="42"/>
      <c r="D2" s="42"/>
      <c r="E2" s="42"/>
    </row>
    <row r="3" spans="1:5" ht="15.6" x14ac:dyDescent="0.3">
      <c r="A3" s="43" t="str">
        <f>TABLE_FACTOR_TYPE_1&amp;" - x-"&amp;TABLE_SERIES_NUMBER_1</f>
        <v>TV In (non-club) - x-217</v>
      </c>
      <c r="B3" s="42"/>
      <c r="C3" s="42"/>
      <c r="D3" s="42"/>
      <c r="E3" s="42"/>
    </row>
    <row r="4" spans="1:5" x14ac:dyDescent="0.25">
      <c r="A4" s="44"/>
    </row>
    <row r="6" spans="1:5" x14ac:dyDescent="0.25">
      <c r="A6" s="76" t="s">
        <v>290</v>
      </c>
      <c r="B6" s="129" t="s">
        <v>291</v>
      </c>
      <c r="C6" s="129"/>
      <c r="D6" s="129"/>
      <c r="E6" s="129"/>
    </row>
    <row r="7" spans="1:5" x14ac:dyDescent="0.25">
      <c r="A7" s="77" t="s">
        <v>804</v>
      </c>
      <c r="B7" s="129" t="s">
        <v>324</v>
      </c>
      <c r="C7" s="129"/>
      <c r="D7" s="129"/>
      <c r="E7" s="129"/>
    </row>
    <row r="8" spans="1:5" x14ac:dyDescent="0.25">
      <c r="A8" s="77" t="s">
        <v>805</v>
      </c>
      <c r="B8" s="129" t="s">
        <v>85</v>
      </c>
      <c r="C8" s="129"/>
      <c r="D8" s="129"/>
      <c r="E8" s="129"/>
    </row>
    <row r="9" spans="1:5" x14ac:dyDescent="0.25">
      <c r="A9" s="77" t="s">
        <v>296</v>
      </c>
      <c r="B9" s="129" t="s">
        <v>371</v>
      </c>
      <c r="C9" s="129"/>
      <c r="D9" s="129"/>
      <c r="E9" s="129"/>
    </row>
    <row r="10" spans="1:5" x14ac:dyDescent="0.25">
      <c r="A10" s="77" t="s">
        <v>6</v>
      </c>
      <c r="B10" s="129" t="s">
        <v>379</v>
      </c>
      <c r="C10" s="129"/>
      <c r="D10" s="129"/>
      <c r="E10" s="129"/>
    </row>
    <row r="11" spans="1:5" x14ac:dyDescent="0.25">
      <c r="A11" s="77" t="s">
        <v>299</v>
      </c>
      <c r="B11" s="129" t="s">
        <v>327</v>
      </c>
      <c r="C11" s="129"/>
      <c r="D11" s="129"/>
      <c r="E11" s="129"/>
    </row>
    <row r="12" spans="1:5" x14ac:dyDescent="0.25">
      <c r="A12" s="77" t="s">
        <v>301</v>
      </c>
      <c r="B12" s="129" t="s">
        <v>373</v>
      </c>
      <c r="C12" s="129"/>
      <c r="D12" s="129"/>
      <c r="E12" s="129"/>
    </row>
    <row r="13" spans="1:5" x14ac:dyDescent="0.25">
      <c r="A13" s="77" t="s">
        <v>806</v>
      </c>
      <c r="B13" s="129">
        <v>0</v>
      </c>
      <c r="C13" s="129"/>
      <c r="D13" s="129"/>
      <c r="E13" s="129"/>
    </row>
    <row r="14" spans="1:5" x14ac:dyDescent="0.25">
      <c r="A14" s="77" t="s">
        <v>305</v>
      </c>
      <c r="B14" s="129">
        <v>217</v>
      </c>
      <c r="C14" s="129"/>
      <c r="D14" s="129"/>
      <c r="E14" s="129"/>
    </row>
    <row r="15" spans="1:5" x14ac:dyDescent="0.25">
      <c r="A15" s="77" t="s">
        <v>307</v>
      </c>
      <c r="B15" s="129" t="s">
        <v>380</v>
      </c>
      <c r="C15" s="129"/>
      <c r="D15" s="129"/>
      <c r="E15" s="129"/>
    </row>
    <row r="16" spans="1:5" x14ac:dyDescent="0.25">
      <c r="A16" s="77" t="s">
        <v>825</v>
      </c>
      <c r="B16" s="129" t="s">
        <v>381</v>
      </c>
      <c r="C16" s="129"/>
      <c r="D16" s="129"/>
      <c r="E16" s="129"/>
    </row>
    <row r="17" spans="1:5" x14ac:dyDescent="0.25">
      <c r="A17" s="77" t="s">
        <v>803</v>
      </c>
      <c r="B17" s="129"/>
      <c r="C17" s="129"/>
      <c r="D17" s="129"/>
      <c r="E17" s="129"/>
    </row>
    <row r="18" spans="1:5" x14ac:dyDescent="0.25">
      <c r="A18" s="77" t="s">
        <v>313</v>
      </c>
      <c r="B18" s="187">
        <v>45106</v>
      </c>
      <c r="C18" s="129"/>
      <c r="D18" s="129"/>
      <c r="E18" s="129"/>
    </row>
    <row r="19" spans="1:5" x14ac:dyDescent="0.25">
      <c r="A19" s="77" t="s">
        <v>315</v>
      </c>
      <c r="B19" s="187"/>
      <c r="C19" s="129"/>
      <c r="D19" s="129"/>
      <c r="E19" s="129"/>
    </row>
    <row r="20" spans="1:5" x14ac:dyDescent="0.25">
      <c r="A20" s="77" t="s">
        <v>317</v>
      </c>
      <c r="B20" s="129" t="s">
        <v>331</v>
      </c>
      <c r="C20" s="129"/>
      <c r="D20" s="129"/>
      <c r="E20" s="129"/>
    </row>
    <row r="21" spans="1:5" x14ac:dyDescent="0.25">
      <c r="A21" s="77" t="s">
        <v>323</v>
      </c>
      <c r="B21" s="129" t="s">
        <v>332</v>
      </c>
      <c r="C21" s="129"/>
      <c r="D21" s="129"/>
      <c r="E21" s="129"/>
    </row>
    <row r="23" spans="1:5" x14ac:dyDescent="0.25">
      <c r="B23" s="102" t="str">
        <f>HYPERLINK("#'Factor List'!A1","Back to Factor List")</f>
        <v>Back to Factor List</v>
      </c>
    </row>
    <row r="24" spans="1:5" x14ac:dyDescent="0.25">
      <c r="B24" s="102" t="s">
        <v>13</v>
      </c>
    </row>
    <row r="25" spans="1:5" x14ac:dyDescent="0.25">
      <c r="B25" s="102"/>
    </row>
    <row r="26" spans="1:5" ht="26.4" x14ac:dyDescent="0.25">
      <c r="A26" s="103" t="s">
        <v>373</v>
      </c>
      <c r="B26" s="103" t="s">
        <v>826</v>
      </c>
      <c r="C26" s="103" t="s">
        <v>827</v>
      </c>
      <c r="D26" s="103" t="s">
        <v>828</v>
      </c>
      <c r="E26" s="103" t="s">
        <v>829</v>
      </c>
    </row>
    <row r="27" spans="1:5" x14ac:dyDescent="0.25">
      <c r="A27" s="104">
        <v>17</v>
      </c>
      <c r="B27" s="105">
        <v>3.23</v>
      </c>
      <c r="C27" s="105">
        <v>0.19</v>
      </c>
      <c r="D27" s="105">
        <v>3.23</v>
      </c>
      <c r="E27" s="105">
        <v>0.19</v>
      </c>
    </row>
    <row r="28" spans="1:5" x14ac:dyDescent="0.25">
      <c r="A28" s="104">
        <v>18</v>
      </c>
      <c r="B28" s="105">
        <v>3.35</v>
      </c>
      <c r="C28" s="105">
        <v>0.21</v>
      </c>
      <c r="D28" s="105">
        <v>3.35</v>
      </c>
      <c r="E28" s="105">
        <v>0.21</v>
      </c>
    </row>
    <row r="29" spans="1:5" x14ac:dyDescent="0.25">
      <c r="A29" s="104">
        <v>19</v>
      </c>
      <c r="B29" s="105">
        <v>3.46</v>
      </c>
      <c r="C29" s="105">
        <v>0.21</v>
      </c>
      <c r="D29" s="105">
        <v>3.46</v>
      </c>
      <c r="E29" s="105">
        <v>0.21</v>
      </c>
    </row>
    <row r="30" spans="1:5" x14ac:dyDescent="0.25">
      <c r="A30" s="104">
        <v>20</v>
      </c>
      <c r="B30" s="105">
        <v>3.58</v>
      </c>
      <c r="C30" s="105">
        <v>0.22</v>
      </c>
      <c r="D30" s="105">
        <v>3.58</v>
      </c>
      <c r="E30" s="105">
        <v>0.22</v>
      </c>
    </row>
    <row r="31" spans="1:5" x14ac:dyDescent="0.25">
      <c r="A31" s="104">
        <v>21</v>
      </c>
      <c r="B31" s="105">
        <v>3.71</v>
      </c>
      <c r="C31" s="105">
        <v>0.23</v>
      </c>
      <c r="D31" s="105">
        <v>3.71</v>
      </c>
      <c r="E31" s="105">
        <v>0.23</v>
      </c>
    </row>
    <row r="32" spans="1:5" x14ac:dyDescent="0.25">
      <c r="A32" s="104">
        <v>22</v>
      </c>
      <c r="B32" s="105">
        <v>3.83</v>
      </c>
      <c r="C32" s="105">
        <v>0.24</v>
      </c>
      <c r="D32" s="105">
        <v>3.83</v>
      </c>
      <c r="E32" s="105">
        <v>0.24</v>
      </c>
    </row>
    <row r="33" spans="1:5" x14ac:dyDescent="0.25">
      <c r="A33" s="104">
        <v>23</v>
      </c>
      <c r="B33" s="105">
        <v>3.97</v>
      </c>
      <c r="C33" s="105">
        <v>0.24</v>
      </c>
      <c r="D33" s="105">
        <v>3.97</v>
      </c>
      <c r="E33" s="105">
        <v>0.24</v>
      </c>
    </row>
    <row r="34" spans="1:5" x14ac:dyDescent="0.25">
      <c r="A34" s="104">
        <v>24</v>
      </c>
      <c r="B34" s="105">
        <v>4.0999999999999996</v>
      </c>
      <c r="C34" s="105">
        <v>0.25</v>
      </c>
      <c r="D34" s="105">
        <v>4.0999999999999996</v>
      </c>
      <c r="E34" s="105">
        <v>0.25</v>
      </c>
    </row>
    <row r="35" spans="1:5" x14ac:dyDescent="0.25">
      <c r="A35" s="104">
        <v>25</v>
      </c>
      <c r="B35" s="105">
        <v>4.24</v>
      </c>
      <c r="C35" s="105">
        <v>0.26</v>
      </c>
      <c r="D35" s="105">
        <v>4.24</v>
      </c>
      <c r="E35" s="105">
        <v>0.26</v>
      </c>
    </row>
    <row r="36" spans="1:5" x14ac:dyDescent="0.25">
      <c r="A36" s="104">
        <v>26</v>
      </c>
      <c r="B36" s="105">
        <v>4.3899999999999997</v>
      </c>
      <c r="C36" s="105">
        <v>0.27</v>
      </c>
      <c r="D36" s="105">
        <v>4.3899999999999997</v>
      </c>
      <c r="E36" s="105">
        <v>0.27</v>
      </c>
    </row>
    <row r="37" spans="1:5" x14ac:dyDescent="0.25">
      <c r="A37" s="104">
        <v>27</v>
      </c>
      <c r="B37" s="105">
        <v>4.54</v>
      </c>
      <c r="C37" s="105">
        <v>0.28000000000000003</v>
      </c>
      <c r="D37" s="105">
        <v>4.54</v>
      </c>
      <c r="E37" s="105">
        <v>0.28000000000000003</v>
      </c>
    </row>
    <row r="38" spans="1:5" x14ac:dyDescent="0.25">
      <c r="A38" s="104">
        <v>28</v>
      </c>
      <c r="B38" s="105">
        <v>4.7</v>
      </c>
      <c r="C38" s="105">
        <v>0.28999999999999998</v>
      </c>
      <c r="D38" s="105">
        <v>4.7</v>
      </c>
      <c r="E38" s="105">
        <v>0.28999999999999998</v>
      </c>
    </row>
    <row r="39" spans="1:5" x14ac:dyDescent="0.25">
      <c r="A39" s="104">
        <v>29</v>
      </c>
      <c r="B39" s="105">
        <v>4.8600000000000003</v>
      </c>
      <c r="C39" s="105">
        <v>0.3</v>
      </c>
      <c r="D39" s="105">
        <v>4.8600000000000003</v>
      </c>
      <c r="E39" s="105">
        <v>0.3</v>
      </c>
    </row>
    <row r="40" spans="1:5" x14ac:dyDescent="0.25">
      <c r="A40" s="104">
        <v>30</v>
      </c>
      <c r="B40" s="105">
        <v>5.03</v>
      </c>
      <c r="C40" s="105">
        <v>0.31</v>
      </c>
      <c r="D40" s="105">
        <v>5.03</v>
      </c>
      <c r="E40" s="105">
        <v>0.31</v>
      </c>
    </row>
    <row r="41" spans="1:5" x14ac:dyDescent="0.25">
      <c r="A41" s="104">
        <v>31</v>
      </c>
      <c r="B41" s="105">
        <v>5.2</v>
      </c>
      <c r="C41" s="105">
        <v>0.32</v>
      </c>
      <c r="D41" s="105">
        <v>5.2</v>
      </c>
      <c r="E41" s="105">
        <v>0.32</v>
      </c>
    </row>
    <row r="42" spans="1:5" x14ac:dyDescent="0.25">
      <c r="A42" s="104">
        <v>32</v>
      </c>
      <c r="B42" s="105">
        <v>5.38</v>
      </c>
      <c r="C42" s="105">
        <v>0.33</v>
      </c>
      <c r="D42" s="105">
        <v>5.38</v>
      </c>
      <c r="E42" s="105">
        <v>0.33</v>
      </c>
    </row>
    <row r="43" spans="1:5" x14ac:dyDescent="0.25">
      <c r="A43" s="104">
        <v>33</v>
      </c>
      <c r="B43" s="105">
        <v>5.56</v>
      </c>
      <c r="C43" s="105">
        <v>0.34</v>
      </c>
      <c r="D43" s="105">
        <v>5.56</v>
      </c>
      <c r="E43" s="105">
        <v>0.34</v>
      </c>
    </row>
    <row r="44" spans="1:5" x14ac:dyDescent="0.25">
      <c r="A44" s="104">
        <v>34</v>
      </c>
      <c r="B44" s="105">
        <v>5.75</v>
      </c>
      <c r="C44" s="105">
        <v>0.36</v>
      </c>
      <c r="D44" s="105">
        <v>5.75</v>
      </c>
      <c r="E44" s="105">
        <v>0.36</v>
      </c>
    </row>
    <row r="45" spans="1:5" x14ac:dyDescent="0.25">
      <c r="A45" s="104">
        <v>35</v>
      </c>
      <c r="B45" s="105">
        <v>5.95</v>
      </c>
      <c r="C45" s="105">
        <v>0.37</v>
      </c>
      <c r="D45" s="105">
        <v>5.95</v>
      </c>
      <c r="E45" s="105">
        <v>0.37</v>
      </c>
    </row>
    <row r="46" spans="1:5" x14ac:dyDescent="0.25">
      <c r="A46" s="104">
        <v>36</v>
      </c>
      <c r="B46" s="105">
        <v>6.15</v>
      </c>
      <c r="C46" s="105">
        <v>0.38</v>
      </c>
      <c r="D46" s="105">
        <v>6.15</v>
      </c>
      <c r="E46" s="105">
        <v>0.38</v>
      </c>
    </row>
    <row r="47" spans="1:5" x14ac:dyDescent="0.25">
      <c r="A47" s="104">
        <v>37</v>
      </c>
      <c r="B47" s="105">
        <v>6.36</v>
      </c>
      <c r="C47" s="105">
        <v>0.39</v>
      </c>
      <c r="D47" s="105">
        <v>6.36</v>
      </c>
      <c r="E47" s="105">
        <v>0.39</v>
      </c>
    </row>
    <row r="48" spans="1:5" x14ac:dyDescent="0.25">
      <c r="A48" s="104">
        <v>38</v>
      </c>
      <c r="B48" s="105">
        <v>6.57</v>
      </c>
      <c r="C48" s="105">
        <v>0.41</v>
      </c>
      <c r="D48" s="105">
        <v>6.57</v>
      </c>
      <c r="E48" s="105">
        <v>0.41</v>
      </c>
    </row>
    <row r="49" spans="1:5" x14ac:dyDescent="0.25">
      <c r="A49" s="104">
        <v>39</v>
      </c>
      <c r="B49" s="105">
        <v>6.79</v>
      </c>
      <c r="C49" s="105">
        <v>0.42</v>
      </c>
      <c r="D49" s="105">
        <v>6.79</v>
      </c>
      <c r="E49" s="105">
        <v>0.42</v>
      </c>
    </row>
    <row r="50" spans="1:5" x14ac:dyDescent="0.25">
      <c r="A50" s="104">
        <v>40</v>
      </c>
      <c r="B50" s="105">
        <v>7.02</v>
      </c>
      <c r="C50" s="105">
        <v>0.43</v>
      </c>
      <c r="D50" s="105">
        <v>7.02</v>
      </c>
      <c r="E50" s="105">
        <v>0.43</v>
      </c>
    </row>
    <row r="51" spans="1:5" x14ac:dyDescent="0.25">
      <c r="A51" s="104">
        <v>41</v>
      </c>
      <c r="B51" s="105">
        <v>7.26</v>
      </c>
      <c r="C51" s="105">
        <v>0.45</v>
      </c>
      <c r="D51" s="105">
        <v>7.26</v>
      </c>
      <c r="E51" s="105">
        <v>0.45</v>
      </c>
    </row>
    <row r="52" spans="1:5" x14ac:dyDescent="0.25">
      <c r="A52" s="104">
        <v>42</v>
      </c>
      <c r="B52" s="105">
        <v>7.5</v>
      </c>
      <c r="C52" s="105">
        <v>0.46</v>
      </c>
      <c r="D52" s="105">
        <v>7.5</v>
      </c>
      <c r="E52" s="105">
        <v>0.46</v>
      </c>
    </row>
    <row r="53" spans="1:5" x14ac:dyDescent="0.25">
      <c r="A53" s="104">
        <v>43</v>
      </c>
      <c r="B53" s="105">
        <v>7.75</v>
      </c>
      <c r="C53" s="105">
        <v>0.48</v>
      </c>
      <c r="D53" s="105">
        <v>7.75</v>
      </c>
      <c r="E53" s="105">
        <v>0.48</v>
      </c>
    </row>
    <row r="54" spans="1:5" x14ac:dyDescent="0.25">
      <c r="A54" s="104">
        <v>44</v>
      </c>
      <c r="B54" s="105">
        <v>8.02</v>
      </c>
      <c r="C54" s="105">
        <v>0.49</v>
      </c>
      <c r="D54" s="105">
        <v>8.02</v>
      </c>
      <c r="E54" s="105">
        <v>0.49</v>
      </c>
    </row>
    <row r="55" spans="1:5" x14ac:dyDescent="0.25">
      <c r="A55" s="104">
        <v>45</v>
      </c>
      <c r="B55" s="105">
        <v>8.2799999999999994</v>
      </c>
      <c r="C55" s="105">
        <v>0.51</v>
      </c>
      <c r="D55" s="105">
        <v>8.2799999999999994</v>
      </c>
      <c r="E55" s="105">
        <v>0.51</v>
      </c>
    </row>
    <row r="56" spans="1:5" x14ac:dyDescent="0.25">
      <c r="A56" s="104">
        <v>46</v>
      </c>
      <c r="B56" s="105">
        <v>8.56</v>
      </c>
      <c r="C56" s="105">
        <v>0.52</v>
      </c>
      <c r="D56" s="105">
        <v>8.56</v>
      </c>
      <c r="E56" s="105">
        <v>0.52</v>
      </c>
    </row>
    <row r="57" spans="1:5" x14ac:dyDescent="0.25">
      <c r="A57" s="104">
        <v>47</v>
      </c>
      <c r="B57" s="105">
        <v>8.85</v>
      </c>
      <c r="C57" s="105">
        <v>0.54</v>
      </c>
      <c r="D57" s="105">
        <v>8.85</v>
      </c>
      <c r="E57" s="105">
        <v>0.54</v>
      </c>
    </row>
    <row r="58" spans="1:5" x14ac:dyDescent="0.25">
      <c r="A58" s="104">
        <v>48</v>
      </c>
      <c r="B58" s="105">
        <v>9.14</v>
      </c>
      <c r="C58" s="105">
        <v>0.55000000000000004</v>
      </c>
      <c r="D58" s="105">
        <v>9.14</v>
      </c>
      <c r="E58" s="105">
        <v>0.55000000000000004</v>
      </c>
    </row>
    <row r="59" spans="1:5" x14ac:dyDescent="0.25">
      <c r="A59" s="104">
        <v>49</v>
      </c>
      <c r="B59" s="105">
        <v>9.4499999999999993</v>
      </c>
      <c r="C59" s="105">
        <v>0.56999999999999995</v>
      </c>
      <c r="D59" s="105">
        <v>9.4499999999999993</v>
      </c>
      <c r="E59" s="105">
        <v>0.56999999999999995</v>
      </c>
    </row>
    <row r="60" spans="1:5" x14ac:dyDescent="0.25">
      <c r="A60" s="104">
        <v>50</v>
      </c>
      <c r="B60" s="105">
        <v>9.76</v>
      </c>
      <c r="C60" s="105">
        <v>0.59</v>
      </c>
      <c r="D60" s="105">
        <v>9.76</v>
      </c>
      <c r="E60" s="105">
        <v>0.59</v>
      </c>
    </row>
    <row r="61" spans="1:5" x14ac:dyDescent="0.25">
      <c r="A61" s="104">
        <v>51</v>
      </c>
      <c r="B61" s="105">
        <v>10.09</v>
      </c>
      <c r="C61" s="105">
        <v>0.61</v>
      </c>
      <c r="D61" s="105">
        <v>10.09</v>
      </c>
      <c r="E61" s="105">
        <v>0.61</v>
      </c>
    </row>
    <row r="62" spans="1:5" x14ac:dyDescent="0.25">
      <c r="A62" s="104">
        <v>52</v>
      </c>
      <c r="B62" s="105">
        <v>10.43</v>
      </c>
      <c r="C62" s="105">
        <v>0.62</v>
      </c>
      <c r="D62" s="105">
        <v>10.43</v>
      </c>
      <c r="E62" s="105">
        <v>0.62</v>
      </c>
    </row>
    <row r="63" spans="1:5" x14ac:dyDescent="0.25">
      <c r="A63" s="104">
        <v>53</v>
      </c>
      <c r="B63" s="105">
        <v>10.77</v>
      </c>
      <c r="C63" s="105">
        <v>0.64</v>
      </c>
      <c r="D63" s="105">
        <v>10.77</v>
      </c>
      <c r="E63" s="105">
        <v>0.64</v>
      </c>
    </row>
    <row r="64" spans="1:5" x14ac:dyDescent="0.25">
      <c r="A64" s="104">
        <v>54</v>
      </c>
      <c r="B64" s="105">
        <v>11.13</v>
      </c>
      <c r="C64" s="105">
        <v>0.66</v>
      </c>
      <c r="D64" s="105">
        <v>11.13</v>
      </c>
      <c r="E64" s="105">
        <v>0.66</v>
      </c>
    </row>
    <row r="65" spans="1:5" x14ac:dyDescent="0.25">
      <c r="A65" s="104">
        <v>55</v>
      </c>
      <c r="B65" s="105">
        <v>11.51</v>
      </c>
      <c r="C65" s="105">
        <v>0.68</v>
      </c>
      <c r="D65" s="105">
        <v>11.51</v>
      </c>
      <c r="E65" s="105">
        <v>0.68</v>
      </c>
    </row>
    <row r="66" spans="1:5" x14ac:dyDescent="0.25">
      <c r="A66" s="104">
        <v>56</v>
      </c>
      <c r="B66" s="105">
        <v>11.89</v>
      </c>
      <c r="C66" s="105">
        <v>0.69</v>
      </c>
      <c r="D66" s="105">
        <v>11.89</v>
      </c>
      <c r="E66" s="105">
        <v>0.69</v>
      </c>
    </row>
    <row r="67" spans="1:5" x14ac:dyDescent="0.25">
      <c r="A67" s="104">
        <v>57</v>
      </c>
      <c r="B67" s="105">
        <v>12.3</v>
      </c>
      <c r="C67" s="105">
        <v>0.71</v>
      </c>
      <c r="D67" s="105">
        <v>12.3</v>
      </c>
      <c r="E67" s="105">
        <v>0.71</v>
      </c>
    </row>
    <row r="68" spans="1:5" x14ac:dyDescent="0.25">
      <c r="A68" s="104">
        <v>58</v>
      </c>
      <c r="B68" s="105">
        <v>12.71</v>
      </c>
      <c r="C68" s="105">
        <v>0.73</v>
      </c>
      <c r="D68" s="105">
        <v>12.71</v>
      </c>
      <c r="E68" s="105">
        <v>0.73</v>
      </c>
    </row>
    <row r="69" spans="1:5" x14ac:dyDescent="0.25">
      <c r="A69" s="104">
        <v>59</v>
      </c>
      <c r="B69" s="105">
        <v>13.15</v>
      </c>
      <c r="C69" s="105">
        <v>0.75</v>
      </c>
      <c r="D69" s="105">
        <v>13.15</v>
      </c>
      <c r="E69" s="105">
        <v>0.75</v>
      </c>
    </row>
    <row r="70" spans="1:5" x14ac:dyDescent="0.25">
      <c r="A70" s="104">
        <v>60</v>
      </c>
      <c r="B70" s="105">
        <v>13.6</v>
      </c>
      <c r="C70" s="105">
        <v>0.77</v>
      </c>
      <c r="D70" s="105">
        <v>13.6</v>
      </c>
      <c r="E70" s="105">
        <v>0.77</v>
      </c>
    </row>
    <row r="71" spans="1:5" x14ac:dyDescent="0.25">
      <c r="A71" s="104">
        <v>61</v>
      </c>
      <c r="B71" s="105">
        <v>14.08</v>
      </c>
      <c r="C71" s="105">
        <v>0.78</v>
      </c>
      <c r="D71" s="105">
        <v>14.08</v>
      </c>
      <c r="E71" s="105">
        <v>0.78</v>
      </c>
    </row>
    <row r="72" spans="1:5" x14ac:dyDescent="0.25">
      <c r="A72" s="104">
        <v>62</v>
      </c>
      <c r="B72" s="105">
        <v>14.57</v>
      </c>
      <c r="C72" s="105">
        <v>0.8</v>
      </c>
      <c r="D72" s="105">
        <v>14.57</v>
      </c>
      <c r="E72" s="105">
        <v>0.8</v>
      </c>
    </row>
    <row r="73" spans="1:5" x14ac:dyDescent="0.25">
      <c r="A73" s="104">
        <v>63</v>
      </c>
      <c r="B73" s="105">
        <v>15.1</v>
      </c>
      <c r="C73" s="105">
        <v>0.82</v>
      </c>
      <c r="D73" s="105">
        <v>15.1</v>
      </c>
      <c r="E73" s="105">
        <v>0.82</v>
      </c>
    </row>
    <row r="74" spans="1:5" x14ac:dyDescent="0.25">
      <c r="A74" s="104">
        <v>64</v>
      </c>
      <c r="B74" s="105">
        <v>15.65</v>
      </c>
      <c r="C74" s="105">
        <v>0.84</v>
      </c>
      <c r="D74" s="105">
        <v>15.65</v>
      </c>
      <c r="E74" s="105">
        <v>0.84</v>
      </c>
    </row>
    <row r="75" spans="1:5" x14ac:dyDescent="0.25">
      <c r="A75" s="104">
        <v>65</v>
      </c>
      <c r="B75" s="105">
        <v>16.239999999999998</v>
      </c>
      <c r="C75" s="105">
        <v>0.85</v>
      </c>
      <c r="D75" s="105">
        <v>16.239999999999998</v>
      </c>
      <c r="E75" s="105">
        <v>0.85</v>
      </c>
    </row>
    <row r="76" spans="1:5" x14ac:dyDescent="0.25">
      <c r="A76" s="104">
        <v>66</v>
      </c>
      <c r="B76" s="105">
        <v>16.86</v>
      </c>
      <c r="C76" s="105">
        <v>0.87</v>
      </c>
      <c r="D76" s="105">
        <v>16.86</v>
      </c>
      <c r="E76" s="105">
        <v>0.87</v>
      </c>
    </row>
    <row r="77" spans="1:5" x14ac:dyDescent="0.25">
      <c r="A77" s="104">
        <v>67</v>
      </c>
      <c r="B77" s="105">
        <v>16.87</v>
      </c>
      <c r="C77" s="105">
        <v>0.88</v>
      </c>
      <c r="D77" s="105">
        <v>16.87</v>
      </c>
      <c r="E77" s="105">
        <v>0.88</v>
      </c>
    </row>
    <row r="78" spans="1:5" x14ac:dyDescent="0.25">
      <c r="A78" s="104">
        <v>68</v>
      </c>
      <c r="B78" s="105">
        <v>16.239999999999998</v>
      </c>
      <c r="C78" s="105">
        <v>0.88</v>
      </c>
      <c r="D78" s="105">
        <v>16.239999999999998</v>
      </c>
      <c r="E78" s="105">
        <v>0.88</v>
      </c>
    </row>
    <row r="79" spans="1:5" x14ac:dyDescent="0.25">
      <c r="A79" s="104">
        <v>69</v>
      </c>
      <c r="B79" s="105">
        <v>15.61</v>
      </c>
      <c r="C79" s="105">
        <v>0.87</v>
      </c>
      <c r="D79" s="105">
        <v>15.61</v>
      </c>
      <c r="E79" s="105">
        <v>0.87</v>
      </c>
    </row>
    <row r="80" spans="1:5" x14ac:dyDescent="0.25">
      <c r="A80" s="104">
        <v>70</v>
      </c>
      <c r="B80" s="105">
        <v>14.99</v>
      </c>
      <c r="C80" s="105">
        <v>0.87</v>
      </c>
      <c r="D80" s="105">
        <v>14.99</v>
      </c>
      <c r="E80" s="105">
        <v>0.87</v>
      </c>
    </row>
    <row r="81" spans="1:5" x14ac:dyDescent="0.25">
      <c r="A81" s="104">
        <v>71</v>
      </c>
      <c r="B81" s="105">
        <v>14.37</v>
      </c>
      <c r="C81" s="105">
        <v>0.86</v>
      </c>
      <c r="D81" s="105">
        <v>14.37</v>
      </c>
      <c r="E81" s="105">
        <v>0.86</v>
      </c>
    </row>
    <row r="82" spans="1:5" x14ac:dyDescent="0.25">
      <c r="A82" s="104">
        <v>72</v>
      </c>
      <c r="B82" s="105">
        <v>13.76</v>
      </c>
      <c r="C82" s="105">
        <v>0.85</v>
      </c>
      <c r="D82" s="105">
        <v>13.76</v>
      </c>
      <c r="E82" s="105">
        <v>0.85</v>
      </c>
    </row>
    <row r="83" spans="1:5" x14ac:dyDescent="0.25">
      <c r="A83" s="104">
        <v>73</v>
      </c>
      <c r="B83" s="105">
        <v>13.15</v>
      </c>
      <c r="C83" s="105">
        <v>0.85</v>
      </c>
      <c r="D83" s="105">
        <v>13.15</v>
      </c>
      <c r="E83" s="105">
        <v>0.85</v>
      </c>
    </row>
    <row r="84" spans="1:5" x14ac:dyDescent="0.25">
      <c r="A84" s="104">
        <v>74</v>
      </c>
      <c r="B84" s="105">
        <v>12.56</v>
      </c>
      <c r="C84" s="105">
        <v>0.84</v>
      </c>
      <c r="D84" s="105">
        <v>12.56</v>
      </c>
      <c r="E84" s="105">
        <v>0.84</v>
      </c>
    </row>
    <row r="85" spans="1:5" x14ac:dyDescent="0.25">
      <c r="A85" s="104">
        <v>75</v>
      </c>
      <c r="B85" s="105">
        <v>12.26</v>
      </c>
      <c r="C85" s="105">
        <v>0.83</v>
      </c>
      <c r="D85" s="105">
        <v>12.26</v>
      </c>
      <c r="E85" s="105">
        <v>0.83</v>
      </c>
    </row>
  </sheetData>
  <sheetProtection algorithmName="SHA-512" hashValue="6Ywb6a2L9w3n97Qgv3cVqmIMMuqScEnI5OsD/1fuUhSX7RzdEPGGq+UtF7GddPnNVKnceEgRSDa8EJzyFQgYBg==" saltValue="uHHnvCBhiYflapWQlGBN+A==" spinCount="100000" sheet="1" objects="1" scenarios="1"/>
  <conditionalFormatting sqref="A6:A21">
    <cfRule type="expression" dxfId="1285" priority="1" stopIfTrue="1">
      <formula>MOD(ROW(),2)=0</formula>
    </cfRule>
    <cfRule type="expression" dxfId="1284" priority="2" stopIfTrue="1">
      <formula>MOD(ROW(),2)&lt;&gt;0</formula>
    </cfRule>
  </conditionalFormatting>
  <conditionalFormatting sqref="A26:A85">
    <cfRule type="expression" dxfId="1283" priority="9" stopIfTrue="1">
      <formula>MOD(ROW(),2)=0</formula>
    </cfRule>
    <cfRule type="expression" dxfId="1282" priority="10" stopIfTrue="1">
      <formula>MOD(ROW(),2)&lt;&gt;0</formula>
    </cfRule>
  </conditionalFormatting>
  <conditionalFormatting sqref="B18:B20">
    <cfRule type="expression" dxfId="1281" priority="5" stopIfTrue="1">
      <formula>MOD(ROW(),2)=0</formula>
    </cfRule>
    <cfRule type="expression" dxfId="1280" priority="6" stopIfTrue="1">
      <formula>MOD(ROW(),2)&lt;&gt;0</formula>
    </cfRule>
  </conditionalFormatting>
  <conditionalFormatting sqref="B6:E21">
    <cfRule type="expression" dxfId="1279" priority="23" stopIfTrue="1">
      <formula>MOD(ROW(),2)=0</formula>
    </cfRule>
    <cfRule type="expression" dxfId="1278" priority="24" stopIfTrue="1">
      <formula>MOD(ROW(),2)&lt;&gt;0</formula>
    </cfRule>
  </conditionalFormatting>
  <conditionalFormatting sqref="B21:E21">
    <cfRule type="expression" dxfId="1277" priority="3" stopIfTrue="1">
      <formula>MOD(ROW(),2)=0</formula>
    </cfRule>
    <cfRule type="expression" dxfId="1276" priority="4" stopIfTrue="1">
      <formula>MOD(ROW(),2)&lt;&gt;0</formula>
    </cfRule>
  </conditionalFormatting>
  <conditionalFormatting sqref="B26:E85">
    <cfRule type="expression" dxfId="1275" priority="11" stopIfTrue="1">
      <formula>MOD(ROW(),2)=0</formula>
    </cfRule>
    <cfRule type="expression" dxfId="1274" priority="12" stopIfTrue="1">
      <formula>MOD(ROW(),2)&lt;&gt;0</formula>
    </cfRule>
  </conditionalFormatting>
  <conditionalFormatting sqref="C18:E19">
    <cfRule type="expression" dxfId="1273" priority="7" stopIfTrue="1">
      <formula>MOD(ROW(),2)=0</formula>
    </cfRule>
    <cfRule type="expression" dxfId="1272" priority="8" stopIfTrue="1">
      <formula>MOD(ROW(),2)&lt;&gt;0</formula>
    </cfRule>
  </conditionalFormatting>
  <hyperlinks>
    <hyperlink ref="B24" location="Sheet1!A1" display="Assumptions" xr:uid="{C347DF9E-FA3C-43D0-B810-7D44478844A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18"/>
  <dimension ref="A1:E85"/>
  <sheetViews>
    <sheetView showGridLines="0" zoomScale="85" zoomScaleNormal="85" workbookViewId="0">
      <selection activeCell="B23" sqref="B23"/>
    </sheetView>
  </sheetViews>
  <sheetFormatPr defaultColWidth="10" defaultRowHeight="13.2" x14ac:dyDescent="0.25"/>
  <cols>
    <col min="1" max="1" width="31.5546875" style="27" customWidth="1"/>
    <col min="2" max="5" width="22.5546875" style="27" customWidth="1"/>
    <col min="6" max="16384" width="10" style="27"/>
  </cols>
  <sheetData>
    <row r="1" spans="1:5" ht="21" x14ac:dyDescent="0.4">
      <c r="A1" s="39" t="s">
        <v>0</v>
      </c>
      <c r="B1" s="40"/>
      <c r="C1" s="40"/>
      <c r="D1" s="40"/>
      <c r="E1" s="40"/>
    </row>
    <row r="2" spans="1:5" ht="15.6" x14ac:dyDescent="0.3">
      <c r="A2" s="41" t="str">
        <f>IF(title="&gt; Enter workbook title here","Enter workbook title in Cover sheet",title)</f>
        <v>Civil Service Pension Schemes - Consolidated Factor Spreadsheet</v>
      </c>
      <c r="B2" s="42"/>
      <c r="C2" s="42"/>
      <c r="D2" s="42"/>
      <c r="E2" s="42"/>
    </row>
    <row r="3" spans="1:5" ht="15.6" x14ac:dyDescent="0.3">
      <c r="A3" s="43" t="str">
        <f>TABLE_FACTOR_TYPE_1&amp;" - x-"&amp;TABLE_SERIES_NUMBER_1</f>
        <v>TV In (non-club) - x-218</v>
      </c>
      <c r="B3" s="42"/>
      <c r="C3" s="42"/>
      <c r="D3" s="42"/>
      <c r="E3" s="42"/>
    </row>
    <row r="4" spans="1:5" x14ac:dyDescent="0.25">
      <c r="A4" s="44"/>
    </row>
    <row r="6" spans="1:5" x14ac:dyDescent="0.25">
      <c r="A6" s="76" t="s">
        <v>290</v>
      </c>
      <c r="B6" s="129" t="s">
        <v>291</v>
      </c>
      <c r="C6" s="129"/>
      <c r="D6" s="129"/>
      <c r="E6" s="129"/>
    </row>
    <row r="7" spans="1:5" x14ac:dyDescent="0.25">
      <c r="A7" s="77" t="s">
        <v>804</v>
      </c>
      <c r="B7" s="129" t="s">
        <v>324</v>
      </c>
      <c r="C7" s="129"/>
      <c r="D7" s="129"/>
      <c r="E7" s="129"/>
    </row>
    <row r="8" spans="1:5" x14ac:dyDescent="0.25">
      <c r="A8" s="77" t="s">
        <v>805</v>
      </c>
      <c r="B8" s="129" t="s">
        <v>85</v>
      </c>
      <c r="C8" s="129"/>
      <c r="D8" s="129"/>
      <c r="E8" s="129"/>
    </row>
    <row r="9" spans="1:5" x14ac:dyDescent="0.25">
      <c r="A9" s="77" t="s">
        <v>296</v>
      </c>
      <c r="B9" s="129" t="s">
        <v>371</v>
      </c>
      <c r="C9" s="129"/>
      <c r="D9" s="129"/>
      <c r="E9" s="129"/>
    </row>
    <row r="10" spans="1:5" x14ac:dyDescent="0.25">
      <c r="A10" s="77" t="s">
        <v>6</v>
      </c>
      <c r="B10" s="129" t="s">
        <v>382</v>
      </c>
      <c r="C10" s="129"/>
      <c r="D10" s="129"/>
      <c r="E10" s="129"/>
    </row>
    <row r="11" spans="1:5" x14ac:dyDescent="0.25">
      <c r="A11" s="77" t="s">
        <v>299</v>
      </c>
      <c r="B11" s="129" t="s">
        <v>327</v>
      </c>
      <c r="C11" s="129"/>
      <c r="D11" s="129"/>
      <c r="E11" s="129"/>
    </row>
    <row r="12" spans="1:5" x14ac:dyDescent="0.25">
      <c r="A12" s="77" t="s">
        <v>301</v>
      </c>
      <c r="B12" s="129" t="s">
        <v>373</v>
      </c>
      <c r="C12" s="129"/>
      <c r="D12" s="129"/>
      <c r="E12" s="129"/>
    </row>
    <row r="13" spans="1:5" x14ac:dyDescent="0.25">
      <c r="A13" s="77" t="s">
        <v>806</v>
      </c>
      <c r="B13" s="129">
        <v>0</v>
      </c>
      <c r="C13" s="129"/>
      <c r="D13" s="129"/>
      <c r="E13" s="129"/>
    </row>
    <row r="14" spans="1:5" x14ac:dyDescent="0.25">
      <c r="A14" s="77" t="s">
        <v>305</v>
      </c>
      <c r="B14" s="129">
        <v>218</v>
      </c>
      <c r="C14" s="129"/>
      <c r="D14" s="129"/>
      <c r="E14" s="129"/>
    </row>
    <row r="15" spans="1:5" x14ac:dyDescent="0.25">
      <c r="A15" s="77" t="s">
        <v>307</v>
      </c>
      <c r="B15" s="129" t="s">
        <v>383</v>
      </c>
      <c r="C15" s="129"/>
      <c r="D15" s="129"/>
      <c r="E15" s="129"/>
    </row>
    <row r="16" spans="1:5" x14ac:dyDescent="0.25">
      <c r="A16" s="77" t="s">
        <v>825</v>
      </c>
      <c r="B16" s="129" t="s">
        <v>384</v>
      </c>
      <c r="C16" s="129"/>
      <c r="D16" s="129"/>
      <c r="E16" s="129"/>
    </row>
    <row r="17" spans="1:5" x14ac:dyDescent="0.25">
      <c r="A17" s="77" t="s">
        <v>803</v>
      </c>
      <c r="B17" s="129"/>
      <c r="C17" s="129"/>
      <c r="D17" s="129"/>
      <c r="E17" s="129"/>
    </row>
    <row r="18" spans="1:5" x14ac:dyDescent="0.25">
      <c r="A18" s="77" t="s">
        <v>313</v>
      </c>
      <c r="B18" s="187">
        <v>45106</v>
      </c>
      <c r="C18" s="129"/>
      <c r="D18" s="129"/>
      <c r="E18" s="129"/>
    </row>
    <row r="19" spans="1:5" x14ac:dyDescent="0.25">
      <c r="A19" s="77" t="s">
        <v>315</v>
      </c>
      <c r="B19" s="187"/>
      <c r="C19" s="129"/>
      <c r="D19" s="129"/>
      <c r="E19" s="129"/>
    </row>
    <row r="20" spans="1:5" x14ac:dyDescent="0.25">
      <c r="A20" s="77" t="s">
        <v>317</v>
      </c>
      <c r="B20" s="129" t="s">
        <v>331</v>
      </c>
      <c r="C20" s="129"/>
      <c r="D20" s="129"/>
      <c r="E20" s="129"/>
    </row>
    <row r="21" spans="1:5" x14ac:dyDescent="0.25">
      <c r="A21" s="77" t="s">
        <v>323</v>
      </c>
      <c r="B21" s="129" t="s">
        <v>332</v>
      </c>
      <c r="C21" s="129"/>
      <c r="D21" s="129"/>
      <c r="E21" s="129"/>
    </row>
    <row r="23" spans="1:5" x14ac:dyDescent="0.25">
      <c r="B23" s="102" t="str">
        <f>HYPERLINK("#'Factor List'!A1","Back to Factor List")</f>
        <v>Back to Factor List</v>
      </c>
    </row>
    <row r="24" spans="1:5" x14ac:dyDescent="0.25">
      <c r="B24" s="102" t="s">
        <v>13</v>
      </c>
    </row>
    <row r="25" spans="1:5" x14ac:dyDescent="0.25">
      <c r="B25" s="102"/>
    </row>
    <row r="26" spans="1:5" ht="26.4" x14ac:dyDescent="0.25">
      <c r="A26" s="103" t="s">
        <v>373</v>
      </c>
      <c r="B26" s="103" t="s">
        <v>826</v>
      </c>
      <c r="C26" s="103" t="s">
        <v>827</v>
      </c>
      <c r="D26" s="103" t="s">
        <v>828</v>
      </c>
      <c r="E26" s="103" t="s">
        <v>829</v>
      </c>
    </row>
    <row r="27" spans="1:5" x14ac:dyDescent="0.25">
      <c r="A27" s="104">
        <v>17</v>
      </c>
      <c r="B27" s="105">
        <v>3.04</v>
      </c>
      <c r="C27" s="105">
        <v>0.19</v>
      </c>
      <c r="D27" s="105">
        <v>3.04</v>
      </c>
      <c r="E27" s="105">
        <v>0.19</v>
      </c>
    </row>
    <row r="28" spans="1:5" x14ac:dyDescent="0.25">
      <c r="A28" s="104">
        <v>18</v>
      </c>
      <c r="B28" s="105">
        <v>3.14</v>
      </c>
      <c r="C28" s="105">
        <v>0.2</v>
      </c>
      <c r="D28" s="105">
        <v>3.14</v>
      </c>
      <c r="E28" s="105">
        <v>0.2</v>
      </c>
    </row>
    <row r="29" spans="1:5" x14ac:dyDescent="0.25">
      <c r="A29" s="104">
        <v>19</v>
      </c>
      <c r="B29" s="105">
        <v>3.25</v>
      </c>
      <c r="C29" s="105">
        <v>0.21</v>
      </c>
      <c r="D29" s="105">
        <v>3.25</v>
      </c>
      <c r="E29" s="105">
        <v>0.21</v>
      </c>
    </row>
    <row r="30" spans="1:5" x14ac:dyDescent="0.25">
      <c r="A30" s="104">
        <v>20</v>
      </c>
      <c r="B30" s="105">
        <v>3.36</v>
      </c>
      <c r="C30" s="105">
        <v>0.22</v>
      </c>
      <c r="D30" s="105">
        <v>3.36</v>
      </c>
      <c r="E30" s="105">
        <v>0.22</v>
      </c>
    </row>
    <row r="31" spans="1:5" x14ac:dyDescent="0.25">
      <c r="A31" s="104">
        <v>21</v>
      </c>
      <c r="B31" s="105">
        <v>3.48</v>
      </c>
      <c r="C31" s="105">
        <v>0.22</v>
      </c>
      <c r="D31" s="105">
        <v>3.48</v>
      </c>
      <c r="E31" s="105">
        <v>0.22</v>
      </c>
    </row>
    <row r="32" spans="1:5" x14ac:dyDescent="0.25">
      <c r="A32" s="104">
        <v>22</v>
      </c>
      <c r="B32" s="105">
        <v>3.6</v>
      </c>
      <c r="C32" s="105">
        <v>0.23</v>
      </c>
      <c r="D32" s="105">
        <v>3.6</v>
      </c>
      <c r="E32" s="105">
        <v>0.23</v>
      </c>
    </row>
    <row r="33" spans="1:5" x14ac:dyDescent="0.25">
      <c r="A33" s="104">
        <v>23</v>
      </c>
      <c r="B33" s="105">
        <v>3.72</v>
      </c>
      <c r="C33" s="105">
        <v>0.24</v>
      </c>
      <c r="D33" s="105">
        <v>3.72</v>
      </c>
      <c r="E33" s="105">
        <v>0.24</v>
      </c>
    </row>
    <row r="34" spans="1:5" x14ac:dyDescent="0.25">
      <c r="A34" s="104">
        <v>24</v>
      </c>
      <c r="B34" s="105">
        <v>3.85</v>
      </c>
      <c r="C34" s="105">
        <v>0.25</v>
      </c>
      <c r="D34" s="105">
        <v>3.85</v>
      </c>
      <c r="E34" s="105">
        <v>0.25</v>
      </c>
    </row>
    <row r="35" spans="1:5" x14ac:dyDescent="0.25">
      <c r="A35" s="104">
        <v>25</v>
      </c>
      <c r="B35" s="105">
        <v>3.98</v>
      </c>
      <c r="C35" s="105">
        <v>0.26</v>
      </c>
      <c r="D35" s="105">
        <v>3.98</v>
      </c>
      <c r="E35" s="105">
        <v>0.26</v>
      </c>
    </row>
    <row r="36" spans="1:5" x14ac:dyDescent="0.25">
      <c r="A36" s="104">
        <v>26</v>
      </c>
      <c r="B36" s="105">
        <v>4.12</v>
      </c>
      <c r="C36" s="105">
        <v>0.27</v>
      </c>
      <c r="D36" s="105">
        <v>4.12</v>
      </c>
      <c r="E36" s="105">
        <v>0.27</v>
      </c>
    </row>
    <row r="37" spans="1:5" x14ac:dyDescent="0.25">
      <c r="A37" s="104">
        <v>27</v>
      </c>
      <c r="B37" s="105">
        <v>4.26</v>
      </c>
      <c r="C37" s="105">
        <v>0.28000000000000003</v>
      </c>
      <c r="D37" s="105">
        <v>4.26</v>
      </c>
      <c r="E37" s="105">
        <v>0.28000000000000003</v>
      </c>
    </row>
    <row r="38" spans="1:5" x14ac:dyDescent="0.25">
      <c r="A38" s="104">
        <v>28</v>
      </c>
      <c r="B38" s="105">
        <v>4.41</v>
      </c>
      <c r="C38" s="105">
        <v>0.28999999999999998</v>
      </c>
      <c r="D38" s="105">
        <v>4.41</v>
      </c>
      <c r="E38" s="105">
        <v>0.28999999999999998</v>
      </c>
    </row>
    <row r="39" spans="1:5" x14ac:dyDescent="0.25">
      <c r="A39" s="104">
        <v>29</v>
      </c>
      <c r="B39" s="105">
        <v>4.5599999999999996</v>
      </c>
      <c r="C39" s="105">
        <v>0.3</v>
      </c>
      <c r="D39" s="105">
        <v>4.5599999999999996</v>
      </c>
      <c r="E39" s="105">
        <v>0.3</v>
      </c>
    </row>
    <row r="40" spans="1:5" x14ac:dyDescent="0.25">
      <c r="A40" s="104">
        <v>30</v>
      </c>
      <c r="B40" s="105">
        <v>4.71</v>
      </c>
      <c r="C40" s="105">
        <v>0.31</v>
      </c>
      <c r="D40" s="105">
        <v>4.71</v>
      </c>
      <c r="E40" s="105">
        <v>0.31</v>
      </c>
    </row>
    <row r="41" spans="1:5" x14ac:dyDescent="0.25">
      <c r="A41" s="104">
        <v>31</v>
      </c>
      <c r="B41" s="105">
        <v>4.88</v>
      </c>
      <c r="C41" s="105">
        <v>0.32</v>
      </c>
      <c r="D41" s="105">
        <v>4.88</v>
      </c>
      <c r="E41" s="105">
        <v>0.32</v>
      </c>
    </row>
    <row r="42" spans="1:5" x14ac:dyDescent="0.25">
      <c r="A42" s="104">
        <v>32</v>
      </c>
      <c r="B42" s="105">
        <v>5.04</v>
      </c>
      <c r="C42" s="105">
        <v>0.33</v>
      </c>
      <c r="D42" s="105">
        <v>5.04</v>
      </c>
      <c r="E42" s="105">
        <v>0.33</v>
      </c>
    </row>
    <row r="43" spans="1:5" x14ac:dyDescent="0.25">
      <c r="A43" s="104">
        <v>33</v>
      </c>
      <c r="B43" s="105">
        <v>5.21</v>
      </c>
      <c r="C43" s="105">
        <v>0.34</v>
      </c>
      <c r="D43" s="105">
        <v>5.21</v>
      </c>
      <c r="E43" s="105">
        <v>0.34</v>
      </c>
    </row>
    <row r="44" spans="1:5" x14ac:dyDescent="0.25">
      <c r="A44" s="104">
        <v>34</v>
      </c>
      <c r="B44" s="105">
        <v>5.39</v>
      </c>
      <c r="C44" s="105">
        <v>0.35</v>
      </c>
      <c r="D44" s="105">
        <v>5.39</v>
      </c>
      <c r="E44" s="105">
        <v>0.35</v>
      </c>
    </row>
    <row r="45" spans="1:5" x14ac:dyDescent="0.25">
      <c r="A45" s="104">
        <v>35</v>
      </c>
      <c r="B45" s="105">
        <v>5.57</v>
      </c>
      <c r="C45" s="105">
        <v>0.36</v>
      </c>
      <c r="D45" s="105">
        <v>5.57</v>
      </c>
      <c r="E45" s="105">
        <v>0.36</v>
      </c>
    </row>
    <row r="46" spans="1:5" x14ac:dyDescent="0.25">
      <c r="A46" s="104">
        <v>36</v>
      </c>
      <c r="B46" s="105">
        <v>5.76</v>
      </c>
      <c r="C46" s="105">
        <v>0.37</v>
      </c>
      <c r="D46" s="105">
        <v>5.76</v>
      </c>
      <c r="E46" s="105">
        <v>0.37</v>
      </c>
    </row>
    <row r="47" spans="1:5" x14ac:dyDescent="0.25">
      <c r="A47" s="104">
        <v>37</v>
      </c>
      <c r="B47" s="105">
        <v>5.95</v>
      </c>
      <c r="C47" s="105">
        <v>0.39</v>
      </c>
      <c r="D47" s="105">
        <v>5.95</v>
      </c>
      <c r="E47" s="105">
        <v>0.39</v>
      </c>
    </row>
    <row r="48" spans="1:5" x14ac:dyDescent="0.25">
      <c r="A48" s="104">
        <v>38</v>
      </c>
      <c r="B48" s="105">
        <v>6.15</v>
      </c>
      <c r="C48" s="105">
        <v>0.4</v>
      </c>
      <c r="D48" s="105">
        <v>6.15</v>
      </c>
      <c r="E48" s="105">
        <v>0.4</v>
      </c>
    </row>
    <row r="49" spans="1:5" x14ac:dyDescent="0.25">
      <c r="A49" s="104">
        <v>39</v>
      </c>
      <c r="B49" s="105">
        <v>6.36</v>
      </c>
      <c r="C49" s="105">
        <v>0.41</v>
      </c>
      <c r="D49" s="105">
        <v>6.36</v>
      </c>
      <c r="E49" s="105">
        <v>0.41</v>
      </c>
    </row>
    <row r="50" spans="1:5" x14ac:dyDescent="0.25">
      <c r="A50" s="104">
        <v>40</v>
      </c>
      <c r="B50" s="105">
        <v>6.57</v>
      </c>
      <c r="C50" s="105">
        <v>0.42</v>
      </c>
      <c r="D50" s="105">
        <v>6.57</v>
      </c>
      <c r="E50" s="105">
        <v>0.42</v>
      </c>
    </row>
    <row r="51" spans="1:5" x14ac:dyDescent="0.25">
      <c r="A51" s="104">
        <v>41</v>
      </c>
      <c r="B51" s="105">
        <v>6.79</v>
      </c>
      <c r="C51" s="105">
        <v>0.44</v>
      </c>
      <c r="D51" s="105">
        <v>6.79</v>
      </c>
      <c r="E51" s="105">
        <v>0.44</v>
      </c>
    </row>
    <row r="52" spans="1:5" x14ac:dyDescent="0.25">
      <c r="A52" s="104">
        <v>42</v>
      </c>
      <c r="B52" s="105">
        <v>7.02</v>
      </c>
      <c r="C52" s="105">
        <v>0.45</v>
      </c>
      <c r="D52" s="105">
        <v>7.02</v>
      </c>
      <c r="E52" s="105">
        <v>0.45</v>
      </c>
    </row>
    <row r="53" spans="1:5" x14ac:dyDescent="0.25">
      <c r="A53" s="104">
        <v>43</v>
      </c>
      <c r="B53" s="105">
        <v>7.26</v>
      </c>
      <c r="C53" s="105">
        <v>0.47</v>
      </c>
      <c r="D53" s="105">
        <v>7.26</v>
      </c>
      <c r="E53" s="105">
        <v>0.47</v>
      </c>
    </row>
    <row r="54" spans="1:5" x14ac:dyDescent="0.25">
      <c r="A54" s="104">
        <v>44</v>
      </c>
      <c r="B54" s="105">
        <v>7.5</v>
      </c>
      <c r="C54" s="105">
        <v>0.48</v>
      </c>
      <c r="D54" s="105">
        <v>7.5</v>
      </c>
      <c r="E54" s="105">
        <v>0.48</v>
      </c>
    </row>
    <row r="55" spans="1:5" x14ac:dyDescent="0.25">
      <c r="A55" s="104">
        <v>45</v>
      </c>
      <c r="B55" s="105">
        <v>7.75</v>
      </c>
      <c r="C55" s="105">
        <v>0.5</v>
      </c>
      <c r="D55" s="105">
        <v>7.75</v>
      </c>
      <c r="E55" s="105">
        <v>0.5</v>
      </c>
    </row>
    <row r="56" spans="1:5" x14ac:dyDescent="0.25">
      <c r="A56" s="104">
        <v>46</v>
      </c>
      <c r="B56" s="105">
        <v>8.01</v>
      </c>
      <c r="C56" s="105">
        <v>0.51</v>
      </c>
      <c r="D56" s="105">
        <v>8.01</v>
      </c>
      <c r="E56" s="105">
        <v>0.51</v>
      </c>
    </row>
    <row r="57" spans="1:5" x14ac:dyDescent="0.25">
      <c r="A57" s="104">
        <v>47</v>
      </c>
      <c r="B57" s="105">
        <v>8.27</v>
      </c>
      <c r="C57" s="105">
        <v>0.53</v>
      </c>
      <c r="D57" s="105">
        <v>8.27</v>
      </c>
      <c r="E57" s="105">
        <v>0.53</v>
      </c>
    </row>
    <row r="58" spans="1:5" x14ac:dyDescent="0.25">
      <c r="A58" s="104">
        <v>48</v>
      </c>
      <c r="B58" s="105">
        <v>8.5500000000000007</v>
      </c>
      <c r="C58" s="105">
        <v>0.54</v>
      </c>
      <c r="D58" s="105">
        <v>8.5500000000000007</v>
      </c>
      <c r="E58" s="105">
        <v>0.54</v>
      </c>
    </row>
    <row r="59" spans="1:5" x14ac:dyDescent="0.25">
      <c r="A59" s="104">
        <v>49</v>
      </c>
      <c r="B59" s="105">
        <v>8.83</v>
      </c>
      <c r="C59" s="105">
        <v>0.56000000000000005</v>
      </c>
      <c r="D59" s="105">
        <v>8.83</v>
      </c>
      <c r="E59" s="105">
        <v>0.56000000000000005</v>
      </c>
    </row>
    <row r="60" spans="1:5" x14ac:dyDescent="0.25">
      <c r="A60" s="104">
        <v>50</v>
      </c>
      <c r="B60" s="105">
        <v>9.1199999999999992</v>
      </c>
      <c r="C60" s="105">
        <v>0.57999999999999996</v>
      </c>
      <c r="D60" s="105">
        <v>9.1199999999999992</v>
      </c>
      <c r="E60" s="105">
        <v>0.57999999999999996</v>
      </c>
    </row>
    <row r="61" spans="1:5" x14ac:dyDescent="0.25">
      <c r="A61" s="104">
        <v>51</v>
      </c>
      <c r="B61" s="105">
        <v>9.42</v>
      </c>
      <c r="C61" s="105">
        <v>0.59</v>
      </c>
      <c r="D61" s="105">
        <v>9.42</v>
      </c>
      <c r="E61" s="105">
        <v>0.59</v>
      </c>
    </row>
    <row r="62" spans="1:5" x14ac:dyDescent="0.25">
      <c r="A62" s="104">
        <v>52</v>
      </c>
      <c r="B62" s="105">
        <v>9.73</v>
      </c>
      <c r="C62" s="105">
        <v>0.61</v>
      </c>
      <c r="D62" s="105">
        <v>9.73</v>
      </c>
      <c r="E62" s="105">
        <v>0.61</v>
      </c>
    </row>
    <row r="63" spans="1:5" x14ac:dyDescent="0.25">
      <c r="A63" s="104">
        <v>53</v>
      </c>
      <c r="B63" s="105">
        <v>10.06</v>
      </c>
      <c r="C63" s="105">
        <v>0.63</v>
      </c>
      <c r="D63" s="105">
        <v>10.06</v>
      </c>
      <c r="E63" s="105">
        <v>0.63</v>
      </c>
    </row>
    <row r="64" spans="1:5" x14ac:dyDescent="0.25">
      <c r="A64" s="104">
        <v>54</v>
      </c>
      <c r="B64" s="105">
        <v>10.39</v>
      </c>
      <c r="C64" s="105">
        <v>0.65</v>
      </c>
      <c r="D64" s="105">
        <v>10.39</v>
      </c>
      <c r="E64" s="105">
        <v>0.65</v>
      </c>
    </row>
    <row r="65" spans="1:5" x14ac:dyDescent="0.25">
      <c r="A65" s="104">
        <v>55</v>
      </c>
      <c r="B65" s="105">
        <v>10.73</v>
      </c>
      <c r="C65" s="105">
        <v>0.66</v>
      </c>
      <c r="D65" s="105">
        <v>10.73</v>
      </c>
      <c r="E65" s="105">
        <v>0.66</v>
      </c>
    </row>
    <row r="66" spans="1:5" x14ac:dyDescent="0.25">
      <c r="A66" s="104">
        <v>56</v>
      </c>
      <c r="B66" s="105">
        <v>11.09</v>
      </c>
      <c r="C66" s="105">
        <v>0.68</v>
      </c>
      <c r="D66" s="105">
        <v>11.09</v>
      </c>
      <c r="E66" s="105">
        <v>0.68</v>
      </c>
    </row>
    <row r="67" spans="1:5" x14ac:dyDescent="0.25">
      <c r="A67" s="104">
        <v>57</v>
      </c>
      <c r="B67" s="105">
        <v>11.46</v>
      </c>
      <c r="C67" s="105">
        <v>0.7</v>
      </c>
      <c r="D67" s="105">
        <v>11.46</v>
      </c>
      <c r="E67" s="105">
        <v>0.7</v>
      </c>
    </row>
    <row r="68" spans="1:5" x14ac:dyDescent="0.25">
      <c r="A68" s="104">
        <v>58</v>
      </c>
      <c r="B68" s="105">
        <v>11.84</v>
      </c>
      <c r="C68" s="105">
        <v>0.72</v>
      </c>
      <c r="D68" s="105">
        <v>11.84</v>
      </c>
      <c r="E68" s="105">
        <v>0.72</v>
      </c>
    </row>
    <row r="69" spans="1:5" x14ac:dyDescent="0.25">
      <c r="A69" s="104">
        <v>59</v>
      </c>
      <c r="B69" s="105">
        <v>12.24</v>
      </c>
      <c r="C69" s="105">
        <v>0.73</v>
      </c>
      <c r="D69" s="105">
        <v>12.24</v>
      </c>
      <c r="E69" s="105">
        <v>0.73</v>
      </c>
    </row>
    <row r="70" spans="1:5" x14ac:dyDescent="0.25">
      <c r="A70" s="104">
        <v>60</v>
      </c>
      <c r="B70" s="105">
        <v>12.66</v>
      </c>
      <c r="C70" s="105">
        <v>0.75</v>
      </c>
      <c r="D70" s="105">
        <v>12.66</v>
      </c>
      <c r="E70" s="105">
        <v>0.75</v>
      </c>
    </row>
    <row r="71" spans="1:5" x14ac:dyDescent="0.25">
      <c r="A71" s="104">
        <v>61</v>
      </c>
      <c r="B71" s="105">
        <v>13.09</v>
      </c>
      <c r="C71" s="105">
        <v>0.77</v>
      </c>
      <c r="D71" s="105">
        <v>13.09</v>
      </c>
      <c r="E71" s="105">
        <v>0.77</v>
      </c>
    </row>
    <row r="72" spans="1:5" x14ac:dyDescent="0.25">
      <c r="A72" s="104">
        <v>62</v>
      </c>
      <c r="B72" s="105">
        <v>13.55</v>
      </c>
      <c r="C72" s="105">
        <v>0.79</v>
      </c>
      <c r="D72" s="105">
        <v>13.55</v>
      </c>
      <c r="E72" s="105">
        <v>0.79</v>
      </c>
    </row>
    <row r="73" spans="1:5" x14ac:dyDescent="0.25">
      <c r="A73" s="104">
        <v>63</v>
      </c>
      <c r="B73" s="105">
        <v>14.03</v>
      </c>
      <c r="C73" s="105">
        <v>0.8</v>
      </c>
      <c r="D73" s="105">
        <v>14.03</v>
      </c>
      <c r="E73" s="105">
        <v>0.8</v>
      </c>
    </row>
    <row r="74" spans="1:5" x14ac:dyDescent="0.25">
      <c r="A74" s="104">
        <v>64</v>
      </c>
      <c r="B74" s="105">
        <v>14.53</v>
      </c>
      <c r="C74" s="105">
        <v>0.82</v>
      </c>
      <c r="D74" s="105">
        <v>14.53</v>
      </c>
      <c r="E74" s="105">
        <v>0.82</v>
      </c>
    </row>
    <row r="75" spans="1:5" x14ac:dyDescent="0.25">
      <c r="A75" s="104">
        <v>65</v>
      </c>
      <c r="B75" s="105">
        <v>15.07</v>
      </c>
      <c r="C75" s="105">
        <v>0.84</v>
      </c>
      <c r="D75" s="105">
        <v>15.07</v>
      </c>
      <c r="E75" s="105">
        <v>0.84</v>
      </c>
    </row>
    <row r="76" spans="1:5" x14ac:dyDescent="0.25">
      <c r="A76" s="104">
        <v>66</v>
      </c>
      <c r="B76" s="105">
        <v>15.63</v>
      </c>
      <c r="C76" s="105">
        <v>0.85</v>
      </c>
      <c r="D76" s="105">
        <v>15.63</v>
      </c>
      <c r="E76" s="105">
        <v>0.85</v>
      </c>
    </row>
    <row r="77" spans="1:5" x14ac:dyDescent="0.25">
      <c r="A77" s="104">
        <v>67</v>
      </c>
      <c r="B77" s="105">
        <v>16.239999999999998</v>
      </c>
      <c r="C77" s="105">
        <v>0.87</v>
      </c>
      <c r="D77" s="105">
        <v>16.239999999999998</v>
      </c>
      <c r="E77" s="105">
        <v>0.87</v>
      </c>
    </row>
    <row r="78" spans="1:5" x14ac:dyDescent="0.25">
      <c r="A78" s="104">
        <v>68</v>
      </c>
      <c r="B78" s="105">
        <v>16.239999999999998</v>
      </c>
      <c r="C78" s="105">
        <v>0.88</v>
      </c>
      <c r="D78" s="105">
        <v>16.239999999999998</v>
      </c>
      <c r="E78" s="105">
        <v>0.88</v>
      </c>
    </row>
    <row r="79" spans="1:5" x14ac:dyDescent="0.25">
      <c r="A79" s="104">
        <v>69</v>
      </c>
      <c r="B79" s="105">
        <v>15.61</v>
      </c>
      <c r="C79" s="105">
        <v>0.87</v>
      </c>
      <c r="D79" s="105">
        <v>15.61</v>
      </c>
      <c r="E79" s="105">
        <v>0.87</v>
      </c>
    </row>
    <row r="80" spans="1:5" x14ac:dyDescent="0.25">
      <c r="A80" s="104">
        <v>70</v>
      </c>
      <c r="B80" s="105">
        <v>14.99</v>
      </c>
      <c r="C80" s="105">
        <v>0.87</v>
      </c>
      <c r="D80" s="105">
        <v>14.99</v>
      </c>
      <c r="E80" s="105">
        <v>0.87</v>
      </c>
    </row>
    <row r="81" spans="1:5" x14ac:dyDescent="0.25">
      <c r="A81" s="104">
        <v>71</v>
      </c>
      <c r="B81" s="105">
        <v>14.37</v>
      </c>
      <c r="C81" s="105">
        <v>0.86</v>
      </c>
      <c r="D81" s="105">
        <v>14.37</v>
      </c>
      <c r="E81" s="105">
        <v>0.86</v>
      </c>
    </row>
    <row r="82" spans="1:5" x14ac:dyDescent="0.25">
      <c r="A82" s="104">
        <v>72</v>
      </c>
      <c r="B82" s="105">
        <v>13.76</v>
      </c>
      <c r="C82" s="105">
        <v>0.85</v>
      </c>
      <c r="D82" s="105">
        <v>13.76</v>
      </c>
      <c r="E82" s="105">
        <v>0.85</v>
      </c>
    </row>
    <row r="83" spans="1:5" x14ac:dyDescent="0.25">
      <c r="A83" s="104">
        <v>73</v>
      </c>
      <c r="B83" s="105">
        <v>13.15</v>
      </c>
      <c r="C83" s="105">
        <v>0.85</v>
      </c>
      <c r="D83" s="105">
        <v>13.15</v>
      </c>
      <c r="E83" s="105">
        <v>0.85</v>
      </c>
    </row>
    <row r="84" spans="1:5" x14ac:dyDescent="0.25">
      <c r="A84" s="104">
        <v>74</v>
      </c>
      <c r="B84" s="105">
        <v>12.56</v>
      </c>
      <c r="C84" s="105">
        <v>0.84</v>
      </c>
      <c r="D84" s="105">
        <v>12.56</v>
      </c>
      <c r="E84" s="105">
        <v>0.84</v>
      </c>
    </row>
    <row r="85" spans="1:5" x14ac:dyDescent="0.25">
      <c r="A85" s="104">
        <v>75</v>
      </c>
      <c r="B85" s="105">
        <v>12.26</v>
      </c>
      <c r="C85" s="105">
        <v>0.83</v>
      </c>
      <c r="D85" s="105">
        <v>12.26</v>
      </c>
      <c r="E85" s="105">
        <v>0.83</v>
      </c>
    </row>
  </sheetData>
  <sheetProtection algorithmName="SHA-512" hashValue="gtqB0bKeRqAyQPtqPhA33XA9oF508OwH94cs+j1xig3ZaFsRlWkpYqp5tmGrgf6jUcTrTSpce3niwl3urDgWxQ==" saltValue="0eqQ1G25311KlY/tJfRcGA==" spinCount="100000" sheet="1" objects="1" scenarios="1"/>
  <conditionalFormatting sqref="A6:A21">
    <cfRule type="expression" dxfId="1271" priority="1" stopIfTrue="1">
      <formula>MOD(ROW(),2)=0</formula>
    </cfRule>
    <cfRule type="expression" dxfId="1270" priority="2" stopIfTrue="1">
      <formula>MOD(ROW(),2)&lt;&gt;0</formula>
    </cfRule>
  </conditionalFormatting>
  <conditionalFormatting sqref="A26:A85">
    <cfRule type="expression" dxfId="1269" priority="9" stopIfTrue="1">
      <formula>MOD(ROW(),2)=0</formula>
    </cfRule>
    <cfRule type="expression" dxfId="1268" priority="10" stopIfTrue="1">
      <formula>MOD(ROW(),2)&lt;&gt;0</formula>
    </cfRule>
  </conditionalFormatting>
  <conditionalFormatting sqref="B18:B20">
    <cfRule type="expression" dxfId="1267" priority="5" stopIfTrue="1">
      <formula>MOD(ROW(),2)=0</formula>
    </cfRule>
    <cfRule type="expression" dxfId="1266" priority="6" stopIfTrue="1">
      <formula>MOD(ROW(),2)&lt;&gt;0</formula>
    </cfRule>
  </conditionalFormatting>
  <conditionalFormatting sqref="B6:E21">
    <cfRule type="expression" dxfId="1265" priority="23" stopIfTrue="1">
      <formula>MOD(ROW(),2)=0</formula>
    </cfRule>
    <cfRule type="expression" dxfId="1264" priority="24" stopIfTrue="1">
      <formula>MOD(ROW(),2)&lt;&gt;0</formula>
    </cfRule>
  </conditionalFormatting>
  <conditionalFormatting sqref="B21:E21">
    <cfRule type="expression" dxfId="1263" priority="3" stopIfTrue="1">
      <formula>MOD(ROW(),2)=0</formula>
    </cfRule>
    <cfRule type="expression" dxfId="1262" priority="4" stopIfTrue="1">
      <formula>MOD(ROW(),2)&lt;&gt;0</formula>
    </cfRule>
  </conditionalFormatting>
  <conditionalFormatting sqref="B26:E85">
    <cfRule type="expression" dxfId="1261" priority="11" stopIfTrue="1">
      <formula>MOD(ROW(),2)=0</formula>
    </cfRule>
    <cfRule type="expression" dxfId="1260" priority="12" stopIfTrue="1">
      <formula>MOD(ROW(),2)&lt;&gt;0</formula>
    </cfRule>
  </conditionalFormatting>
  <conditionalFormatting sqref="C18:E19">
    <cfRule type="expression" dxfId="1259" priority="7" stopIfTrue="1">
      <formula>MOD(ROW(),2)=0</formula>
    </cfRule>
    <cfRule type="expression" dxfId="1258" priority="8" stopIfTrue="1">
      <formula>MOD(ROW(),2)&lt;&gt;0</formula>
    </cfRule>
  </conditionalFormatting>
  <hyperlinks>
    <hyperlink ref="B24" location="Sheet1!A1" display="Assumptions" xr:uid="{2A0BE8E5-1EF7-4FBF-8242-3365DCBD971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23"/>
  <dimension ref="A1:I77"/>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TV In (non-club) - x-223</v>
      </c>
      <c r="B3" s="42"/>
      <c r="C3" s="42"/>
      <c r="D3" s="42"/>
      <c r="E3" s="42"/>
      <c r="F3" s="42"/>
      <c r="G3" s="42"/>
      <c r="H3" s="42"/>
      <c r="I3" s="42"/>
    </row>
    <row r="4" spans="1:9" x14ac:dyDescent="0.25">
      <c r="A4" s="44"/>
    </row>
    <row r="6" spans="1:9" x14ac:dyDescent="0.25">
      <c r="A6" s="76" t="s">
        <v>290</v>
      </c>
      <c r="B6" s="129" t="s">
        <v>291</v>
      </c>
    </row>
    <row r="7" spans="1:9" ht="26.7" customHeight="1" x14ac:dyDescent="0.25">
      <c r="A7" s="77" t="s">
        <v>804</v>
      </c>
      <c r="B7" s="129" t="s">
        <v>324</v>
      </c>
    </row>
    <row r="8" spans="1:9" x14ac:dyDescent="0.25">
      <c r="A8" s="77" t="s">
        <v>805</v>
      </c>
      <c r="B8" s="129" t="s">
        <v>85</v>
      </c>
    </row>
    <row r="9" spans="1:9" x14ac:dyDescent="0.25">
      <c r="A9" s="77" t="s">
        <v>296</v>
      </c>
      <c r="B9" s="129" t="s">
        <v>371</v>
      </c>
    </row>
    <row r="10" spans="1:9" ht="28.5" customHeight="1" x14ac:dyDescent="0.25">
      <c r="A10" s="77" t="s">
        <v>6</v>
      </c>
      <c r="B10" s="129" t="s">
        <v>385</v>
      </c>
    </row>
    <row r="11" spans="1:9" x14ac:dyDescent="0.25">
      <c r="A11" s="77" t="s">
        <v>299</v>
      </c>
      <c r="B11" s="129" t="s">
        <v>364</v>
      </c>
    </row>
    <row r="12" spans="1:9" ht="13.2" customHeight="1" x14ac:dyDescent="0.25">
      <c r="A12" s="77" t="s">
        <v>301</v>
      </c>
      <c r="B12" s="129" t="s">
        <v>386</v>
      </c>
    </row>
    <row r="13" spans="1:9" x14ac:dyDescent="0.25">
      <c r="A13" s="77" t="s">
        <v>806</v>
      </c>
      <c r="B13" s="129">
        <v>0</v>
      </c>
    </row>
    <row r="14" spans="1:9" x14ac:dyDescent="0.25">
      <c r="A14" s="77" t="s">
        <v>305</v>
      </c>
      <c r="B14" s="129">
        <v>223</v>
      </c>
    </row>
    <row r="15" spans="1:9" x14ac:dyDescent="0.25">
      <c r="A15" s="77" t="s">
        <v>307</v>
      </c>
      <c r="B15" s="129" t="s">
        <v>387</v>
      </c>
    </row>
    <row r="16" spans="1:9" x14ac:dyDescent="0.25">
      <c r="A16" s="77" t="s">
        <v>825</v>
      </c>
      <c r="B16" s="129" t="s">
        <v>388</v>
      </c>
    </row>
    <row r="17" spans="1:2" ht="74.099999999999994" customHeight="1" x14ac:dyDescent="0.25">
      <c r="A17" s="77" t="s">
        <v>803</v>
      </c>
      <c r="B17" s="129"/>
    </row>
    <row r="18" spans="1:2" x14ac:dyDescent="0.25">
      <c r="A18" s="77" t="s">
        <v>313</v>
      </c>
      <c r="B18" s="187">
        <v>45106</v>
      </c>
    </row>
    <row r="19" spans="1:2" x14ac:dyDescent="0.25">
      <c r="A19" s="77" t="s">
        <v>315</v>
      </c>
      <c r="B19" s="187"/>
    </row>
    <row r="20" spans="1:2" x14ac:dyDescent="0.25">
      <c r="A20" s="77" t="s">
        <v>317</v>
      </c>
      <c r="B20" s="129" t="s">
        <v>331</v>
      </c>
    </row>
    <row r="21" spans="1:2" x14ac:dyDescent="0.25">
      <c r="A21" s="77" t="s">
        <v>323</v>
      </c>
      <c r="B21" s="129" t="s">
        <v>332</v>
      </c>
    </row>
    <row r="23" spans="1:2" x14ac:dyDescent="0.25">
      <c r="B23" s="102" t="str">
        <f>HYPERLINK("#'Factor List'!A1","Back to Factor List")</f>
        <v>Back to Factor List</v>
      </c>
    </row>
    <row r="24" spans="1:2" x14ac:dyDescent="0.25">
      <c r="B24" s="102" t="s">
        <v>13</v>
      </c>
    </row>
    <row r="25" spans="1:2" x14ac:dyDescent="0.25">
      <c r="B25" s="102"/>
    </row>
    <row r="26" spans="1:2" x14ac:dyDescent="0.25">
      <c r="A26" s="73" t="s">
        <v>386</v>
      </c>
      <c r="B26" s="73" t="s">
        <v>824</v>
      </c>
    </row>
    <row r="27" spans="1:2" x14ac:dyDescent="0.25">
      <c r="A27" s="74">
        <v>0</v>
      </c>
      <c r="B27" s="75">
        <v>1</v>
      </c>
    </row>
    <row r="28" spans="1:2" x14ac:dyDescent="0.25">
      <c r="A28" s="74">
        <v>1</v>
      </c>
      <c r="B28" s="75">
        <v>1.02</v>
      </c>
    </row>
    <row r="29" spans="1:2" x14ac:dyDescent="0.25">
      <c r="A29" s="74">
        <v>2</v>
      </c>
      <c r="B29" s="75">
        <v>1.04</v>
      </c>
    </row>
    <row r="30" spans="1:2" x14ac:dyDescent="0.25">
      <c r="A30" s="74">
        <v>3</v>
      </c>
      <c r="B30" s="75">
        <v>1.0609999999999999</v>
      </c>
    </row>
    <row r="31" spans="1:2" x14ac:dyDescent="0.25">
      <c r="A31" s="74">
        <v>4</v>
      </c>
      <c r="B31" s="75">
        <v>1.0820000000000001</v>
      </c>
    </row>
    <row r="32" spans="1:2" x14ac:dyDescent="0.25">
      <c r="A32" s="74">
        <v>5</v>
      </c>
      <c r="B32" s="75">
        <v>1.1040000000000001</v>
      </c>
    </row>
    <row r="33" spans="1:2" x14ac:dyDescent="0.25">
      <c r="A33" s="74">
        <v>6</v>
      </c>
      <c r="B33" s="75">
        <v>1.1259999999999999</v>
      </c>
    </row>
    <row r="34" spans="1:2" x14ac:dyDescent="0.25">
      <c r="A34" s="74">
        <v>7</v>
      </c>
      <c r="B34" s="75">
        <v>1.149</v>
      </c>
    </row>
    <row r="35" spans="1:2" x14ac:dyDescent="0.25">
      <c r="A35" s="74">
        <v>8</v>
      </c>
      <c r="B35" s="75">
        <v>1.1719999999999999</v>
      </c>
    </row>
    <row r="36" spans="1:2" x14ac:dyDescent="0.25">
      <c r="A36" s="74">
        <v>9</v>
      </c>
      <c r="B36" s="75">
        <v>1.1950000000000001</v>
      </c>
    </row>
    <row r="37" spans="1:2" x14ac:dyDescent="0.25">
      <c r="A37" s="74">
        <v>10</v>
      </c>
      <c r="B37" s="75">
        <v>1.2190000000000001</v>
      </c>
    </row>
    <row r="38" spans="1:2" x14ac:dyDescent="0.25">
      <c r="A38" s="74">
        <v>11</v>
      </c>
      <c r="B38" s="75">
        <v>1.2430000000000001</v>
      </c>
    </row>
    <row r="39" spans="1:2" x14ac:dyDescent="0.25">
      <c r="A39" s="74">
        <v>12</v>
      </c>
      <c r="B39" s="75">
        <v>1.268</v>
      </c>
    </row>
    <row r="40" spans="1:2" x14ac:dyDescent="0.25">
      <c r="A40" s="74">
        <v>13</v>
      </c>
      <c r="B40" s="75">
        <v>1.294</v>
      </c>
    </row>
    <row r="41" spans="1:2" x14ac:dyDescent="0.25">
      <c r="A41" s="74">
        <v>14</v>
      </c>
      <c r="B41" s="75">
        <v>1.319</v>
      </c>
    </row>
    <row r="42" spans="1:2" x14ac:dyDescent="0.25">
      <c r="A42" s="74">
        <v>15</v>
      </c>
      <c r="B42" s="75">
        <v>1.3460000000000001</v>
      </c>
    </row>
    <row r="43" spans="1:2" x14ac:dyDescent="0.25">
      <c r="A43" s="74">
        <v>16</v>
      </c>
      <c r="B43" s="75">
        <v>1.373</v>
      </c>
    </row>
    <row r="44" spans="1:2" x14ac:dyDescent="0.25">
      <c r="A44" s="74">
        <v>17</v>
      </c>
      <c r="B44" s="75">
        <v>1.4</v>
      </c>
    </row>
    <row r="45" spans="1:2" x14ac:dyDescent="0.25">
      <c r="A45" s="74">
        <v>18</v>
      </c>
      <c r="B45" s="75">
        <v>1.4279999999999999</v>
      </c>
    </row>
    <row r="46" spans="1:2" x14ac:dyDescent="0.25">
      <c r="A46" s="74">
        <v>19</v>
      </c>
      <c r="B46" s="75">
        <v>1.4570000000000001</v>
      </c>
    </row>
    <row r="47" spans="1:2" x14ac:dyDescent="0.25">
      <c r="A47" s="74">
        <v>20</v>
      </c>
      <c r="B47" s="75">
        <v>1.486</v>
      </c>
    </row>
    <row r="48" spans="1:2" x14ac:dyDescent="0.25">
      <c r="A48" s="74">
        <v>21</v>
      </c>
      <c r="B48" s="75">
        <v>1.516</v>
      </c>
    </row>
    <row r="49" spans="1:2" x14ac:dyDescent="0.25">
      <c r="A49" s="74">
        <v>22</v>
      </c>
      <c r="B49" s="75">
        <v>1.546</v>
      </c>
    </row>
    <row r="50" spans="1:2" x14ac:dyDescent="0.25">
      <c r="A50" s="74">
        <v>23</v>
      </c>
      <c r="B50" s="75">
        <v>1.577</v>
      </c>
    </row>
    <row r="51" spans="1:2" x14ac:dyDescent="0.25">
      <c r="A51" s="74">
        <v>24</v>
      </c>
      <c r="B51" s="75">
        <v>1.6080000000000001</v>
      </c>
    </row>
    <row r="52" spans="1:2" x14ac:dyDescent="0.25">
      <c r="A52" s="74">
        <v>25</v>
      </c>
      <c r="B52" s="75">
        <v>1.641</v>
      </c>
    </row>
    <row r="53" spans="1:2" x14ac:dyDescent="0.25">
      <c r="A53" s="74">
        <v>26</v>
      </c>
      <c r="B53" s="75">
        <v>1.673</v>
      </c>
    </row>
    <row r="54" spans="1:2" x14ac:dyDescent="0.25">
      <c r="A54" s="74">
        <v>27</v>
      </c>
      <c r="B54" s="75">
        <v>1.7070000000000001</v>
      </c>
    </row>
    <row r="55" spans="1:2" x14ac:dyDescent="0.25">
      <c r="A55" s="74">
        <v>28</v>
      </c>
      <c r="B55" s="75">
        <v>1.7410000000000001</v>
      </c>
    </row>
    <row r="56" spans="1:2" x14ac:dyDescent="0.25">
      <c r="A56" s="74">
        <v>29</v>
      </c>
      <c r="B56" s="75">
        <v>1.776</v>
      </c>
    </row>
    <row r="57" spans="1:2" x14ac:dyDescent="0.25">
      <c r="A57" s="74">
        <v>30</v>
      </c>
      <c r="B57" s="75">
        <v>1.8109999999999999</v>
      </c>
    </row>
    <row r="58" spans="1:2" x14ac:dyDescent="0.25">
      <c r="A58" s="74">
        <v>31</v>
      </c>
      <c r="B58" s="75">
        <v>1.8480000000000001</v>
      </c>
    </row>
    <row r="59" spans="1:2" x14ac:dyDescent="0.25">
      <c r="A59" s="74">
        <v>32</v>
      </c>
      <c r="B59" s="75">
        <v>1.885</v>
      </c>
    </row>
    <row r="60" spans="1:2" x14ac:dyDescent="0.25">
      <c r="A60" s="74">
        <v>33</v>
      </c>
      <c r="B60" s="75">
        <v>1.9219999999999999</v>
      </c>
    </row>
    <row r="61" spans="1:2" x14ac:dyDescent="0.25">
      <c r="A61" s="74">
        <v>34</v>
      </c>
      <c r="B61" s="75">
        <v>1.9610000000000001</v>
      </c>
    </row>
    <row r="62" spans="1:2" x14ac:dyDescent="0.25">
      <c r="A62" s="74">
        <v>35</v>
      </c>
      <c r="B62" s="75">
        <v>2</v>
      </c>
    </row>
    <row r="63" spans="1:2" x14ac:dyDescent="0.25">
      <c r="A63" s="74">
        <v>36</v>
      </c>
      <c r="B63" s="75">
        <v>2.04</v>
      </c>
    </row>
    <row r="64" spans="1:2" x14ac:dyDescent="0.25">
      <c r="A64" s="74">
        <v>37</v>
      </c>
      <c r="B64" s="75">
        <v>2.081</v>
      </c>
    </row>
    <row r="65" spans="1:2" x14ac:dyDescent="0.25">
      <c r="A65" s="74">
        <v>38</v>
      </c>
      <c r="B65" s="75">
        <v>2.1219999999999999</v>
      </c>
    </row>
    <row r="66" spans="1:2" x14ac:dyDescent="0.25">
      <c r="A66" s="74">
        <v>39</v>
      </c>
      <c r="B66" s="75">
        <v>2.165</v>
      </c>
    </row>
    <row r="67" spans="1:2" x14ac:dyDescent="0.25">
      <c r="A67" s="74">
        <v>40</v>
      </c>
      <c r="B67" s="75">
        <v>2.2080000000000002</v>
      </c>
    </row>
    <row r="68" spans="1:2" x14ac:dyDescent="0.25">
      <c r="A68" s="74">
        <v>41</v>
      </c>
      <c r="B68" s="75">
        <v>2.2519999999999998</v>
      </c>
    </row>
    <row r="69" spans="1:2" x14ac:dyDescent="0.25">
      <c r="A69" s="74">
        <v>42</v>
      </c>
      <c r="B69" s="75">
        <v>2.2970000000000002</v>
      </c>
    </row>
    <row r="70" spans="1:2" x14ac:dyDescent="0.25">
      <c r="A70" s="74">
        <v>43</v>
      </c>
      <c r="B70" s="75">
        <v>2.343</v>
      </c>
    </row>
    <row r="71" spans="1:2" x14ac:dyDescent="0.25">
      <c r="A71" s="74">
        <v>44</v>
      </c>
      <c r="B71" s="75">
        <v>2.39</v>
      </c>
    </row>
    <row r="72" spans="1:2" x14ac:dyDescent="0.25">
      <c r="A72" s="74">
        <v>45</v>
      </c>
      <c r="B72" s="75">
        <v>2.4380000000000002</v>
      </c>
    </row>
    <row r="73" spans="1:2" x14ac:dyDescent="0.25">
      <c r="A73" s="74">
        <v>46</v>
      </c>
      <c r="B73" s="75">
        <v>2.4870000000000001</v>
      </c>
    </row>
    <row r="74" spans="1:2" x14ac:dyDescent="0.25">
      <c r="A74" s="74">
        <v>47</v>
      </c>
      <c r="B74" s="75">
        <v>2.536</v>
      </c>
    </row>
    <row r="75" spans="1:2" x14ac:dyDescent="0.25">
      <c r="A75" s="74">
        <v>48</v>
      </c>
      <c r="B75" s="75">
        <v>2.5870000000000002</v>
      </c>
    </row>
    <row r="76" spans="1:2" x14ac:dyDescent="0.25">
      <c r="A76" s="74">
        <v>49</v>
      </c>
      <c r="B76" s="75">
        <v>2.6389999999999998</v>
      </c>
    </row>
    <row r="77" spans="1:2" x14ac:dyDescent="0.25">
      <c r="A77" s="74">
        <v>50</v>
      </c>
      <c r="B77" s="75">
        <v>2.6920000000000002</v>
      </c>
    </row>
  </sheetData>
  <sheetProtection algorithmName="SHA-512" hashValue="YlIn9bT9+4UrxdAxrnSVq3JXjrop1ArcsYaB3HL0Ia7N/9z/DYe9i5f1YH38oTO1NtnwFg3T/U7KoWDMFsZbcA==" saltValue="/zOe7qaHg2N91A25Lynxbw==" spinCount="100000" sheet="1" objects="1" scenarios="1"/>
  <conditionalFormatting sqref="A6:A21">
    <cfRule type="expression" dxfId="1257" priority="1" stopIfTrue="1">
      <formula>MOD(ROW(),2)=0</formula>
    </cfRule>
    <cfRule type="expression" dxfId="1256" priority="2" stopIfTrue="1">
      <formula>MOD(ROW(),2)&lt;&gt;0</formula>
    </cfRule>
  </conditionalFormatting>
  <conditionalFormatting sqref="A26:A77">
    <cfRule type="expression" dxfId="1255" priority="5" stopIfTrue="1">
      <formula>MOD(ROW(),2)=0</formula>
    </cfRule>
    <cfRule type="expression" dxfId="1254" priority="6" stopIfTrue="1">
      <formula>MOD(ROW(),2)&lt;&gt;0</formula>
    </cfRule>
  </conditionalFormatting>
  <conditionalFormatting sqref="B6">
    <cfRule type="expression" dxfId="1253" priority="41" stopIfTrue="1">
      <formula>MOD(ROW(),2)=0</formula>
    </cfRule>
    <cfRule type="expression" dxfId="1252" priority="42" stopIfTrue="1">
      <formula>MOD(ROW(),2)&lt;&gt;0</formula>
    </cfRule>
  </conditionalFormatting>
  <conditionalFormatting sqref="B6:B21">
    <cfRule type="expression" dxfId="1251" priority="37" stopIfTrue="1">
      <formula>MOD(ROW(),2)=0</formula>
    </cfRule>
    <cfRule type="expression" dxfId="1250" priority="38" stopIfTrue="1">
      <formula>MOD(ROW(),2)&lt;&gt;0</formula>
    </cfRule>
  </conditionalFormatting>
  <conditionalFormatting sqref="B18:B21">
    <cfRule type="expression" dxfId="1249" priority="3" stopIfTrue="1">
      <formula>MOD(ROW(),2)=0</formula>
    </cfRule>
    <cfRule type="expression" dxfId="1248" priority="4" stopIfTrue="1">
      <formula>MOD(ROW(),2)&lt;&gt;0</formula>
    </cfRule>
  </conditionalFormatting>
  <conditionalFormatting sqref="B26:B77">
    <cfRule type="expression" dxfId="1247" priority="7" stopIfTrue="1">
      <formula>MOD(ROW(),2)=0</formula>
    </cfRule>
    <cfRule type="expression" dxfId="1246" priority="8" stopIfTrue="1">
      <formula>MOD(ROW(),2)&lt;&gt;0</formula>
    </cfRule>
  </conditionalFormatting>
  <hyperlinks>
    <hyperlink ref="B24" location="Sheet1!A1" display="Assumptions" xr:uid="{CB573C2E-5206-4006-903F-AC2A13E8476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I70"/>
  <sheetViews>
    <sheetView showGridLines="0" zoomScale="85" zoomScaleNormal="85" workbookViewId="0">
      <selection activeCell="A4" sqref="A4"/>
    </sheetView>
  </sheetViews>
  <sheetFormatPr defaultColWidth="10" defaultRowHeight="13.2" x14ac:dyDescent="0.25"/>
  <cols>
    <col min="1" max="1" width="31.5546875" style="27" customWidth="1"/>
    <col min="2" max="9" width="22.5546875" style="27" customWidth="1"/>
    <col min="10"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Pensioner CE - x-301</v>
      </c>
      <c r="B3" s="42"/>
      <c r="C3" s="42"/>
      <c r="D3" s="42"/>
      <c r="E3" s="42"/>
      <c r="F3" s="42"/>
      <c r="G3" s="42"/>
      <c r="H3" s="42"/>
      <c r="I3" s="42"/>
    </row>
    <row r="4" spans="1:9" x14ac:dyDescent="0.25">
      <c r="A4" s="44"/>
    </row>
    <row r="6" spans="1:9" x14ac:dyDescent="0.25">
      <c r="A6" s="76" t="s">
        <v>290</v>
      </c>
      <c r="B6" s="129" t="s">
        <v>291</v>
      </c>
      <c r="C6" s="129"/>
      <c r="D6" s="129"/>
      <c r="E6" s="129"/>
      <c r="F6" s="129"/>
      <c r="G6" s="129"/>
      <c r="H6" s="129"/>
      <c r="I6" s="129"/>
    </row>
    <row r="7" spans="1:9" x14ac:dyDescent="0.25">
      <c r="A7" s="77" t="s">
        <v>804</v>
      </c>
      <c r="B7" s="129" t="s">
        <v>324</v>
      </c>
      <c r="C7" s="129"/>
      <c r="D7" s="129"/>
      <c r="E7" s="129"/>
      <c r="F7" s="129"/>
      <c r="G7" s="129"/>
      <c r="H7" s="129"/>
      <c r="I7" s="129"/>
    </row>
    <row r="8" spans="1:9" x14ac:dyDescent="0.25">
      <c r="A8" s="77" t="s">
        <v>805</v>
      </c>
      <c r="B8" s="129" t="s">
        <v>85</v>
      </c>
      <c r="C8" s="129"/>
      <c r="D8" s="129"/>
      <c r="E8" s="129"/>
      <c r="F8" s="129"/>
      <c r="G8" s="129"/>
      <c r="H8" s="129"/>
      <c r="I8" s="129"/>
    </row>
    <row r="9" spans="1:9" x14ac:dyDescent="0.25">
      <c r="A9" s="77" t="s">
        <v>296</v>
      </c>
      <c r="B9" s="129" t="s">
        <v>389</v>
      </c>
      <c r="C9" s="129"/>
      <c r="D9" s="129"/>
      <c r="E9" s="129"/>
      <c r="F9" s="129"/>
      <c r="G9" s="129"/>
      <c r="H9" s="129"/>
      <c r="I9" s="129"/>
    </row>
    <row r="10" spans="1:9" x14ac:dyDescent="0.25">
      <c r="A10" s="77" t="s">
        <v>6</v>
      </c>
      <c r="B10" s="129" t="s">
        <v>390</v>
      </c>
      <c r="C10" s="129"/>
      <c r="D10" s="129"/>
      <c r="E10" s="129"/>
      <c r="F10" s="129"/>
      <c r="G10" s="129"/>
      <c r="H10" s="129"/>
      <c r="I10" s="129"/>
    </row>
    <row r="11" spans="1:9" x14ac:dyDescent="0.25">
      <c r="A11" s="77" t="s">
        <v>299</v>
      </c>
      <c r="B11" s="129" t="s">
        <v>327</v>
      </c>
      <c r="C11" s="129"/>
      <c r="D11" s="129"/>
      <c r="E11" s="129"/>
      <c r="F11" s="129"/>
      <c r="G11" s="129"/>
      <c r="H11" s="129"/>
      <c r="I11" s="129"/>
    </row>
    <row r="12" spans="1:9" x14ac:dyDescent="0.25">
      <c r="A12" s="77" t="s">
        <v>301</v>
      </c>
      <c r="B12" s="129" t="s">
        <v>328</v>
      </c>
      <c r="C12" s="129"/>
      <c r="D12" s="129"/>
      <c r="E12" s="129"/>
      <c r="F12" s="129"/>
      <c r="G12" s="129"/>
      <c r="H12" s="129"/>
      <c r="I12" s="129"/>
    </row>
    <row r="13" spans="1:9" x14ac:dyDescent="0.25">
      <c r="A13" s="77" t="s">
        <v>806</v>
      </c>
      <c r="B13" s="129">
        <v>0</v>
      </c>
      <c r="C13" s="129"/>
      <c r="D13" s="129"/>
      <c r="E13" s="129"/>
      <c r="F13" s="129"/>
      <c r="G13" s="129"/>
      <c r="H13" s="129"/>
      <c r="I13" s="129"/>
    </row>
    <row r="14" spans="1:9" x14ac:dyDescent="0.25">
      <c r="A14" s="77" t="s">
        <v>305</v>
      </c>
      <c r="B14" s="129">
        <v>301</v>
      </c>
      <c r="C14" s="129"/>
      <c r="D14" s="129"/>
      <c r="E14" s="129"/>
      <c r="F14" s="129"/>
      <c r="G14" s="129"/>
      <c r="H14" s="129"/>
      <c r="I14" s="129"/>
    </row>
    <row r="15" spans="1:9" x14ac:dyDescent="0.25">
      <c r="A15" s="77" t="s">
        <v>307</v>
      </c>
      <c r="B15" s="129" t="s">
        <v>391</v>
      </c>
      <c r="C15" s="129"/>
      <c r="D15" s="129"/>
      <c r="E15" s="129"/>
      <c r="F15" s="129"/>
      <c r="G15" s="129"/>
      <c r="H15" s="129"/>
      <c r="I15" s="129"/>
    </row>
    <row r="16" spans="1:9" x14ac:dyDescent="0.25">
      <c r="A16" s="77" t="s">
        <v>309</v>
      </c>
      <c r="B16" s="129" t="s">
        <v>392</v>
      </c>
      <c r="C16" s="129"/>
      <c r="D16" s="129"/>
      <c r="E16" s="129"/>
      <c r="F16" s="129"/>
      <c r="G16" s="129"/>
      <c r="H16" s="129"/>
      <c r="I16" s="129"/>
    </row>
    <row r="17" spans="1:9" x14ac:dyDescent="0.25">
      <c r="A17" s="77" t="s">
        <v>803</v>
      </c>
      <c r="B17" s="129"/>
      <c r="C17" s="129"/>
      <c r="D17" s="129"/>
      <c r="E17" s="129"/>
      <c r="F17" s="129"/>
      <c r="G17" s="129"/>
      <c r="H17" s="129"/>
      <c r="I17" s="129"/>
    </row>
    <row r="18" spans="1:9" x14ac:dyDescent="0.25">
      <c r="A18" s="77" t="s">
        <v>313</v>
      </c>
      <c r="B18" s="187">
        <v>45071</v>
      </c>
      <c r="C18" s="129"/>
      <c r="D18" s="129"/>
      <c r="E18" s="129"/>
      <c r="F18" s="129"/>
      <c r="G18" s="129"/>
      <c r="H18" s="129"/>
      <c r="I18" s="129"/>
    </row>
    <row r="19" spans="1:9" x14ac:dyDescent="0.25">
      <c r="A19" s="77" t="s">
        <v>315</v>
      </c>
      <c r="B19" s="187"/>
      <c r="C19" s="129"/>
      <c r="D19" s="129"/>
      <c r="E19" s="129"/>
      <c r="F19" s="129"/>
      <c r="G19" s="129"/>
      <c r="H19" s="129"/>
      <c r="I19" s="129"/>
    </row>
    <row r="20" spans="1:9" x14ac:dyDescent="0.25">
      <c r="A20" s="77" t="s">
        <v>317</v>
      </c>
      <c r="B20" s="129" t="s">
        <v>331</v>
      </c>
      <c r="C20" s="129"/>
      <c r="D20" s="129"/>
      <c r="E20" s="129"/>
      <c r="F20" s="129"/>
      <c r="G20" s="129"/>
      <c r="H20" s="129"/>
      <c r="I20" s="129"/>
    </row>
    <row r="21" spans="1:9" x14ac:dyDescent="0.25">
      <c r="A21" s="77" t="s">
        <v>323</v>
      </c>
      <c r="B21" s="129" t="s">
        <v>332</v>
      </c>
      <c r="C21" s="129"/>
      <c r="D21" s="129"/>
      <c r="E21" s="129"/>
      <c r="F21" s="129"/>
      <c r="G21" s="129"/>
      <c r="H21" s="129"/>
      <c r="I21" s="129"/>
    </row>
    <row r="23" spans="1:9" x14ac:dyDescent="0.25">
      <c r="B23" s="102" t="str">
        <f>HYPERLINK("#'Factor List'!A1","Back to Factor List")</f>
        <v>Back to Factor List</v>
      </c>
    </row>
    <row r="24" spans="1:9" x14ac:dyDescent="0.25">
      <c r="B24" s="102" t="s">
        <v>13</v>
      </c>
    </row>
    <row r="25" spans="1:9" x14ac:dyDescent="0.25">
      <c r="B25" s="102"/>
    </row>
    <row r="26" spans="1:9" ht="39.6" x14ac:dyDescent="0.25">
      <c r="A26" s="103" t="s">
        <v>373</v>
      </c>
      <c r="B26" s="103" t="s">
        <v>830</v>
      </c>
      <c r="C26" s="103" t="s">
        <v>831</v>
      </c>
      <c r="D26" s="103" t="s">
        <v>832</v>
      </c>
      <c r="E26" s="103" t="s">
        <v>833</v>
      </c>
      <c r="F26" s="103" t="s">
        <v>834</v>
      </c>
      <c r="G26" s="103" t="s">
        <v>835</v>
      </c>
      <c r="H26" s="103" t="s">
        <v>836</v>
      </c>
      <c r="I26" s="103" t="s">
        <v>837</v>
      </c>
    </row>
    <row r="27" spans="1:9" x14ac:dyDescent="0.25">
      <c r="A27" s="104">
        <v>55</v>
      </c>
      <c r="B27" s="105">
        <v>24.22</v>
      </c>
      <c r="C27" s="105">
        <v>2.4900000000000002</v>
      </c>
      <c r="D27" s="105"/>
      <c r="E27" s="105"/>
      <c r="F27" s="105">
        <v>24.22</v>
      </c>
      <c r="G27" s="105">
        <v>2.4900000000000002</v>
      </c>
      <c r="H27" s="105"/>
      <c r="I27" s="105"/>
    </row>
    <row r="28" spans="1:9" x14ac:dyDescent="0.25">
      <c r="A28" s="104">
        <v>56</v>
      </c>
      <c r="B28" s="105">
        <v>23.63</v>
      </c>
      <c r="C28" s="105">
        <v>2.5099999999999998</v>
      </c>
      <c r="D28" s="105"/>
      <c r="E28" s="105"/>
      <c r="F28" s="105">
        <v>23.63</v>
      </c>
      <c r="G28" s="105">
        <v>2.5099999999999998</v>
      </c>
      <c r="H28" s="105"/>
      <c r="I28" s="105"/>
    </row>
    <row r="29" spans="1:9" x14ac:dyDescent="0.25">
      <c r="A29" s="104">
        <v>57</v>
      </c>
      <c r="B29" s="105">
        <v>23.04</v>
      </c>
      <c r="C29" s="105">
        <v>2.5299999999999998</v>
      </c>
      <c r="D29" s="105"/>
      <c r="E29" s="105"/>
      <c r="F29" s="105">
        <v>23.04</v>
      </c>
      <c r="G29" s="105">
        <v>2.5299999999999998</v>
      </c>
      <c r="H29" s="105"/>
      <c r="I29" s="105"/>
    </row>
    <row r="30" spans="1:9" x14ac:dyDescent="0.25">
      <c r="A30" s="104">
        <v>58</v>
      </c>
      <c r="B30" s="105">
        <v>22.44</v>
      </c>
      <c r="C30" s="105">
        <v>2.5499999999999998</v>
      </c>
      <c r="D30" s="105"/>
      <c r="E30" s="105"/>
      <c r="F30" s="105">
        <v>22.44</v>
      </c>
      <c r="G30" s="105">
        <v>2.5499999999999998</v>
      </c>
      <c r="H30" s="105"/>
      <c r="I30" s="105"/>
    </row>
    <row r="31" spans="1:9" x14ac:dyDescent="0.25">
      <c r="A31" s="104">
        <v>59</v>
      </c>
      <c r="B31" s="105">
        <v>21.83</v>
      </c>
      <c r="C31" s="105">
        <v>2.56</v>
      </c>
      <c r="D31" s="105"/>
      <c r="E31" s="105"/>
      <c r="F31" s="105">
        <v>21.83</v>
      </c>
      <c r="G31" s="105">
        <v>2.56</v>
      </c>
      <c r="H31" s="105"/>
      <c r="I31" s="105"/>
    </row>
    <row r="32" spans="1:9" x14ac:dyDescent="0.25">
      <c r="A32" s="104">
        <v>60</v>
      </c>
      <c r="B32" s="105">
        <v>21.22</v>
      </c>
      <c r="C32" s="105">
        <v>2.58</v>
      </c>
      <c r="D32" s="105"/>
      <c r="E32" s="105"/>
      <c r="F32" s="105">
        <v>21.22</v>
      </c>
      <c r="G32" s="105">
        <v>2.58</v>
      </c>
      <c r="H32" s="105"/>
      <c r="I32" s="105"/>
    </row>
    <row r="33" spans="1:9" x14ac:dyDescent="0.25">
      <c r="A33" s="104">
        <v>61</v>
      </c>
      <c r="B33" s="105">
        <v>20.61</v>
      </c>
      <c r="C33" s="105">
        <v>2.59</v>
      </c>
      <c r="D33" s="105"/>
      <c r="E33" s="105"/>
      <c r="F33" s="105">
        <v>20.61</v>
      </c>
      <c r="G33" s="105">
        <v>2.59</v>
      </c>
      <c r="H33" s="105"/>
      <c r="I33" s="105"/>
    </row>
    <row r="34" spans="1:9" x14ac:dyDescent="0.25">
      <c r="A34" s="104">
        <v>62</v>
      </c>
      <c r="B34" s="105">
        <v>19.989999999999998</v>
      </c>
      <c r="C34" s="105">
        <v>2.6</v>
      </c>
      <c r="D34" s="105"/>
      <c r="E34" s="105"/>
      <c r="F34" s="105">
        <v>19.989999999999998</v>
      </c>
      <c r="G34" s="105">
        <v>2.6</v>
      </c>
      <c r="H34" s="105"/>
      <c r="I34" s="105"/>
    </row>
    <row r="35" spans="1:9" x14ac:dyDescent="0.25">
      <c r="A35" s="104">
        <v>63</v>
      </c>
      <c r="B35" s="105">
        <v>19.37</v>
      </c>
      <c r="C35" s="105">
        <v>2.61</v>
      </c>
      <c r="D35" s="105"/>
      <c r="E35" s="105"/>
      <c r="F35" s="105">
        <v>19.37</v>
      </c>
      <c r="G35" s="105">
        <v>2.61</v>
      </c>
      <c r="H35" s="105"/>
      <c r="I35" s="105"/>
    </row>
    <row r="36" spans="1:9" x14ac:dyDescent="0.25">
      <c r="A36" s="104">
        <v>64</v>
      </c>
      <c r="B36" s="105">
        <v>18.75</v>
      </c>
      <c r="C36" s="105">
        <v>2.58</v>
      </c>
      <c r="D36" s="105"/>
      <c r="E36" s="105"/>
      <c r="F36" s="105">
        <v>18.75</v>
      </c>
      <c r="G36" s="105">
        <v>2.58</v>
      </c>
      <c r="H36" s="105"/>
      <c r="I36" s="105"/>
    </row>
    <row r="37" spans="1:9" x14ac:dyDescent="0.25">
      <c r="A37" s="104">
        <v>65</v>
      </c>
      <c r="B37" s="105">
        <v>18.12</v>
      </c>
      <c r="C37" s="105">
        <v>2.5499999999999998</v>
      </c>
      <c r="D37" s="105"/>
      <c r="E37" s="105"/>
      <c r="F37" s="105">
        <v>18.12</v>
      </c>
      <c r="G37" s="105">
        <v>2.5499999999999998</v>
      </c>
      <c r="H37" s="105"/>
      <c r="I37" s="105"/>
    </row>
    <row r="38" spans="1:9" x14ac:dyDescent="0.25">
      <c r="A38" s="104">
        <v>66</v>
      </c>
      <c r="B38" s="105">
        <v>17.5</v>
      </c>
      <c r="C38" s="105">
        <v>2.5499999999999998</v>
      </c>
      <c r="D38" s="105"/>
      <c r="E38" s="105"/>
      <c r="F38" s="105">
        <v>17.5</v>
      </c>
      <c r="G38" s="105">
        <v>2.5499999999999998</v>
      </c>
      <c r="H38" s="105"/>
      <c r="I38" s="105"/>
    </row>
    <row r="39" spans="1:9" x14ac:dyDescent="0.25">
      <c r="A39" s="104">
        <v>67</v>
      </c>
      <c r="B39" s="105">
        <v>16.87</v>
      </c>
      <c r="C39" s="105">
        <v>2.5499999999999998</v>
      </c>
      <c r="D39" s="105"/>
      <c r="E39" s="105"/>
      <c r="F39" s="105">
        <v>16.87</v>
      </c>
      <c r="G39" s="105">
        <v>2.5499999999999998</v>
      </c>
      <c r="H39" s="105"/>
      <c r="I39" s="105"/>
    </row>
    <row r="40" spans="1:9" x14ac:dyDescent="0.25">
      <c r="A40" s="104">
        <v>68</v>
      </c>
      <c r="B40" s="105">
        <v>16.22</v>
      </c>
      <c r="C40" s="105">
        <v>2.5499999999999998</v>
      </c>
      <c r="D40" s="105"/>
      <c r="E40" s="105"/>
      <c r="F40" s="105">
        <v>16.22</v>
      </c>
      <c r="G40" s="105">
        <v>2.5499999999999998</v>
      </c>
      <c r="H40" s="105"/>
      <c r="I40" s="105"/>
    </row>
    <row r="41" spans="1:9" x14ac:dyDescent="0.25">
      <c r="A41" s="104">
        <v>69</v>
      </c>
      <c r="B41" s="105">
        <v>15.54</v>
      </c>
      <c r="C41" s="105">
        <v>2.4700000000000002</v>
      </c>
      <c r="D41" s="105">
        <v>3.13</v>
      </c>
      <c r="E41" s="105">
        <v>1.04</v>
      </c>
      <c r="F41" s="105">
        <v>15.54</v>
      </c>
      <c r="G41" s="105">
        <v>2.4700000000000002</v>
      </c>
      <c r="H41" s="105">
        <v>2.8</v>
      </c>
      <c r="I41" s="105">
        <v>0.97</v>
      </c>
    </row>
    <row r="42" spans="1:9" x14ac:dyDescent="0.25">
      <c r="A42" s="104">
        <v>70</v>
      </c>
      <c r="B42" s="105">
        <v>14.88</v>
      </c>
      <c r="C42" s="105">
        <v>2.4</v>
      </c>
      <c r="D42" s="105">
        <v>2.91</v>
      </c>
      <c r="E42" s="105">
        <v>0.96</v>
      </c>
      <c r="F42" s="105">
        <v>14.88</v>
      </c>
      <c r="G42" s="105">
        <v>2.4</v>
      </c>
      <c r="H42" s="105">
        <v>2.6</v>
      </c>
      <c r="I42" s="105">
        <v>0.9</v>
      </c>
    </row>
    <row r="43" spans="1:9" x14ac:dyDescent="0.25">
      <c r="A43" s="104">
        <v>71</v>
      </c>
      <c r="B43" s="105">
        <v>14.22</v>
      </c>
      <c r="C43" s="105">
        <v>2.39</v>
      </c>
      <c r="D43" s="105">
        <v>2.71</v>
      </c>
      <c r="E43" s="105">
        <v>0.89</v>
      </c>
      <c r="F43" s="105">
        <v>14.22</v>
      </c>
      <c r="G43" s="105">
        <v>2.39</v>
      </c>
      <c r="H43" s="105">
        <v>2.4</v>
      </c>
      <c r="I43" s="105">
        <v>0.83</v>
      </c>
    </row>
    <row r="44" spans="1:9" x14ac:dyDescent="0.25">
      <c r="A44" s="104">
        <v>72</v>
      </c>
      <c r="B44" s="105">
        <v>13.57</v>
      </c>
      <c r="C44" s="105">
        <v>2.37</v>
      </c>
      <c r="D44" s="105">
        <v>2.5099999999999998</v>
      </c>
      <c r="E44" s="105">
        <v>0.82</v>
      </c>
      <c r="F44" s="105">
        <v>13.57</v>
      </c>
      <c r="G44" s="105">
        <v>2.37</v>
      </c>
      <c r="H44" s="105">
        <v>2.2200000000000002</v>
      </c>
      <c r="I44" s="105">
        <v>0.76</v>
      </c>
    </row>
    <row r="45" spans="1:9" x14ac:dyDescent="0.25">
      <c r="A45" s="104">
        <v>73</v>
      </c>
      <c r="B45" s="105">
        <v>12.94</v>
      </c>
      <c r="C45" s="105">
        <v>2.35</v>
      </c>
      <c r="D45" s="105">
        <v>2.3199999999999998</v>
      </c>
      <c r="E45" s="105">
        <v>0.76</v>
      </c>
      <c r="F45" s="105">
        <v>12.94</v>
      </c>
      <c r="G45" s="105">
        <v>2.35</v>
      </c>
      <c r="H45" s="105">
        <v>2.04</v>
      </c>
      <c r="I45" s="105">
        <v>0.7</v>
      </c>
    </row>
    <row r="46" spans="1:9" x14ac:dyDescent="0.25">
      <c r="A46" s="104">
        <v>74</v>
      </c>
      <c r="B46" s="105">
        <v>12.31</v>
      </c>
      <c r="C46" s="105">
        <v>2.2000000000000002</v>
      </c>
      <c r="D46" s="105">
        <v>2.13</v>
      </c>
      <c r="E46" s="105">
        <v>0.69</v>
      </c>
      <c r="F46" s="105">
        <v>12.31</v>
      </c>
      <c r="G46" s="105">
        <v>2.2000000000000002</v>
      </c>
      <c r="H46" s="105">
        <v>1.87</v>
      </c>
      <c r="I46" s="105">
        <v>0.64</v>
      </c>
    </row>
    <row r="47" spans="1:9" x14ac:dyDescent="0.25">
      <c r="A47" s="104">
        <v>75</v>
      </c>
      <c r="B47" s="105">
        <v>11.69</v>
      </c>
      <c r="C47" s="105">
        <v>2.0499999999999998</v>
      </c>
      <c r="D47" s="105">
        <v>1.94</v>
      </c>
      <c r="E47" s="105">
        <v>0.63</v>
      </c>
      <c r="F47" s="105">
        <v>11.69</v>
      </c>
      <c r="G47" s="105">
        <v>2.0499999999999998</v>
      </c>
      <c r="H47" s="105">
        <v>1.71</v>
      </c>
      <c r="I47" s="105">
        <v>0.57999999999999996</v>
      </c>
    </row>
    <row r="48" spans="1:9" x14ac:dyDescent="0.25">
      <c r="A48" s="104">
        <v>76</v>
      </c>
      <c r="B48" s="105">
        <v>11.09</v>
      </c>
      <c r="C48" s="105">
        <v>2.02</v>
      </c>
      <c r="D48" s="105">
        <v>1.78</v>
      </c>
      <c r="E48" s="105">
        <v>0.57999999999999996</v>
      </c>
      <c r="F48" s="105">
        <v>11.09</v>
      </c>
      <c r="G48" s="105">
        <v>2.02</v>
      </c>
      <c r="H48" s="105">
        <v>1.56</v>
      </c>
      <c r="I48" s="105">
        <v>0.53</v>
      </c>
    </row>
    <row r="49" spans="1:9" x14ac:dyDescent="0.25">
      <c r="A49" s="104">
        <v>77</v>
      </c>
      <c r="B49" s="105">
        <v>10.49</v>
      </c>
      <c r="C49" s="105">
        <v>1.99</v>
      </c>
      <c r="D49" s="105">
        <v>1.62</v>
      </c>
      <c r="E49" s="105">
        <v>0.52</v>
      </c>
      <c r="F49" s="105">
        <v>10.49</v>
      </c>
      <c r="G49" s="105">
        <v>1.99</v>
      </c>
      <c r="H49" s="105">
        <v>1.41</v>
      </c>
      <c r="I49" s="105">
        <v>0.48</v>
      </c>
    </row>
    <row r="50" spans="1:9" x14ac:dyDescent="0.25">
      <c r="A50" s="104">
        <v>78</v>
      </c>
      <c r="B50" s="105">
        <v>9.9</v>
      </c>
      <c r="C50" s="105">
        <v>1.95</v>
      </c>
      <c r="D50" s="105">
        <v>1.47</v>
      </c>
      <c r="E50" s="105">
        <v>0.47</v>
      </c>
      <c r="F50" s="105">
        <v>9.9</v>
      </c>
      <c r="G50" s="105">
        <v>1.95</v>
      </c>
      <c r="H50" s="105">
        <v>1.28</v>
      </c>
      <c r="I50" s="105">
        <v>0.43</v>
      </c>
    </row>
    <row r="51" spans="1:9" x14ac:dyDescent="0.25">
      <c r="A51" s="104">
        <v>79</v>
      </c>
      <c r="B51" s="105">
        <v>9.33</v>
      </c>
      <c r="C51" s="105">
        <v>1.76</v>
      </c>
      <c r="D51" s="105">
        <v>1.32</v>
      </c>
      <c r="E51" s="105">
        <v>0.42</v>
      </c>
      <c r="F51" s="105">
        <v>9.33</v>
      </c>
      <c r="G51" s="105">
        <v>1.76</v>
      </c>
      <c r="H51" s="105">
        <v>1.1499999999999999</v>
      </c>
      <c r="I51" s="105">
        <v>0.38</v>
      </c>
    </row>
    <row r="52" spans="1:9" x14ac:dyDescent="0.25">
      <c r="A52" s="104">
        <v>80</v>
      </c>
      <c r="B52" s="105">
        <v>8.77</v>
      </c>
      <c r="C52" s="105">
        <v>1.56</v>
      </c>
      <c r="D52" s="105">
        <v>1.17</v>
      </c>
      <c r="E52" s="105">
        <v>0.37</v>
      </c>
      <c r="F52" s="105">
        <v>8.77</v>
      </c>
      <c r="G52" s="105">
        <v>1.56</v>
      </c>
      <c r="H52" s="105">
        <v>1.04</v>
      </c>
      <c r="I52" s="105">
        <v>0.34</v>
      </c>
    </row>
    <row r="53" spans="1:9" x14ac:dyDescent="0.25">
      <c r="A53" s="104">
        <v>81</v>
      </c>
      <c r="B53" s="105">
        <v>8.23</v>
      </c>
      <c r="C53" s="105">
        <v>1.52</v>
      </c>
      <c r="D53" s="105">
        <v>1.05</v>
      </c>
      <c r="E53" s="105">
        <v>0.33</v>
      </c>
      <c r="F53" s="105">
        <v>8.23</v>
      </c>
      <c r="G53" s="105">
        <v>1.52</v>
      </c>
      <c r="H53" s="105">
        <v>0.93</v>
      </c>
      <c r="I53" s="105">
        <v>0.31</v>
      </c>
    </row>
    <row r="54" spans="1:9" x14ac:dyDescent="0.25">
      <c r="A54" s="104">
        <v>82</v>
      </c>
      <c r="B54" s="105">
        <v>7.71</v>
      </c>
      <c r="C54" s="105">
        <v>1.47</v>
      </c>
      <c r="D54" s="105">
        <v>0.94</v>
      </c>
      <c r="E54" s="105">
        <v>0.3</v>
      </c>
      <c r="F54" s="105">
        <v>7.71</v>
      </c>
      <c r="G54" s="105">
        <v>1.47</v>
      </c>
      <c r="H54" s="105">
        <v>0.83</v>
      </c>
      <c r="I54" s="105">
        <v>0.27</v>
      </c>
    </row>
    <row r="55" spans="1:9" x14ac:dyDescent="0.25">
      <c r="A55" s="104">
        <v>83</v>
      </c>
      <c r="B55" s="105">
        <v>7.2</v>
      </c>
      <c r="C55" s="105">
        <v>1.43</v>
      </c>
      <c r="D55" s="105">
        <v>0.84</v>
      </c>
      <c r="E55" s="105">
        <v>0.27</v>
      </c>
      <c r="F55" s="105">
        <v>7.2</v>
      </c>
      <c r="G55" s="105">
        <v>1.43</v>
      </c>
      <c r="H55" s="105">
        <v>0.74</v>
      </c>
      <c r="I55" s="105">
        <v>0.24</v>
      </c>
    </row>
    <row r="56" spans="1:9" x14ac:dyDescent="0.25">
      <c r="A56" s="104">
        <v>84</v>
      </c>
      <c r="B56" s="105">
        <v>6.72</v>
      </c>
      <c r="C56" s="105">
        <v>1.23</v>
      </c>
      <c r="D56" s="105">
        <v>0.73</v>
      </c>
      <c r="E56" s="105">
        <v>0.23</v>
      </c>
      <c r="F56" s="105">
        <v>6.72</v>
      </c>
      <c r="G56" s="105">
        <v>1.23</v>
      </c>
      <c r="H56" s="105">
        <v>0.66</v>
      </c>
      <c r="I56" s="105">
        <v>0.21</v>
      </c>
    </row>
    <row r="57" spans="1:9" x14ac:dyDescent="0.25">
      <c r="A57" s="104">
        <v>85</v>
      </c>
      <c r="B57" s="105">
        <v>6.26</v>
      </c>
      <c r="C57" s="105">
        <v>1.03</v>
      </c>
      <c r="D57" s="105">
        <v>0.63</v>
      </c>
      <c r="E57" s="105">
        <v>0.2</v>
      </c>
      <c r="F57" s="105">
        <v>6.26</v>
      </c>
      <c r="G57" s="105">
        <v>1.03</v>
      </c>
      <c r="H57" s="105">
        <v>0.57999999999999996</v>
      </c>
      <c r="I57" s="105">
        <v>0.19</v>
      </c>
    </row>
    <row r="58" spans="1:9" x14ac:dyDescent="0.25">
      <c r="A58" s="104">
        <v>86</v>
      </c>
      <c r="B58" s="105">
        <v>5.82</v>
      </c>
      <c r="C58" s="105">
        <v>0.99</v>
      </c>
      <c r="D58" s="105">
        <v>0.55000000000000004</v>
      </c>
      <c r="E58" s="105">
        <v>0.17</v>
      </c>
      <c r="F58" s="105">
        <v>5.82</v>
      </c>
      <c r="G58" s="105">
        <v>0.99</v>
      </c>
      <c r="H58" s="105">
        <v>0.51</v>
      </c>
      <c r="I58" s="105">
        <v>0.16</v>
      </c>
    </row>
    <row r="59" spans="1:9" x14ac:dyDescent="0.25">
      <c r="A59" s="104">
        <v>87</v>
      </c>
      <c r="B59" s="105">
        <v>5.4</v>
      </c>
      <c r="C59" s="105">
        <v>0.94</v>
      </c>
      <c r="D59" s="105">
        <v>0.49</v>
      </c>
      <c r="E59" s="105">
        <v>0.15</v>
      </c>
      <c r="F59" s="105">
        <v>5.4</v>
      </c>
      <c r="G59" s="105">
        <v>0.94</v>
      </c>
      <c r="H59" s="105">
        <v>0.45</v>
      </c>
      <c r="I59" s="105">
        <v>0.14000000000000001</v>
      </c>
    </row>
    <row r="60" spans="1:9" x14ac:dyDescent="0.25">
      <c r="A60" s="104">
        <v>88</v>
      </c>
      <c r="B60" s="105">
        <v>5</v>
      </c>
      <c r="C60" s="105">
        <v>0.9</v>
      </c>
      <c r="D60" s="105">
        <v>0.43</v>
      </c>
      <c r="E60" s="105">
        <v>0.13</v>
      </c>
      <c r="F60" s="105">
        <v>5</v>
      </c>
      <c r="G60" s="105">
        <v>0.9</v>
      </c>
      <c r="H60" s="105">
        <v>0.39</v>
      </c>
      <c r="I60" s="105">
        <v>0.13</v>
      </c>
    </row>
    <row r="61" spans="1:9" x14ac:dyDescent="0.25">
      <c r="A61" s="104">
        <v>89</v>
      </c>
      <c r="B61" s="105">
        <v>4.63</v>
      </c>
      <c r="C61" s="105">
        <v>0.72</v>
      </c>
      <c r="D61" s="105">
        <v>0.36</v>
      </c>
      <c r="E61" s="105">
        <v>0.11</v>
      </c>
      <c r="F61" s="105">
        <v>4.63</v>
      </c>
      <c r="G61" s="105">
        <v>0.72</v>
      </c>
      <c r="H61" s="105">
        <v>0.34</v>
      </c>
      <c r="I61" s="105">
        <v>0.11</v>
      </c>
    </row>
    <row r="62" spans="1:9" x14ac:dyDescent="0.25">
      <c r="A62" s="104">
        <v>90</v>
      </c>
      <c r="B62" s="105">
        <v>4.2699999999999996</v>
      </c>
      <c r="C62" s="105">
        <v>0.55000000000000004</v>
      </c>
      <c r="D62" s="105">
        <v>0.3</v>
      </c>
      <c r="E62" s="105">
        <v>0.09</v>
      </c>
      <c r="F62" s="105">
        <v>4.2699999999999996</v>
      </c>
      <c r="G62" s="105">
        <v>0.55000000000000004</v>
      </c>
      <c r="H62" s="105">
        <v>0.3</v>
      </c>
      <c r="I62" s="105">
        <v>0.09</v>
      </c>
    </row>
    <row r="63" spans="1:9" x14ac:dyDescent="0.25">
      <c r="A63" s="104">
        <v>91</v>
      </c>
      <c r="B63" s="105">
        <v>3.95</v>
      </c>
      <c r="C63" s="105">
        <v>0.52</v>
      </c>
      <c r="D63" s="105">
        <v>0.26</v>
      </c>
      <c r="E63" s="105">
        <v>0.08</v>
      </c>
      <c r="F63" s="105">
        <v>3.95</v>
      </c>
      <c r="G63" s="105">
        <v>0.52</v>
      </c>
      <c r="H63" s="105">
        <v>0.26</v>
      </c>
      <c r="I63" s="105">
        <v>0.08</v>
      </c>
    </row>
    <row r="64" spans="1:9" x14ac:dyDescent="0.25">
      <c r="A64" s="104">
        <v>92</v>
      </c>
      <c r="B64" s="105">
        <v>3.65</v>
      </c>
      <c r="C64" s="105">
        <v>0.48</v>
      </c>
      <c r="D64" s="105">
        <v>0.23</v>
      </c>
      <c r="E64" s="105">
        <v>7.0000000000000007E-2</v>
      </c>
      <c r="F64" s="105">
        <v>3.65</v>
      </c>
      <c r="G64" s="105">
        <v>0.48</v>
      </c>
      <c r="H64" s="105">
        <v>0.23</v>
      </c>
      <c r="I64" s="105">
        <v>7.0000000000000007E-2</v>
      </c>
    </row>
    <row r="65" spans="1:9" x14ac:dyDescent="0.25">
      <c r="A65" s="104">
        <v>93</v>
      </c>
      <c r="B65" s="105">
        <v>3.37</v>
      </c>
      <c r="C65" s="105">
        <v>0.45</v>
      </c>
      <c r="D65" s="105">
        <v>0.2</v>
      </c>
      <c r="E65" s="105">
        <v>0.06</v>
      </c>
      <c r="F65" s="105">
        <v>3.37</v>
      </c>
      <c r="G65" s="105">
        <v>0.45</v>
      </c>
      <c r="H65" s="105">
        <v>0.2</v>
      </c>
      <c r="I65" s="105">
        <v>0.06</v>
      </c>
    </row>
    <row r="66" spans="1:9" x14ac:dyDescent="0.25">
      <c r="A66" s="104">
        <v>94</v>
      </c>
      <c r="B66" s="105">
        <v>3.13</v>
      </c>
      <c r="C66" s="105">
        <v>0.42</v>
      </c>
      <c r="D66" s="105">
        <v>0.17</v>
      </c>
      <c r="E66" s="105">
        <v>0.05</v>
      </c>
      <c r="F66" s="105">
        <v>3.13</v>
      </c>
      <c r="G66" s="105">
        <v>0.42</v>
      </c>
      <c r="H66" s="105">
        <v>0.17</v>
      </c>
      <c r="I66" s="105">
        <v>0.05</v>
      </c>
    </row>
    <row r="67" spans="1:9" x14ac:dyDescent="0.25">
      <c r="A67" s="104">
        <v>95</v>
      </c>
      <c r="B67" s="105">
        <v>2.9</v>
      </c>
      <c r="C67" s="105">
        <v>0.4</v>
      </c>
      <c r="D67" s="105">
        <v>0.15</v>
      </c>
      <c r="E67" s="105">
        <v>0.05</v>
      </c>
      <c r="F67" s="105">
        <v>2.9</v>
      </c>
      <c r="G67" s="105">
        <v>0.4</v>
      </c>
      <c r="H67" s="105">
        <v>0.15</v>
      </c>
      <c r="I67" s="105">
        <v>0.05</v>
      </c>
    </row>
    <row r="68" spans="1:9" x14ac:dyDescent="0.25">
      <c r="A68" s="104">
        <v>96</v>
      </c>
      <c r="B68" s="105">
        <v>2.7</v>
      </c>
      <c r="C68" s="105">
        <v>0.37</v>
      </c>
      <c r="D68" s="105">
        <v>0.13</v>
      </c>
      <c r="E68" s="105">
        <v>0.04</v>
      </c>
      <c r="F68" s="105">
        <v>2.7</v>
      </c>
      <c r="G68" s="105">
        <v>0.37</v>
      </c>
      <c r="H68" s="105">
        <v>0.13</v>
      </c>
      <c r="I68" s="105">
        <v>0.04</v>
      </c>
    </row>
    <row r="69" spans="1:9" x14ac:dyDescent="0.25">
      <c r="A69" s="104">
        <v>97</v>
      </c>
      <c r="B69" s="105">
        <v>2.5299999999999998</v>
      </c>
      <c r="C69" s="105">
        <v>0.35</v>
      </c>
      <c r="D69" s="105">
        <v>0.12</v>
      </c>
      <c r="E69" s="105">
        <v>0.04</v>
      </c>
      <c r="F69" s="105">
        <v>2.5299999999999998</v>
      </c>
      <c r="G69" s="105">
        <v>0.35</v>
      </c>
      <c r="H69" s="105">
        <v>0.12</v>
      </c>
      <c r="I69" s="105">
        <v>0.04</v>
      </c>
    </row>
    <row r="70" spans="1:9" x14ac:dyDescent="0.25">
      <c r="A70" s="104">
        <v>98</v>
      </c>
      <c r="B70" s="105">
        <v>2.37</v>
      </c>
      <c r="C70" s="105">
        <v>0.32</v>
      </c>
      <c r="D70" s="105">
        <v>0.1</v>
      </c>
      <c r="E70" s="105">
        <v>0.03</v>
      </c>
      <c r="F70" s="105">
        <v>2.37</v>
      </c>
      <c r="G70" s="105">
        <v>0.32</v>
      </c>
      <c r="H70" s="105">
        <v>0.1</v>
      </c>
      <c r="I70" s="105">
        <v>0.03</v>
      </c>
    </row>
  </sheetData>
  <sheetProtection algorithmName="SHA-512" hashValue="x6Z4PKtjzNLCTs0SgBo8s/M8VU2RIiF5vIyM+6nnfLYe8XsnXp5vl8gj/a/mXhpBA9BKPOi8DL25PJnkK5Zxww==" saltValue="mVJPJOHBeiCaXpgRKb/jDw==" spinCount="100000" sheet="1" objects="1" scenarios="1"/>
  <conditionalFormatting sqref="A6:A21">
    <cfRule type="expression" dxfId="1245" priority="1" stopIfTrue="1">
      <formula>MOD(ROW(),2)=0</formula>
    </cfRule>
    <cfRule type="expression" dxfId="1244" priority="2" stopIfTrue="1">
      <formula>MOD(ROW(),2)&lt;&gt;0</formula>
    </cfRule>
  </conditionalFormatting>
  <conditionalFormatting sqref="A26:A70">
    <cfRule type="expression" dxfId="1243" priority="7" stopIfTrue="1">
      <formula>MOD(ROW(),2)=0</formula>
    </cfRule>
    <cfRule type="expression" dxfId="1242" priority="8" stopIfTrue="1">
      <formula>MOD(ROW(),2)&lt;&gt;0</formula>
    </cfRule>
  </conditionalFormatting>
  <conditionalFormatting sqref="B12">
    <cfRule type="expression" dxfId="1241" priority="11" stopIfTrue="1">
      <formula>MOD(ROW(),2)=0</formula>
    </cfRule>
    <cfRule type="expression" dxfId="1240" priority="12" stopIfTrue="1">
      <formula>MOD(ROW(),2)&lt;&gt;0</formula>
    </cfRule>
  </conditionalFormatting>
  <conditionalFormatting sqref="B18:B21">
    <cfRule type="expression" dxfId="1239" priority="3" stopIfTrue="1">
      <formula>MOD(ROW(),2)=0</formula>
    </cfRule>
    <cfRule type="expression" dxfId="1238" priority="4" stopIfTrue="1">
      <formula>MOD(ROW(),2)&lt;&gt;0</formula>
    </cfRule>
  </conditionalFormatting>
  <conditionalFormatting sqref="B6:I6 C7:I7 C12:I12 B13:I17 C18:I20">
    <cfRule type="expression" dxfId="1237" priority="37" stopIfTrue="1">
      <formula>MOD(ROW(),2)=0</formula>
    </cfRule>
    <cfRule type="expression" dxfId="1236" priority="38" stopIfTrue="1">
      <formula>MOD(ROW(),2)&lt;&gt;0</formula>
    </cfRule>
  </conditionalFormatting>
  <conditionalFormatting sqref="B6:I21">
    <cfRule type="expression" dxfId="1235" priority="23" stopIfTrue="1">
      <formula>MOD(ROW(),2)=0</formula>
    </cfRule>
    <cfRule type="expression" dxfId="1234" priority="24" stopIfTrue="1">
      <formula>MOD(ROW(),2)&lt;&gt;0</formula>
    </cfRule>
  </conditionalFormatting>
  <conditionalFormatting sqref="B8:I11">
    <cfRule type="expression" dxfId="1233" priority="25" stopIfTrue="1">
      <formula>MOD(ROW(),2)=0</formula>
    </cfRule>
    <cfRule type="expression" dxfId="1232" priority="26" stopIfTrue="1">
      <formula>MOD(ROW(),2)&lt;&gt;0</formula>
    </cfRule>
  </conditionalFormatting>
  <conditionalFormatting sqref="B26:I70">
    <cfRule type="expression" dxfId="1231" priority="9" stopIfTrue="1">
      <formula>MOD(ROW(),2)=0</formula>
    </cfRule>
    <cfRule type="expression" dxfId="1230" priority="10" stopIfTrue="1">
      <formula>MOD(ROW(),2)&lt;&gt;0</formula>
    </cfRule>
  </conditionalFormatting>
  <conditionalFormatting sqref="C21:I21">
    <cfRule type="expression" dxfId="1229" priority="5" stopIfTrue="1">
      <formula>MOD(ROW(),2)=0</formula>
    </cfRule>
    <cfRule type="expression" dxfId="1228" priority="6" stopIfTrue="1">
      <formula>MOD(ROW(),2)&lt;&gt;0</formula>
    </cfRule>
  </conditionalFormatting>
  <hyperlinks>
    <hyperlink ref="B24" location="Sheet1!A1" display="Assumptions" xr:uid="{C0D8FAA2-BAF6-4F56-B100-08718C1636F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I105"/>
  <sheetViews>
    <sheetView showGridLines="0" zoomScale="85" zoomScaleNormal="85" workbookViewId="0">
      <selection activeCell="A4" sqref="A4"/>
    </sheetView>
  </sheetViews>
  <sheetFormatPr defaultColWidth="10" defaultRowHeight="13.2" x14ac:dyDescent="0.25"/>
  <cols>
    <col min="1" max="1" width="31.5546875" style="27" customWidth="1"/>
    <col min="2" max="9" width="22.5546875" style="27" customWidth="1"/>
    <col min="10"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Pensioner CE - x-302</v>
      </c>
      <c r="B3" s="42"/>
      <c r="C3" s="42"/>
      <c r="D3" s="42"/>
      <c r="E3" s="42"/>
      <c r="F3" s="42"/>
      <c r="G3" s="42"/>
      <c r="H3" s="42"/>
      <c r="I3" s="42"/>
    </row>
    <row r="4" spans="1:9" x14ac:dyDescent="0.25">
      <c r="A4" s="44"/>
    </row>
    <row r="6" spans="1:9" x14ac:dyDescent="0.25">
      <c r="A6" s="76" t="s">
        <v>290</v>
      </c>
      <c r="B6" s="129" t="s">
        <v>291</v>
      </c>
      <c r="C6" s="129"/>
      <c r="D6" s="129"/>
      <c r="E6" s="129"/>
      <c r="F6" s="129"/>
      <c r="G6" s="129"/>
      <c r="H6" s="129"/>
      <c r="I6" s="129"/>
    </row>
    <row r="7" spans="1:9" x14ac:dyDescent="0.25">
      <c r="A7" s="77" t="s">
        <v>804</v>
      </c>
      <c r="B7" s="129" t="s">
        <v>324</v>
      </c>
      <c r="C7" s="129"/>
      <c r="D7" s="129"/>
      <c r="E7" s="129"/>
      <c r="F7" s="129"/>
      <c r="G7" s="129"/>
      <c r="H7" s="129"/>
      <c r="I7" s="129"/>
    </row>
    <row r="8" spans="1:9" x14ac:dyDescent="0.25">
      <c r="A8" s="77" t="s">
        <v>805</v>
      </c>
      <c r="B8" s="129" t="s">
        <v>85</v>
      </c>
      <c r="C8" s="129"/>
      <c r="D8" s="129"/>
      <c r="E8" s="129"/>
      <c r="F8" s="129"/>
      <c r="G8" s="129"/>
      <c r="H8" s="129"/>
      <c r="I8" s="129"/>
    </row>
    <row r="9" spans="1:9" x14ac:dyDescent="0.25">
      <c r="A9" s="77" t="s">
        <v>296</v>
      </c>
      <c r="B9" s="129" t="s">
        <v>389</v>
      </c>
      <c r="C9" s="129"/>
      <c r="D9" s="129"/>
      <c r="E9" s="129"/>
      <c r="F9" s="129"/>
      <c r="G9" s="129"/>
      <c r="H9" s="129"/>
      <c r="I9" s="129"/>
    </row>
    <row r="10" spans="1:9" x14ac:dyDescent="0.25">
      <c r="A10" s="77" t="s">
        <v>6</v>
      </c>
      <c r="B10" s="129" t="s">
        <v>393</v>
      </c>
      <c r="C10" s="129"/>
      <c r="D10" s="129"/>
      <c r="E10" s="129"/>
      <c r="F10" s="129"/>
      <c r="G10" s="129"/>
      <c r="H10" s="129"/>
      <c r="I10" s="129"/>
    </row>
    <row r="11" spans="1:9" x14ac:dyDescent="0.25">
      <c r="A11" s="77" t="s">
        <v>299</v>
      </c>
      <c r="B11" s="129" t="s">
        <v>327</v>
      </c>
      <c r="C11" s="129"/>
      <c r="D11" s="129"/>
      <c r="E11" s="129"/>
      <c r="F11" s="129"/>
      <c r="G11" s="129"/>
      <c r="H11" s="129"/>
      <c r="I11" s="129"/>
    </row>
    <row r="12" spans="1:9" x14ac:dyDescent="0.25">
      <c r="A12" s="77" t="s">
        <v>301</v>
      </c>
      <c r="B12" s="129" t="s">
        <v>328</v>
      </c>
      <c r="C12" s="129"/>
      <c r="D12" s="129"/>
      <c r="E12" s="129"/>
      <c r="F12" s="129"/>
      <c r="G12" s="129"/>
      <c r="H12" s="129"/>
      <c r="I12" s="129"/>
    </row>
    <row r="13" spans="1:9" x14ac:dyDescent="0.25">
      <c r="A13" s="77" t="s">
        <v>806</v>
      </c>
      <c r="B13" s="129">
        <v>0</v>
      </c>
      <c r="C13" s="129"/>
      <c r="D13" s="129"/>
      <c r="E13" s="129"/>
      <c r="F13" s="129"/>
      <c r="G13" s="129"/>
      <c r="H13" s="129"/>
      <c r="I13" s="129"/>
    </row>
    <row r="14" spans="1:9" x14ac:dyDescent="0.25">
      <c r="A14" s="77" t="s">
        <v>305</v>
      </c>
      <c r="B14" s="129">
        <v>302</v>
      </c>
      <c r="C14" s="129"/>
      <c r="D14" s="129"/>
      <c r="E14" s="129"/>
      <c r="F14" s="129"/>
      <c r="G14" s="129"/>
      <c r="H14" s="129"/>
      <c r="I14" s="129"/>
    </row>
    <row r="15" spans="1:9" x14ac:dyDescent="0.25">
      <c r="A15" s="77" t="s">
        <v>307</v>
      </c>
      <c r="B15" s="129" t="s">
        <v>394</v>
      </c>
      <c r="C15" s="129"/>
      <c r="D15" s="129"/>
      <c r="E15" s="129"/>
      <c r="F15" s="129"/>
      <c r="G15" s="129"/>
      <c r="H15" s="129"/>
      <c r="I15" s="129"/>
    </row>
    <row r="16" spans="1:9" x14ac:dyDescent="0.25">
      <c r="A16" s="77" t="s">
        <v>309</v>
      </c>
      <c r="B16" s="129" t="s">
        <v>395</v>
      </c>
      <c r="C16" s="129"/>
      <c r="D16" s="129"/>
      <c r="E16" s="129"/>
      <c r="F16" s="129"/>
      <c r="G16" s="129"/>
      <c r="H16" s="129"/>
      <c r="I16" s="129"/>
    </row>
    <row r="17" spans="1:9" x14ac:dyDescent="0.25">
      <c r="A17" s="77" t="s">
        <v>803</v>
      </c>
      <c r="B17" s="129"/>
      <c r="C17" s="129"/>
      <c r="D17" s="129"/>
      <c r="E17" s="129"/>
      <c r="F17" s="129"/>
      <c r="G17" s="129"/>
      <c r="H17" s="129"/>
      <c r="I17" s="129"/>
    </row>
    <row r="18" spans="1:9" x14ac:dyDescent="0.25">
      <c r="A18" s="77" t="s">
        <v>313</v>
      </c>
      <c r="B18" s="187">
        <v>45071</v>
      </c>
      <c r="C18" s="129"/>
      <c r="D18" s="129"/>
      <c r="E18" s="129"/>
      <c r="F18" s="129"/>
      <c r="G18" s="129"/>
      <c r="H18" s="129"/>
      <c r="I18" s="129"/>
    </row>
    <row r="19" spans="1:9" x14ac:dyDescent="0.25">
      <c r="A19" s="77" t="s">
        <v>315</v>
      </c>
      <c r="B19" s="187"/>
      <c r="C19" s="129"/>
      <c r="D19" s="129"/>
      <c r="E19" s="129"/>
      <c r="F19" s="129"/>
      <c r="G19" s="129"/>
      <c r="H19" s="129"/>
      <c r="I19" s="129"/>
    </row>
    <row r="20" spans="1:9" x14ac:dyDescent="0.25">
      <c r="A20" s="77" t="s">
        <v>317</v>
      </c>
      <c r="B20" s="129" t="s">
        <v>331</v>
      </c>
      <c r="C20" s="129"/>
      <c r="D20" s="129"/>
      <c r="E20" s="129"/>
      <c r="F20" s="129"/>
      <c r="G20" s="129"/>
      <c r="H20" s="129"/>
      <c r="I20" s="129"/>
    </row>
    <row r="21" spans="1:9" x14ac:dyDescent="0.25">
      <c r="A21" s="77" t="s">
        <v>323</v>
      </c>
      <c r="B21" s="129" t="s">
        <v>332</v>
      </c>
      <c r="C21" s="129"/>
      <c r="D21" s="129"/>
      <c r="E21" s="129"/>
      <c r="F21" s="129"/>
      <c r="G21" s="129"/>
      <c r="H21" s="129"/>
      <c r="I21" s="129"/>
    </row>
    <row r="23" spans="1:9" x14ac:dyDescent="0.25">
      <c r="B23" s="102" t="str">
        <f>HYPERLINK("#'Factor List'!A1","Back to Factor List")</f>
        <v>Back to Factor List</v>
      </c>
    </row>
    <row r="24" spans="1:9" x14ac:dyDescent="0.25">
      <c r="B24" s="102" t="s">
        <v>13</v>
      </c>
    </row>
    <row r="25" spans="1:9" x14ac:dyDescent="0.25">
      <c r="B25" s="102"/>
    </row>
    <row r="26" spans="1:9" ht="39.6" x14ac:dyDescent="0.25">
      <c r="A26" s="103" t="s">
        <v>373</v>
      </c>
      <c r="B26" s="103" t="s">
        <v>830</v>
      </c>
      <c r="C26" s="103" t="s">
        <v>831</v>
      </c>
      <c r="D26" s="103" t="s">
        <v>838</v>
      </c>
      <c r="E26" s="103" t="s">
        <v>839</v>
      </c>
      <c r="F26" s="103" t="s">
        <v>834</v>
      </c>
      <c r="G26" s="103" t="s">
        <v>835</v>
      </c>
      <c r="H26" s="103" t="s">
        <v>840</v>
      </c>
      <c r="I26" s="103" t="s">
        <v>841</v>
      </c>
    </row>
    <row r="27" spans="1:9" x14ac:dyDescent="0.25">
      <c r="A27" s="104">
        <v>20</v>
      </c>
      <c r="B27" s="105">
        <v>40.31</v>
      </c>
      <c r="C27" s="105">
        <v>1.6</v>
      </c>
      <c r="D27" s="105"/>
      <c r="E27" s="105"/>
      <c r="F27" s="105">
        <v>40.31</v>
      </c>
      <c r="G27" s="105">
        <v>1.6</v>
      </c>
      <c r="H27" s="105"/>
      <c r="I27" s="105"/>
    </row>
    <row r="28" spans="1:9" x14ac:dyDescent="0.25">
      <c r="A28" s="104">
        <v>21</v>
      </c>
      <c r="B28" s="105">
        <v>39.96</v>
      </c>
      <c r="C28" s="105">
        <v>1.63</v>
      </c>
      <c r="D28" s="105"/>
      <c r="E28" s="105"/>
      <c r="F28" s="105">
        <v>39.96</v>
      </c>
      <c r="G28" s="105">
        <v>1.63</v>
      </c>
      <c r="H28" s="105"/>
      <c r="I28" s="105"/>
    </row>
    <row r="29" spans="1:9" x14ac:dyDescent="0.25">
      <c r="A29" s="104">
        <v>22</v>
      </c>
      <c r="B29" s="105">
        <v>39.61</v>
      </c>
      <c r="C29" s="105">
        <v>1.66</v>
      </c>
      <c r="D29" s="105"/>
      <c r="E29" s="105"/>
      <c r="F29" s="105">
        <v>39.61</v>
      </c>
      <c r="G29" s="105">
        <v>1.66</v>
      </c>
      <c r="H29" s="105"/>
      <c r="I29" s="105"/>
    </row>
    <row r="30" spans="1:9" x14ac:dyDescent="0.25">
      <c r="A30" s="104">
        <v>23</v>
      </c>
      <c r="B30" s="105">
        <v>39.25</v>
      </c>
      <c r="C30" s="105">
        <v>1.68</v>
      </c>
      <c r="D30" s="105"/>
      <c r="E30" s="105"/>
      <c r="F30" s="105">
        <v>39.25</v>
      </c>
      <c r="G30" s="105">
        <v>1.68</v>
      </c>
      <c r="H30" s="105"/>
      <c r="I30" s="105"/>
    </row>
    <row r="31" spans="1:9" x14ac:dyDescent="0.25">
      <c r="A31" s="104">
        <v>24</v>
      </c>
      <c r="B31" s="105">
        <v>38.89</v>
      </c>
      <c r="C31" s="105">
        <v>1.71</v>
      </c>
      <c r="D31" s="105"/>
      <c r="E31" s="105"/>
      <c r="F31" s="105">
        <v>38.89</v>
      </c>
      <c r="G31" s="105">
        <v>1.71</v>
      </c>
      <c r="H31" s="105"/>
      <c r="I31" s="105"/>
    </row>
    <row r="32" spans="1:9" x14ac:dyDescent="0.25">
      <c r="A32" s="104">
        <v>25</v>
      </c>
      <c r="B32" s="105">
        <v>38.520000000000003</v>
      </c>
      <c r="C32" s="105">
        <v>1.74</v>
      </c>
      <c r="D32" s="105"/>
      <c r="E32" s="105"/>
      <c r="F32" s="105">
        <v>38.520000000000003</v>
      </c>
      <c r="G32" s="105">
        <v>1.74</v>
      </c>
      <c r="H32" s="105"/>
      <c r="I32" s="105"/>
    </row>
    <row r="33" spans="1:9" x14ac:dyDescent="0.25">
      <c r="A33" s="104">
        <v>26</v>
      </c>
      <c r="B33" s="105">
        <v>38.14</v>
      </c>
      <c r="C33" s="105">
        <v>1.76</v>
      </c>
      <c r="D33" s="105"/>
      <c r="E33" s="105"/>
      <c r="F33" s="105">
        <v>38.14</v>
      </c>
      <c r="G33" s="105">
        <v>1.76</v>
      </c>
      <c r="H33" s="105"/>
      <c r="I33" s="105"/>
    </row>
    <row r="34" spans="1:9" x14ac:dyDescent="0.25">
      <c r="A34" s="104">
        <v>27</v>
      </c>
      <c r="B34" s="105">
        <v>37.76</v>
      </c>
      <c r="C34" s="105">
        <v>1.79</v>
      </c>
      <c r="D34" s="105"/>
      <c r="E34" s="105"/>
      <c r="F34" s="105">
        <v>37.76</v>
      </c>
      <c r="G34" s="105">
        <v>1.79</v>
      </c>
      <c r="H34" s="105"/>
      <c r="I34" s="105"/>
    </row>
    <row r="35" spans="1:9" x14ac:dyDescent="0.25">
      <c r="A35" s="104">
        <v>28</v>
      </c>
      <c r="B35" s="105">
        <v>37.369999999999997</v>
      </c>
      <c r="C35" s="105">
        <v>1.82</v>
      </c>
      <c r="D35" s="105"/>
      <c r="E35" s="105"/>
      <c r="F35" s="105">
        <v>37.369999999999997</v>
      </c>
      <c r="G35" s="105">
        <v>1.82</v>
      </c>
      <c r="H35" s="105"/>
      <c r="I35" s="105"/>
    </row>
    <row r="36" spans="1:9" x14ac:dyDescent="0.25">
      <c r="A36" s="104">
        <v>29</v>
      </c>
      <c r="B36" s="105">
        <v>36.97</v>
      </c>
      <c r="C36" s="105">
        <v>1.85</v>
      </c>
      <c r="D36" s="105"/>
      <c r="E36" s="105"/>
      <c r="F36" s="105">
        <v>36.97</v>
      </c>
      <c r="G36" s="105">
        <v>1.85</v>
      </c>
      <c r="H36" s="105"/>
      <c r="I36" s="105"/>
    </row>
    <row r="37" spans="1:9" x14ac:dyDescent="0.25">
      <c r="A37" s="104">
        <v>30</v>
      </c>
      <c r="B37" s="105">
        <v>36.57</v>
      </c>
      <c r="C37" s="105">
        <v>1.87</v>
      </c>
      <c r="D37" s="105"/>
      <c r="E37" s="105"/>
      <c r="F37" s="105">
        <v>36.57</v>
      </c>
      <c r="G37" s="105">
        <v>1.87</v>
      </c>
      <c r="H37" s="105"/>
      <c r="I37" s="105"/>
    </row>
    <row r="38" spans="1:9" x14ac:dyDescent="0.25">
      <c r="A38" s="104">
        <v>31</v>
      </c>
      <c r="B38" s="105">
        <v>36.159999999999997</v>
      </c>
      <c r="C38" s="105">
        <v>1.9</v>
      </c>
      <c r="D38" s="105"/>
      <c r="E38" s="105"/>
      <c r="F38" s="105">
        <v>36.159999999999997</v>
      </c>
      <c r="G38" s="105">
        <v>1.9</v>
      </c>
      <c r="H38" s="105"/>
      <c r="I38" s="105"/>
    </row>
    <row r="39" spans="1:9" x14ac:dyDescent="0.25">
      <c r="A39" s="104">
        <v>32</v>
      </c>
      <c r="B39" s="105">
        <v>35.74</v>
      </c>
      <c r="C39" s="105">
        <v>1.93</v>
      </c>
      <c r="D39" s="105"/>
      <c r="E39" s="105"/>
      <c r="F39" s="105">
        <v>35.74</v>
      </c>
      <c r="G39" s="105">
        <v>1.93</v>
      </c>
      <c r="H39" s="105"/>
      <c r="I39" s="105"/>
    </row>
    <row r="40" spans="1:9" x14ac:dyDescent="0.25">
      <c r="A40" s="104">
        <v>33</v>
      </c>
      <c r="B40" s="105">
        <v>35.32</v>
      </c>
      <c r="C40" s="105">
        <v>1.95</v>
      </c>
      <c r="D40" s="105"/>
      <c r="E40" s="105"/>
      <c r="F40" s="105">
        <v>35.32</v>
      </c>
      <c r="G40" s="105">
        <v>1.95</v>
      </c>
      <c r="H40" s="105"/>
      <c r="I40" s="105"/>
    </row>
    <row r="41" spans="1:9" x14ac:dyDescent="0.25">
      <c r="A41" s="104">
        <v>34</v>
      </c>
      <c r="B41" s="105">
        <v>34.89</v>
      </c>
      <c r="C41" s="105">
        <v>1.98</v>
      </c>
      <c r="D41" s="105"/>
      <c r="E41" s="105"/>
      <c r="F41" s="105">
        <v>34.89</v>
      </c>
      <c r="G41" s="105">
        <v>1.98</v>
      </c>
      <c r="H41" s="105"/>
      <c r="I41" s="105"/>
    </row>
    <row r="42" spans="1:9" x14ac:dyDescent="0.25">
      <c r="A42" s="104">
        <v>35</v>
      </c>
      <c r="B42" s="105">
        <v>34.46</v>
      </c>
      <c r="C42" s="105">
        <v>2.0099999999999998</v>
      </c>
      <c r="D42" s="105"/>
      <c r="E42" s="105"/>
      <c r="F42" s="105">
        <v>34.46</v>
      </c>
      <c r="G42" s="105">
        <v>2.0099999999999998</v>
      </c>
      <c r="H42" s="105"/>
      <c r="I42" s="105"/>
    </row>
    <row r="43" spans="1:9" x14ac:dyDescent="0.25">
      <c r="A43" s="104">
        <v>36</v>
      </c>
      <c r="B43" s="105">
        <v>34.01</v>
      </c>
      <c r="C43" s="105">
        <v>2.0299999999999998</v>
      </c>
      <c r="D43" s="105"/>
      <c r="E43" s="105"/>
      <c r="F43" s="105">
        <v>34.01</v>
      </c>
      <c r="G43" s="105">
        <v>2.0299999999999998</v>
      </c>
      <c r="H43" s="105"/>
      <c r="I43" s="105"/>
    </row>
    <row r="44" spans="1:9" x14ac:dyDescent="0.25">
      <c r="A44" s="104">
        <v>37</v>
      </c>
      <c r="B44" s="105">
        <v>33.56</v>
      </c>
      <c r="C44" s="105">
        <v>2.06</v>
      </c>
      <c r="D44" s="105"/>
      <c r="E44" s="105"/>
      <c r="F44" s="105">
        <v>33.56</v>
      </c>
      <c r="G44" s="105">
        <v>2.06</v>
      </c>
      <c r="H44" s="105"/>
      <c r="I44" s="105"/>
    </row>
    <row r="45" spans="1:9" x14ac:dyDescent="0.25">
      <c r="A45" s="104">
        <v>38</v>
      </c>
      <c r="B45" s="105">
        <v>33.11</v>
      </c>
      <c r="C45" s="105">
        <v>2.09</v>
      </c>
      <c r="D45" s="105"/>
      <c r="E45" s="105"/>
      <c r="F45" s="105">
        <v>33.11</v>
      </c>
      <c r="G45" s="105">
        <v>2.09</v>
      </c>
      <c r="H45" s="105"/>
      <c r="I45" s="105"/>
    </row>
    <row r="46" spans="1:9" x14ac:dyDescent="0.25">
      <c r="A46" s="104">
        <v>39</v>
      </c>
      <c r="B46" s="105">
        <v>32.64</v>
      </c>
      <c r="C46" s="105">
        <v>2.11</v>
      </c>
      <c r="D46" s="105"/>
      <c r="E46" s="105"/>
      <c r="F46" s="105">
        <v>32.64</v>
      </c>
      <c r="G46" s="105">
        <v>2.11</v>
      </c>
      <c r="H46" s="105"/>
      <c r="I46" s="105"/>
    </row>
    <row r="47" spans="1:9" x14ac:dyDescent="0.25">
      <c r="A47" s="104">
        <v>40</v>
      </c>
      <c r="B47" s="105">
        <v>32.17</v>
      </c>
      <c r="C47" s="105">
        <v>2.14</v>
      </c>
      <c r="D47" s="105"/>
      <c r="E47" s="105"/>
      <c r="F47" s="105">
        <v>32.17</v>
      </c>
      <c r="G47" s="105">
        <v>2.14</v>
      </c>
      <c r="H47" s="105"/>
      <c r="I47" s="105"/>
    </row>
    <row r="48" spans="1:9" x14ac:dyDescent="0.25">
      <c r="A48" s="104">
        <v>41</v>
      </c>
      <c r="B48" s="105">
        <v>31.69</v>
      </c>
      <c r="C48" s="105">
        <v>2.17</v>
      </c>
      <c r="D48" s="105"/>
      <c r="E48" s="105"/>
      <c r="F48" s="105">
        <v>31.69</v>
      </c>
      <c r="G48" s="105">
        <v>2.17</v>
      </c>
      <c r="H48" s="105"/>
      <c r="I48" s="105"/>
    </row>
    <row r="49" spans="1:9" x14ac:dyDescent="0.25">
      <c r="A49" s="104">
        <v>42</v>
      </c>
      <c r="B49" s="105">
        <v>31.2</v>
      </c>
      <c r="C49" s="105">
        <v>2.19</v>
      </c>
      <c r="D49" s="105"/>
      <c r="E49" s="105"/>
      <c r="F49" s="105">
        <v>31.2</v>
      </c>
      <c r="G49" s="105">
        <v>2.19</v>
      </c>
      <c r="H49" s="105"/>
      <c r="I49" s="105"/>
    </row>
    <row r="50" spans="1:9" x14ac:dyDescent="0.25">
      <c r="A50" s="104">
        <v>43</v>
      </c>
      <c r="B50" s="105">
        <v>30.71</v>
      </c>
      <c r="C50" s="105">
        <v>2.2200000000000002</v>
      </c>
      <c r="D50" s="105"/>
      <c r="E50" s="105"/>
      <c r="F50" s="105">
        <v>30.71</v>
      </c>
      <c r="G50" s="105">
        <v>2.2200000000000002</v>
      </c>
      <c r="H50" s="105"/>
      <c r="I50" s="105"/>
    </row>
    <row r="51" spans="1:9" x14ac:dyDescent="0.25">
      <c r="A51" s="104">
        <v>44</v>
      </c>
      <c r="B51" s="105">
        <v>30.21</v>
      </c>
      <c r="C51" s="105">
        <v>2.2400000000000002</v>
      </c>
      <c r="D51" s="105"/>
      <c r="E51" s="105"/>
      <c r="F51" s="105">
        <v>30.21</v>
      </c>
      <c r="G51" s="105">
        <v>2.2400000000000002</v>
      </c>
      <c r="H51" s="105"/>
      <c r="I51" s="105"/>
    </row>
    <row r="52" spans="1:9" x14ac:dyDescent="0.25">
      <c r="A52" s="104">
        <v>45</v>
      </c>
      <c r="B52" s="105">
        <v>29.7</v>
      </c>
      <c r="C52" s="105">
        <v>2.27</v>
      </c>
      <c r="D52" s="105"/>
      <c r="E52" s="105"/>
      <c r="F52" s="105">
        <v>29.7</v>
      </c>
      <c r="G52" s="105">
        <v>2.27</v>
      </c>
      <c r="H52" s="105"/>
      <c r="I52" s="105"/>
    </row>
    <row r="53" spans="1:9" x14ac:dyDescent="0.25">
      <c r="A53" s="104">
        <v>46</v>
      </c>
      <c r="B53" s="105">
        <v>29.19</v>
      </c>
      <c r="C53" s="105">
        <v>2.29</v>
      </c>
      <c r="D53" s="105"/>
      <c r="E53" s="105"/>
      <c r="F53" s="105">
        <v>29.19</v>
      </c>
      <c r="G53" s="105">
        <v>2.29</v>
      </c>
      <c r="H53" s="105"/>
      <c r="I53" s="105"/>
    </row>
    <row r="54" spans="1:9" x14ac:dyDescent="0.25">
      <c r="A54" s="104">
        <v>47</v>
      </c>
      <c r="B54" s="105">
        <v>28.66</v>
      </c>
      <c r="C54" s="105">
        <v>2.3199999999999998</v>
      </c>
      <c r="D54" s="105"/>
      <c r="E54" s="105"/>
      <c r="F54" s="105">
        <v>28.66</v>
      </c>
      <c r="G54" s="105">
        <v>2.3199999999999998</v>
      </c>
      <c r="H54" s="105"/>
      <c r="I54" s="105"/>
    </row>
    <row r="55" spans="1:9" x14ac:dyDescent="0.25">
      <c r="A55" s="104">
        <v>48</v>
      </c>
      <c r="B55" s="105">
        <v>28.13</v>
      </c>
      <c r="C55" s="105">
        <v>2.34</v>
      </c>
      <c r="D55" s="105"/>
      <c r="E55" s="105"/>
      <c r="F55" s="105">
        <v>28.13</v>
      </c>
      <c r="G55" s="105">
        <v>2.34</v>
      </c>
      <c r="H55" s="105"/>
      <c r="I55" s="105"/>
    </row>
    <row r="56" spans="1:9" x14ac:dyDescent="0.25">
      <c r="A56" s="104">
        <v>49</v>
      </c>
      <c r="B56" s="105">
        <v>27.6</v>
      </c>
      <c r="C56" s="105">
        <v>2.36</v>
      </c>
      <c r="D56" s="105"/>
      <c r="E56" s="105"/>
      <c r="F56" s="105">
        <v>27.6</v>
      </c>
      <c r="G56" s="105">
        <v>2.36</v>
      </c>
      <c r="H56" s="105"/>
      <c r="I56" s="105"/>
    </row>
    <row r="57" spans="1:9" x14ac:dyDescent="0.25">
      <c r="A57" s="104">
        <v>50</v>
      </c>
      <c r="B57" s="105">
        <v>27.05</v>
      </c>
      <c r="C57" s="105">
        <v>2.39</v>
      </c>
      <c r="D57" s="105"/>
      <c r="E57" s="105"/>
      <c r="F57" s="105">
        <v>27.05</v>
      </c>
      <c r="G57" s="105">
        <v>2.39</v>
      </c>
      <c r="H57" s="105"/>
      <c r="I57" s="105"/>
    </row>
    <row r="58" spans="1:9" x14ac:dyDescent="0.25">
      <c r="A58" s="104">
        <v>51</v>
      </c>
      <c r="B58" s="105">
        <v>26.5</v>
      </c>
      <c r="C58" s="105">
        <v>2.41</v>
      </c>
      <c r="D58" s="105"/>
      <c r="E58" s="105"/>
      <c r="F58" s="105">
        <v>26.5</v>
      </c>
      <c r="G58" s="105">
        <v>2.41</v>
      </c>
      <c r="H58" s="105"/>
      <c r="I58" s="105"/>
    </row>
    <row r="59" spans="1:9" x14ac:dyDescent="0.25">
      <c r="A59" s="104">
        <v>52</v>
      </c>
      <c r="B59" s="105">
        <v>25.94</v>
      </c>
      <c r="C59" s="105">
        <v>2.4300000000000002</v>
      </c>
      <c r="D59" s="105"/>
      <c r="E59" s="105"/>
      <c r="F59" s="105">
        <v>25.94</v>
      </c>
      <c r="G59" s="105">
        <v>2.4300000000000002</v>
      </c>
      <c r="H59" s="105"/>
      <c r="I59" s="105"/>
    </row>
    <row r="60" spans="1:9" x14ac:dyDescent="0.25">
      <c r="A60" s="104">
        <v>53</v>
      </c>
      <c r="B60" s="105">
        <v>25.37</v>
      </c>
      <c r="C60" s="105">
        <v>2.4500000000000002</v>
      </c>
      <c r="D60" s="105"/>
      <c r="E60" s="105"/>
      <c r="F60" s="105">
        <v>25.37</v>
      </c>
      <c r="G60" s="105">
        <v>2.4500000000000002</v>
      </c>
      <c r="H60" s="105"/>
      <c r="I60" s="105"/>
    </row>
    <row r="61" spans="1:9" x14ac:dyDescent="0.25">
      <c r="A61" s="104">
        <v>54</v>
      </c>
      <c r="B61" s="105">
        <v>24.8</v>
      </c>
      <c r="C61" s="105">
        <v>2.4700000000000002</v>
      </c>
      <c r="D61" s="105"/>
      <c r="E61" s="105"/>
      <c r="F61" s="105">
        <v>24.8</v>
      </c>
      <c r="G61" s="105">
        <v>2.4700000000000002</v>
      </c>
      <c r="H61" s="105"/>
      <c r="I61" s="105"/>
    </row>
    <row r="62" spans="1:9" x14ac:dyDescent="0.25">
      <c r="A62" s="104">
        <v>55</v>
      </c>
      <c r="B62" s="105">
        <v>24.22</v>
      </c>
      <c r="C62" s="105">
        <v>2.4900000000000002</v>
      </c>
      <c r="D62" s="105"/>
      <c r="E62" s="105"/>
      <c r="F62" s="105">
        <v>24.22</v>
      </c>
      <c r="G62" s="105">
        <v>2.4900000000000002</v>
      </c>
      <c r="H62" s="105"/>
      <c r="I62" s="105"/>
    </row>
    <row r="63" spans="1:9" x14ac:dyDescent="0.25">
      <c r="A63" s="104">
        <v>56</v>
      </c>
      <c r="B63" s="105">
        <v>23.63</v>
      </c>
      <c r="C63" s="105">
        <v>2.5099999999999998</v>
      </c>
      <c r="D63" s="105"/>
      <c r="E63" s="105"/>
      <c r="F63" s="105">
        <v>23.63</v>
      </c>
      <c r="G63" s="105">
        <v>2.5099999999999998</v>
      </c>
      <c r="H63" s="105"/>
      <c r="I63" s="105"/>
    </row>
    <row r="64" spans="1:9" x14ac:dyDescent="0.25">
      <c r="A64" s="104">
        <v>57</v>
      </c>
      <c r="B64" s="105">
        <v>23.04</v>
      </c>
      <c r="C64" s="105">
        <v>2.5299999999999998</v>
      </c>
      <c r="D64" s="105"/>
      <c r="E64" s="105"/>
      <c r="F64" s="105">
        <v>23.04</v>
      </c>
      <c r="G64" s="105">
        <v>2.5299999999999998</v>
      </c>
      <c r="H64" s="105"/>
      <c r="I64" s="105"/>
    </row>
    <row r="65" spans="1:9" x14ac:dyDescent="0.25">
      <c r="A65" s="104">
        <v>58</v>
      </c>
      <c r="B65" s="105">
        <v>22.44</v>
      </c>
      <c r="C65" s="105">
        <v>2.5499999999999998</v>
      </c>
      <c r="D65" s="105"/>
      <c r="E65" s="105"/>
      <c r="F65" s="105">
        <v>22.44</v>
      </c>
      <c r="G65" s="105">
        <v>2.5499999999999998</v>
      </c>
      <c r="H65" s="105"/>
      <c r="I65" s="105"/>
    </row>
    <row r="66" spans="1:9" x14ac:dyDescent="0.25">
      <c r="A66" s="104">
        <v>59</v>
      </c>
      <c r="B66" s="105">
        <v>21.83</v>
      </c>
      <c r="C66" s="105">
        <v>2.56</v>
      </c>
      <c r="D66" s="105"/>
      <c r="E66" s="105"/>
      <c r="F66" s="105">
        <v>21.83</v>
      </c>
      <c r="G66" s="105">
        <v>2.56</v>
      </c>
      <c r="H66" s="105"/>
      <c r="I66" s="105"/>
    </row>
    <row r="67" spans="1:9" x14ac:dyDescent="0.25">
      <c r="A67" s="104">
        <v>60</v>
      </c>
      <c r="B67" s="105">
        <v>21.22</v>
      </c>
      <c r="C67" s="105">
        <v>2.58</v>
      </c>
      <c r="D67" s="105"/>
      <c r="E67" s="105"/>
      <c r="F67" s="105">
        <v>21.22</v>
      </c>
      <c r="G67" s="105">
        <v>2.58</v>
      </c>
      <c r="H67" s="105"/>
      <c r="I67" s="105"/>
    </row>
    <row r="68" spans="1:9" x14ac:dyDescent="0.25">
      <c r="A68" s="104">
        <v>61</v>
      </c>
      <c r="B68" s="105">
        <v>20.61</v>
      </c>
      <c r="C68" s="105">
        <v>2.59</v>
      </c>
      <c r="D68" s="105"/>
      <c r="E68" s="105"/>
      <c r="F68" s="105">
        <v>20.61</v>
      </c>
      <c r="G68" s="105">
        <v>2.59</v>
      </c>
      <c r="H68" s="105"/>
      <c r="I68" s="105"/>
    </row>
    <row r="69" spans="1:9" x14ac:dyDescent="0.25">
      <c r="A69" s="104">
        <v>62</v>
      </c>
      <c r="B69" s="105">
        <v>19.989999999999998</v>
      </c>
      <c r="C69" s="105">
        <v>2.6</v>
      </c>
      <c r="D69" s="105"/>
      <c r="E69" s="105"/>
      <c r="F69" s="105">
        <v>19.989999999999998</v>
      </c>
      <c r="G69" s="105">
        <v>2.6</v>
      </c>
      <c r="H69" s="105"/>
      <c r="I69" s="105"/>
    </row>
    <row r="70" spans="1:9" x14ac:dyDescent="0.25">
      <c r="A70" s="104">
        <v>63</v>
      </c>
      <c r="B70" s="105">
        <v>19.37</v>
      </c>
      <c r="C70" s="105">
        <v>2.61</v>
      </c>
      <c r="D70" s="105"/>
      <c r="E70" s="105"/>
      <c r="F70" s="105">
        <v>19.37</v>
      </c>
      <c r="G70" s="105">
        <v>2.61</v>
      </c>
      <c r="H70" s="105"/>
      <c r="I70" s="105"/>
    </row>
    <row r="71" spans="1:9" x14ac:dyDescent="0.25">
      <c r="A71" s="104">
        <v>64</v>
      </c>
      <c r="B71" s="105">
        <v>18.75</v>
      </c>
      <c r="C71" s="105">
        <v>2.58</v>
      </c>
      <c r="D71" s="105"/>
      <c r="E71" s="105"/>
      <c r="F71" s="105">
        <v>18.75</v>
      </c>
      <c r="G71" s="105">
        <v>2.58</v>
      </c>
      <c r="H71" s="105"/>
      <c r="I71" s="105"/>
    </row>
    <row r="72" spans="1:9" x14ac:dyDescent="0.25">
      <c r="A72" s="104">
        <v>65</v>
      </c>
      <c r="B72" s="105">
        <v>18.12</v>
      </c>
      <c r="C72" s="105">
        <v>2.5499999999999998</v>
      </c>
      <c r="D72" s="105"/>
      <c r="E72" s="105"/>
      <c r="F72" s="105">
        <v>18.12</v>
      </c>
      <c r="G72" s="105">
        <v>2.5499999999999998</v>
      </c>
      <c r="H72" s="105"/>
      <c r="I72" s="105"/>
    </row>
    <row r="73" spans="1:9" x14ac:dyDescent="0.25">
      <c r="A73" s="104">
        <v>66</v>
      </c>
      <c r="B73" s="105">
        <v>17.5</v>
      </c>
      <c r="C73" s="105">
        <v>2.5499999999999998</v>
      </c>
      <c r="D73" s="105"/>
      <c r="E73" s="105"/>
      <c r="F73" s="105">
        <v>17.5</v>
      </c>
      <c r="G73" s="105">
        <v>2.5499999999999998</v>
      </c>
      <c r="H73" s="105"/>
      <c r="I73" s="105"/>
    </row>
    <row r="74" spans="1:9" x14ac:dyDescent="0.25">
      <c r="A74" s="104">
        <v>67</v>
      </c>
      <c r="B74" s="105">
        <v>16.87</v>
      </c>
      <c r="C74" s="105">
        <v>2.5499999999999998</v>
      </c>
      <c r="D74" s="105"/>
      <c r="E74" s="105"/>
      <c r="F74" s="105">
        <v>16.87</v>
      </c>
      <c r="G74" s="105">
        <v>2.5499999999999998</v>
      </c>
      <c r="H74" s="105"/>
      <c r="I74" s="105"/>
    </row>
    <row r="75" spans="1:9" x14ac:dyDescent="0.25">
      <c r="A75" s="104">
        <v>68</v>
      </c>
      <c r="B75" s="105">
        <v>16.22</v>
      </c>
      <c r="C75" s="105">
        <v>2.5499999999999998</v>
      </c>
      <c r="D75" s="105"/>
      <c r="E75" s="105"/>
      <c r="F75" s="105">
        <v>16.22</v>
      </c>
      <c r="G75" s="105">
        <v>2.5499999999999998</v>
      </c>
      <c r="H75" s="105"/>
      <c r="I75" s="105"/>
    </row>
    <row r="76" spans="1:9" x14ac:dyDescent="0.25">
      <c r="A76" s="104">
        <v>69</v>
      </c>
      <c r="B76" s="105">
        <v>15.54</v>
      </c>
      <c r="C76" s="105">
        <v>2.4700000000000002</v>
      </c>
      <c r="D76" s="105">
        <v>3.13</v>
      </c>
      <c r="E76" s="105">
        <v>1.04</v>
      </c>
      <c r="F76" s="105">
        <v>15.54</v>
      </c>
      <c r="G76" s="105">
        <v>2.4700000000000002</v>
      </c>
      <c r="H76" s="105">
        <v>2.8</v>
      </c>
      <c r="I76" s="105">
        <v>0.97</v>
      </c>
    </row>
    <row r="77" spans="1:9" x14ac:dyDescent="0.25">
      <c r="A77" s="104">
        <v>70</v>
      </c>
      <c r="B77" s="105">
        <v>14.88</v>
      </c>
      <c r="C77" s="105">
        <v>2.4</v>
      </c>
      <c r="D77" s="105">
        <v>2.91</v>
      </c>
      <c r="E77" s="105">
        <v>0.96</v>
      </c>
      <c r="F77" s="105">
        <v>14.88</v>
      </c>
      <c r="G77" s="105">
        <v>2.4</v>
      </c>
      <c r="H77" s="105">
        <v>2.6</v>
      </c>
      <c r="I77" s="105">
        <v>0.9</v>
      </c>
    </row>
    <row r="78" spans="1:9" x14ac:dyDescent="0.25">
      <c r="A78" s="104">
        <v>71</v>
      </c>
      <c r="B78" s="105">
        <v>14.22</v>
      </c>
      <c r="C78" s="105">
        <v>2.39</v>
      </c>
      <c r="D78" s="105">
        <v>2.71</v>
      </c>
      <c r="E78" s="105">
        <v>0.89</v>
      </c>
      <c r="F78" s="105">
        <v>14.22</v>
      </c>
      <c r="G78" s="105">
        <v>2.39</v>
      </c>
      <c r="H78" s="105">
        <v>2.4</v>
      </c>
      <c r="I78" s="105">
        <v>0.83</v>
      </c>
    </row>
    <row r="79" spans="1:9" x14ac:dyDescent="0.25">
      <c r="A79" s="104">
        <v>72</v>
      </c>
      <c r="B79" s="105">
        <v>13.57</v>
      </c>
      <c r="C79" s="105">
        <v>2.37</v>
      </c>
      <c r="D79" s="105">
        <v>2.5099999999999998</v>
      </c>
      <c r="E79" s="105">
        <v>0.82</v>
      </c>
      <c r="F79" s="105">
        <v>13.57</v>
      </c>
      <c r="G79" s="105">
        <v>2.37</v>
      </c>
      <c r="H79" s="105">
        <v>2.2200000000000002</v>
      </c>
      <c r="I79" s="105">
        <v>0.76</v>
      </c>
    </row>
    <row r="80" spans="1:9" x14ac:dyDescent="0.25">
      <c r="A80" s="104">
        <v>73</v>
      </c>
      <c r="B80" s="105">
        <v>12.94</v>
      </c>
      <c r="C80" s="105">
        <v>2.35</v>
      </c>
      <c r="D80" s="105">
        <v>2.3199999999999998</v>
      </c>
      <c r="E80" s="105">
        <v>0.76</v>
      </c>
      <c r="F80" s="105">
        <v>12.94</v>
      </c>
      <c r="G80" s="105">
        <v>2.35</v>
      </c>
      <c r="H80" s="105">
        <v>2.04</v>
      </c>
      <c r="I80" s="105">
        <v>0.7</v>
      </c>
    </row>
    <row r="81" spans="1:9" x14ac:dyDescent="0.25">
      <c r="A81" s="104">
        <v>74</v>
      </c>
      <c r="B81" s="105">
        <v>12.31</v>
      </c>
      <c r="C81" s="105">
        <v>2.2000000000000002</v>
      </c>
      <c r="D81" s="105">
        <v>2.13</v>
      </c>
      <c r="E81" s="105">
        <v>0.69</v>
      </c>
      <c r="F81" s="105">
        <v>12.31</v>
      </c>
      <c r="G81" s="105">
        <v>2.2000000000000002</v>
      </c>
      <c r="H81" s="105">
        <v>1.87</v>
      </c>
      <c r="I81" s="105">
        <v>0.64</v>
      </c>
    </row>
    <row r="82" spans="1:9" x14ac:dyDescent="0.25">
      <c r="A82" s="104">
        <v>75</v>
      </c>
      <c r="B82" s="105">
        <v>11.69</v>
      </c>
      <c r="C82" s="105">
        <v>2.0499999999999998</v>
      </c>
      <c r="D82" s="105">
        <v>1.94</v>
      </c>
      <c r="E82" s="105">
        <v>0.63</v>
      </c>
      <c r="F82" s="105">
        <v>11.69</v>
      </c>
      <c r="G82" s="105">
        <v>2.0499999999999998</v>
      </c>
      <c r="H82" s="105">
        <v>1.71</v>
      </c>
      <c r="I82" s="105">
        <v>0.57999999999999996</v>
      </c>
    </row>
    <row r="83" spans="1:9" x14ac:dyDescent="0.25">
      <c r="A83" s="104">
        <v>76</v>
      </c>
      <c r="B83" s="105">
        <v>11.09</v>
      </c>
      <c r="C83" s="105">
        <v>2.02</v>
      </c>
      <c r="D83" s="105">
        <v>1.78</v>
      </c>
      <c r="E83" s="105">
        <v>0.57999999999999996</v>
      </c>
      <c r="F83" s="105">
        <v>11.09</v>
      </c>
      <c r="G83" s="105">
        <v>2.02</v>
      </c>
      <c r="H83" s="105">
        <v>1.56</v>
      </c>
      <c r="I83" s="105">
        <v>0.53</v>
      </c>
    </row>
    <row r="84" spans="1:9" x14ac:dyDescent="0.25">
      <c r="A84" s="104">
        <v>77</v>
      </c>
      <c r="B84" s="105">
        <v>10.49</v>
      </c>
      <c r="C84" s="105">
        <v>1.99</v>
      </c>
      <c r="D84" s="105">
        <v>1.62</v>
      </c>
      <c r="E84" s="105">
        <v>0.52</v>
      </c>
      <c r="F84" s="105">
        <v>10.49</v>
      </c>
      <c r="G84" s="105">
        <v>1.99</v>
      </c>
      <c r="H84" s="105">
        <v>1.41</v>
      </c>
      <c r="I84" s="105">
        <v>0.48</v>
      </c>
    </row>
    <row r="85" spans="1:9" x14ac:dyDescent="0.25">
      <c r="A85" s="104">
        <v>78</v>
      </c>
      <c r="B85" s="105">
        <v>9.9</v>
      </c>
      <c r="C85" s="105">
        <v>1.95</v>
      </c>
      <c r="D85" s="105">
        <v>1.47</v>
      </c>
      <c r="E85" s="105">
        <v>0.47</v>
      </c>
      <c r="F85" s="105">
        <v>9.9</v>
      </c>
      <c r="G85" s="105">
        <v>1.95</v>
      </c>
      <c r="H85" s="105">
        <v>1.28</v>
      </c>
      <c r="I85" s="105">
        <v>0.43</v>
      </c>
    </row>
    <row r="86" spans="1:9" x14ac:dyDescent="0.25">
      <c r="A86" s="104">
        <v>79</v>
      </c>
      <c r="B86" s="105">
        <v>9.33</v>
      </c>
      <c r="C86" s="105">
        <v>1.76</v>
      </c>
      <c r="D86" s="105">
        <v>1.32</v>
      </c>
      <c r="E86" s="105">
        <v>0.42</v>
      </c>
      <c r="F86" s="105">
        <v>9.33</v>
      </c>
      <c r="G86" s="105">
        <v>1.76</v>
      </c>
      <c r="H86" s="105">
        <v>1.1499999999999999</v>
      </c>
      <c r="I86" s="105">
        <v>0.38</v>
      </c>
    </row>
    <row r="87" spans="1:9" x14ac:dyDescent="0.25">
      <c r="A87" s="104">
        <v>80</v>
      </c>
      <c r="B87" s="105">
        <v>8.77</v>
      </c>
      <c r="C87" s="105">
        <v>1.56</v>
      </c>
      <c r="D87" s="105">
        <v>1.17</v>
      </c>
      <c r="E87" s="105">
        <v>0.37</v>
      </c>
      <c r="F87" s="105">
        <v>8.77</v>
      </c>
      <c r="G87" s="105">
        <v>1.56</v>
      </c>
      <c r="H87" s="105">
        <v>1.04</v>
      </c>
      <c r="I87" s="105">
        <v>0.34</v>
      </c>
    </row>
    <row r="88" spans="1:9" x14ac:dyDescent="0.25">
      <c r="A88" s="104">
        <v>81</v>
      </c>
      <c r="B88" s="105">
        <v>8.23</v>
      </c>
      <c r="C88" s="105">
        <v>1.52</v>
      </c>
      <c r="D88" s="105">
        <v>1.05</v>
      </c>
      <c r="E88" s="105">
        <v>0.33</v>
      </c>
      <c r="F88" s="105">
        <v>8.23</v>
      </c>
      <c r="G88" s="105">
        <v>1.52</v>
      </c>
      <c r="H88" s="105">
        <v>0.93</v>
      </c>
      <c r="I88" s="105">
        <v>0.31</v>
      </c>
    </row>
    <row r="89" spans="1:9" x14ac:dyDescent="0.25">
      <c r="A89" s="104">
        <v>82</v>
      </c>
      <c r="B89" s="105">
        <v>7.71</v>
      </c>
      <c r="C89" s="105">
        <v>1.47</v>
      </c>
      <c r="D89" s="105">
        <v>0.94</v>
      </c>
      <c r="E89" s="105">
        <v>0.3</v>
      </c>
      <c r="F89" s="105">
        <v>7.71</v>
      </c>
      <c r="G89" s="105">
        <v>1.47</v>
      </c>
      <c r="H89" s="105">
        <v>0.83</v>
      </c>
      <c r="I89" s="105">
        <v>0.27</v>
      </c>
    </row>
    <row r="90" spans="1:9" x14ac:dyDescent="0.25">
      <c r="A90" s="104">
        <v>83</v>
      </c>
      <c r="B90" s="105">
        <v>7.2</v>
      </c>
      <c r="C90" s="105">
        <v>1.43</v>
      </c>
      <c r="D90" s="105">
        <v>0.84</v>
      </c>
      <c r="E90" s="105">
        <v>0.27</v>
      </c>
      <c r="F90" s="105">
        <v>7.2</v>
      </c>
      <c r="G90" s="105">
        <v>1.43</v>
      </c>
      <c r="H90" s="105">
        <v>0.74</v>
      </c>
      <c r="I90" s="105">
        <v>0.24</v>
      </c>
    </row>
    <row r="91" spans="1:9" x14ac:dyDescent="0.25">
      <c r="A91" s="104">
        <v>84</v>
      </c>
      <c r="B91" s="105">
        <v>6.72</v>
      </c>
      <c r="C91" s="105">
        <v>1.23</v>
      </c>
      <c r="D91" s="105">
        <v>0.73</v>
      </c>
      <c r="E91" s="105">
        <v>0.23</v>
      </c>
      <c r="F91" s="105">
        <v>6.72</v>
      </c>
      <c r="G91" s="105">
        <v>1.23</v>
      </c>
      <c r="H91" s="105">
        <v>0.66</v>
      </c>
      <c r="I91" s="105">
        <v>0.21</v>
      </c>
    </row>
    <row r="92" spans="1:9" x14ac:dyDescent="0.25">
      <c r="A92" s="104">
        <v>85</v>
      </c>
      <c r="B92" s="105">
        <v>6.26</v>
      </c>
      <c r="C92" s="105">
        <v>1.03</v>
      </c>
      <c r="D92" s="105">
        <v>0.63</v>
      </c>
      <c r="E92" s="105">
        <v>0.2</v>
      </c>
      <c r="F92" s="105">
        <v>6.26</v>
      </c>
      <c r="G92" s="105">
        <v>1.03</v>
      </c>
      <c r="H92" s="105">
        <v>0.57999999999999996</v>
      </c>
      <c r="I92" s="105">
        <v>0.19</v>
      </c>
    </row>
    <row r="93" spans="1:9" x14ac:dyDescent="0.25">
      <c r="A93" s="104">
        <v>86</v>
      </c>
      <c r="B93" s="105">
        <v>5.82</v>
      </c>
      <c r="C93" s="105">
        <v>0.99</v>
      </c>
      <c r="D93" s="105">
        <v>0.55000000000000004</v>
      </c>
      <c r="E93" s="105">
        <v>0.17</v>
      </c>
      <c r="F93" s="105">
        <v>5.82</v>
      </c>
      <c r="G93" s="105">
        <v>0.99</v>
      </c>
      <c r="H93" s="105">
        <v>0.51</v>
      </c>
      <c r="I93" s="105">
        <v>0.16</v>
      </c>
    </row>
    <row r="94" spans="1:9" x14ac:dyDescent="0.25">
      <c r="A94" s="104">
        <v>87</v>
      </c>
      <c r="B94" s="105">
        <v>5.4</v>
      </c>
      <c r="C94" s="105">
        <v>0.94</v>
      </c>
      <c r="D94" s="105">
        <v>0.49</v>
      </c>
      <c r="E94" s="105">
        <v>0.15</v>
      </c>
      <c r="F94" s="105">
        <v>5.4</v>
      </c>
      <c r="G94" s="105">
        <v>0.94</v>
      </c>
      <c r="H94" s="105">
        <v>0.45</v>
      </c>
      <c r="I94" s="105">
        <v>0.14000000000000001</v>
      </c>
    </row>
    <row r="95" spans="1:9" x14ac:dyDescent="0.25">
      <c r="A95" s="104">
        <v>88</v>
      </c>
      <c r="B95" s="105">
        <v>5</v>
      </c>
      <c r="C95" s="105">
        <v>0.9</v>
      </c>
      <c r="D95" s="105">
        <v>0.43</v>
      </c>
      <c r="E95" s="105">
        <v>0.13</v>
      </c>
      <c r="F95" s="105">
        <v>5</v>
      </c>
      <c r="G95" s="105">
        <v>0.9</v>
      </c>
      <c r="H95" s="105">
        <v>0.39</v>
      </c>
      <c r="I95" s="105">
        <v>0.13</v>
      </c>
    </row>
    <row r="96" spans="1:9" x14ac:dyDescent="0.25">
      <c r="A96" s="104">
        <v>89</v>
      </c>
      <c r="B96" s="105">
        <v>4.63</v>
      </c>
      <c r="C96" s="105">
        <v>0.72</v>
      </c>
      <c r="D96" s="105">
        <v>0.36</v>
      </c>
      <c r="E96" s="105">
        <v>0.11</v>
      </c>
      <c r="F96" s="105">
        <v>4.63</v>
      </c>
      <c r="G96" s="105">
        <v>0.72</v>
      </c>
      <c r="H96" s="105">
        <v>0.34</v>
      </c>
      <c r="I96" s="105">
        <v>0.11</v>
      </c>
    </row>
    <row r="97" spans="1:9" x14ac:dyDescent="0.25">
      <c r="A97" s="104">
        <v>90</v>
      </c>
      <c r="B97" s="105">
        <v>4.2699999999999996</v>
      </c>
      <c r="C97" s="105">
        <v>0.55000000000000004</v>
      </c>
      <c r="D97" s="105">
        <v>0.3</v>
      </c>
      <c r="E97" s="105">
        <v>0.09</v>
      </c>
      <c r="F97" s="105">
        <v>4.2699999999999996</v>
      </c>
      <c r="G97" s="105">
        <v>0.55000000000000004</v>
      </c>
      <c r="H97" s="105">
        <v>0.3</v>
      </c>
      <c r="I97" s="105">
        <v>0.09</v>
      </c>
    </row>
    <row r="98" spans="1:9" x14ac:dyDescent="0.25">
      <c r="A98" s="104">
        <v>91</v>
      </c>
      <c r="B98" s="105">
        <v>3.95</v>
      </c>
      <c r="C98" s="105">
        <v>0.52</v>
      </c>
      <c r="D98" s="105">
        <v>0.26</v>
      </c>
      <c r="E98" s="105">
        <v>0.08</v>
      </c>
      <c r="F98" s="105">
        <v>3.95</v>
      </c>
      <c r="G98" s="105">
        <v>0.52</v>
      </c>
      <c r="H98" s="105">
        <v>0.26</v>
      </c>
      <c r="I98" s="105">
        <v>0.08</v>
      </c>
    </row>
    <row r="99" spans="1:9" x14ac:dyDescent="0.25">
      <c r="A99" s="104">
        <v>92</v>
      </c>
      <c r="B99" s="105">
        <v>3.65</v>
      </c>
      <c r="C99" s="105">
        <v>0.48</v>
      </c>
      <c r="D99" s="105">
        <v>0.23</v>
      </c>
      <c r="E99" s="105">
        <v>7.0000000000000007E-2</v>
      </c>
      <c r="F99" s="105">
        <v>3.65</v>
      </c>
      <c r="G99" s="105">
        <v>0.48</v>
      </c>
      <c r="H99" s="105">
        <v>0.23</v>
      </c>
      <c r="I99" s="105">
        <v>7.0000000000000007E-2</v>
      </c>
    </row>
    <row r="100" spans="1:9" x14ac:dyDescent="0.25">
      <c r="A100" s="104">
        <v>93</v>
      </c>
      <c r="B100" s="105">
        <v>3.37</v>
      </c>
      <c r="C100" s="105">
        <v>0.45</v>
      </c>
      <c r="D100" s="105">
        <v>0.2</v>
      </c>
      <c r="E100" s="105">
        <v>0.06</v>
      </c>
      <c r="F100" s="105">
        <v>3.37</v>
      </c>
      <c r="G100" s="105">
        <v>0.45</v>
      </c>
      <c r="H100" s="105">
        <v>0.2</v>
      </c>
      <c r="I100" s="105">
        <v>0.06</v>
      </c>
    </row>
    <row r="101" spans="1:9" x14ac:dyDescent="0.25">
      <c r="A101" s="104">
        <v>94</v>
      </c>
      <c r="B101" s="105">
        <v>3.13</v>
      </c>
      <c r="C101" s="105">
        <v>0.42</v>
      </c>
      <c r="D101" s="105">
        <v>0.17</v>
      </c>
      <c r="E101" s="105">
        <v>0.05</v>
      </c>
      <c r="F101" s="105">
        <v>3.13</v>
      </c>
      <c r="G101" s="105">
        <v>0.42</v>
      </c>
      <c r="H101" s="105">
        <v>0.17</v>
      </c>
      <c r="I101" s="105">
        <v>0.05</v>
      </c>
    </row>
    <row r="102" spans="1:9" x14ac:dyDescent="0.25">
      <c r="A102" s="104">
        <v>95</v>
      </c>
      <c r="B102" s="105">
        <v>2.9</v>
      </c>
      <c r="C102" s="105">
        <v>0.4</v>
      </c>
      <c r="D102" s="105">
        <v>0.15</v>
      </c>
      <c r="E102" s="105">
        <v>0.05</v>
      </c>
      <c r="F102" s="105">
        <v>2.9</v>
      </c>
      <c r="G102" s="105">
        <v>0.4</v>
      </c>
      <c r="H102" s="105">
        <v>0.15</v>
      </c>
      <c r="I102" s="105">
        <v>0.05</v>
      </c>
    </row>
    <row r="103" spans="1:9" x14ac:dyDescent="0.25">
      <c r="A103" s="104">
        <v>96</v>
      </c>
      <c r="B103" s="105">
        <v>2.7</v>
      </c>
      <c r="C103" s="105">
        <v>0.37</v>
      </c>
      <c r="D103" s="105">
        <v>0.13</v>
      </c>
      <c r="E103" s="105">
        <v>0.04</v>
      </c>
      <c r="F103" s="105">
        <v>2.7</v>
      </c>
      <c r="G103" s="105">
        <v>0.37</v>
      </c>
      <c r="H103" s="105">
        <v>0.13</v>
      </c>
      <c r="I103" s="105">
        <v>0.04</v>
      </c>
    </row>
    <row r="104" spans="1:9" x14ac:dyDescent="0.25">
      <c r="A104" s="104">
        <v>97</v>
      </c>
      <c r="B104" s="105">
        <v>2.5299999999999998</v>
      </c>
      <c r="C104" s="105">
        <v>0.35</v>
      </c>
      <c r="D104" s="105">
        <v>0.12</v>
      </c>
      <c r="E104" s="105">
        <v>0.04</v>
      </c>
      <c r="F104" s="105">
        <v>2.5299999999999998</v>
      </c>
      <c r="G104" s="105">
        <v>0.35</v>
      </c>
      <c r="H104" s="105">
        <v>0.12</v>
      </c>
      <c r="I104" s="105">
        <v>0.04</v>
      </c>
    </row>
    <row r="105" spans="1:9" x14ac:dyDescent="0.25">
      <c r="A105" s="104">
        <v>98</v>
      </c>
      <c r="B105" s="105">
        <v>2.37</v>
      </c>
      <c r="C105" s="105">
        <v>0.32</v>
      </c>
      <c r="D105" s="105">
        <v>0.1</v>
      </c>
      <c r="E105" s="105">
        <v>0.03</v>
      </c>
      <c r="F105" s="105">
        <v>2.37</v>
      </c>
      <c r="G105" s="105">
        <v>0.32</v>
      </c>
      <c r="H105" s="105">
        <v>0.1</v>
      </c>
      <c r="I105" s="105">
        <v>0.03</v>
      </c>
    </row>
  </sheetData>
  <sheetProtection algorithmName="SHA-512" hashValue="/1gI7zyY5DktJwGdQa/4bIr4+qz5ocibWd7yZyBI/8ZTBBaVsZUduv63iG3qoAIROtklzDbU45cesMfvLuCtDQ==" saltValue="vZPyunnU0R9IV2nlHk7K5g==" spinCount="100000" sheet="1" objects="1" scenarios="1"/>
  <conditionalFormatting sqref="A6:A21">
    <cfRule type="expression" dxfId="1227" priority="1" stopIfTrue="1">
      <formula>MOD(ROW(),2)=0</formula>
    </cfRule>
    <cfRule type="expression" dxfId="1226" priority="2" stopIfTrue="1">
      <formula>MOD(ROW(),2)&lt;&gt;0</formula>
    </cfRule>
  </conditionalFormatting>
  <conditionalFormatting sqref="A26:A105">
    <cfRule type="expression" dxfId="1225" priority="9" stopIfTrue="1">
      <formula>MOD(ROW(),2)=0</formula>
    </cfRule>
    <cfRule type="expression" dxfId="1224" priority="10" stopIfTrue="1">
      <formula>MOD(ROW(),2)&lt;&gt;0</formula>
    </cfRule>
  </conditionalFormatting>
  <conditionalFormatting sqref="B12">
    <cfRule type="expression" dxfId="1223" priority="13" stopIfTrue="1">
      <formula>MOD(ROW(),2)=0</formula>
    </cfRule>
    <cfRule type="expression" dxfId="1222" priority="14" stopIfTrue="1">
      <formula>MOD(ROW(),2)&lt;&gt;0</formula>
    </cfRule>
  </conditionalFormatting>
  <conditionalFormatting sqref="B17:B21">
    <cfRule type="expression" dxfId="1221" priority="3" stopIfTrue="1">
      <formula>MOD(ROW(),2)=0</formula>
    </cfRule>
    <cfRule type="expression" dxfId="1220" priority="4" stopIfTrue="1">
      <formula>MOD(ROW(),2)&lt;&gt;0</formula>
    </cfRule>
  </conditionalFormatting>
  <conditionalFormatting sqref="B6:I6 C7:I7 C12:I12 B13:I16 C17:I20">
    <cfRule type="expression" dxfId="1219" priority="43" stopIfTrue="1">
      <formula>MOD(ROW(),2)=0</formula>
    </cfRule>
    <cfRule type="expression" dxfId="1218" priority="44" stopIfTrue="1">
      <formula>MOD(ROW(),2)&lt;&gt;0</formula>
    </cfRule>
  </conditionalFormatting>
  <conditionalFormatting sqref="B6:I21">
    <cfRule type="expression" dxfId="1217" priority="29" stopIfTrue="1">
      <formula>MOD(ROW(),2)=0</formula>
    </cfRule>
    <cfRule type="expression" dxfId="1216" priority="30" stopIfTrue="1">
      <formula>MOD(ROW(),2)&lt;&gt;0</formula>
    </cfRule>
  </conditionalFormatting>
  <conditionalFormatting sqref="B8:I11">
    <cfRule type="expression" dxfId="1215" priority="31" stopIfTrue="1">
      <formula>MOD(ROW(),2)=0</formula>
    </cfRule>
    <cfRule type="expression" dxfId="1214" priority="32" stopIfTrue="1">
      <formula>MOD(ROW(),2)&lt;&gt;0</formula>
    </cfRule>
  </conditionalFormatting>
  <conditionalFormatting sqref="B26:I105">
    <cfRule type="expression" dxfId="1213" priority="11" stopIfTrue="1">
      <formula>MOD(ROW(),2)=0</formula>
    </cfRule>
    <cfRule type="expression" dxfId="1212" priority="12" stopIfTrue="1">
      <formula>MOD(ROW(),2)&lt;&gt;0</formula>
    </cfRule>
  </conditionalFormatting>
  <conditionalFormatting sqref="C21:I21">
    <cfRule type="expression" dxfId="1211" priority="5" stopIfTrue="1">
      <formula>MOD(ROW(),2)=0</formula>
    </cfRule>
    <cfRule type="expression" dxfId="1210" priority="6" stopIfTrue="1">
      <formula>MOD(ROW(),2)&lt;&gt;0</formula>
    </cfRule>
  </conditionalFormatting>
  <hyperlinks>
    <hyperlink ref="B24" location="Sheet1!A1" display="Assumptions" xr:uid="{3D681AFE-0982-496F-BA35-6CBCC65E92A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K75"/>
  <sheetViews>
    <sheetView showGridLines="0" zoomScale="85" zoomScaleNormal="85" workbookViewId="0">
      <selection activeCell="A4" sqref="A4"/>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39" t="s">
        <v>0</v>
      </c>
      <c r="B1" s="40"/>
      <c r="C1" s="40"/>
      <c r="D1" s="40"/>
      <c r="E1" s="40"/>
      <c r="F1" s="40"/>
      <c r="G1" s="40"/>
      <c r="H1" s="40"/>
      <c r="I1" s="40"/>
    </row>
    <row r="2" spans="1:11"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1" ht="15.6" x14ac:dyDescent="0.3">
      <c r="A3" s="43" t="str">
        <f>TABLE_FACTOR_TYPE_1&amp;" - x-"&amp;TABLE_SERIES_NUMBER_1</f>
        <v>Pensioner CE - x-303</v>
      </c>
      <c r="B3" s="42"/>
      <c r="C3" s="42"/>
      <c r="D3" s="42"/>
      <c r="E3" s="42"/>
      <c r="F3" s="42"/>
      <c r="G3" s="42"/>
      <c r="H3" s="42"/>
      <c r="I3" s="42"/>
    </row>
    <row r="4" spans="1:11" x14ac:dyDescent="0.25">
      <c r="A4" s="44"/>
    </row>
    <row r="6" spans="1:11" x14ac:dyDescent="0.25">
      <c r="A6" s="76" t="s">
        <v>290</v>
      </c>
      <c r="B6" s="129" t="s">
        <v>291</v>
      </c>
      <c r="C6" s="129"/>
      <c r="D6" s="129"/>
      <c r="E6" s="129"/>
      <c r="F6" s="129"/>
      <c r="G6" s="129"/>
      <c r="H6" s="129"/>
      <c r="I6" s="129"/>
      <c r="J6" s="129"/>
      <c r="K6" s="129"/>
    </row>
    <row r="7" spans="1:11" x14ac:dyDescent="0.25">
      <c r="A7" s="77" t="s">
        <v>804</v>
      </c>
      <c r="B7" s="129" t="s">
        <v>345</v>
      </c>
      <c r="C7" s="129"/>
      <c r="D7" s="129"/>
      <c r="E7" s="129"/>
      <c r="F7" s="129"/>
      <c r="G7" s="129"/>
      <c r="H7" s="129"/>
      <c r="I7" s="129"/>
      <c r="J7" s="129"/>
      <c r="K7" s="129"/>
    </row>
    <row r="8" spans="1:11" x14ac:dyDescent="0.25">
      <c r="A8" s="77" t="s">
        <v>805</v>
      </c>
      <c r="B8" s="129" t="s">
        <v>396</v>
      </c>
      <c r="C8" s="129"/>
      <c r="D8" s="129"/>
      <c r="E8" s="129"/>
      <c r="F8" s="129"/>
      <c r="G8" s="129"/>
      <c r="H8" s="129"/>
      <c r="I8" s="129"/>
      <c r="J8" s="129"/>
      <c r="K8" s="129"/>
    </row>
    <row r="9" spans="1:11" x14ac:dyDescent="0.25">
      <c r="A9" s="77" t="s">
        <v>296</v>
      </c>
      <c r="B9" s="129" t="s">
        <v>389</v>
      </c>
      <c r="C9" s="129"/>
      <c r="D9" s="129"/>
      <c r="E9" s="129"/>
      <c r="F9" s="129"/>
      <c r="G9" s="129"/>
      <c r="H9" s="129"/>
      <c r="I9" s="129"/>
      <c r="J9" s="129"/>
      <c r="K9" s="129"/>
    </row>
    <row r="10" spans="1:11" x14ac:dyDescent="0.25">
      <c r="A10" s="77" t="s">
        <v>6</v>
      </c>
      <c r="B10" s="129" t="s">
        <v>397</v>
      </c>
      <c r="C10" s="129"/>
      <c r="D10" s="129"/>
      <c r="E10" s="129"/>
      <c r="F10" s="129"/>
      <c r="G10" s="129"/>
      <c r="H10" s="129"/>
      <c r="I10" s="129"/>
      <c r="J10" s="129"/>
      <c r="K10" s="129"/>
    </row>
    <row r="11" spans="1:11" x14ac:dyDescent="0.25">
      <c r="A11" s="77" t="s">
        <v>299</v>
      </c>
      <c r="B11" s="129" t="s">
        <v>327</v>
      </c>
      <c r="C11" s="129"/>
      <c r="D11" s="129"/>
      <c r="E11" s="129"/>
      <c r="F11" s="129"/>
      <c r="G11" s="129"/>
      <c r="H11" s="129"/>
      <c r="I11" s="129"/>
      <c r="J11" s="129"/>
      <c r="K11" s="129"/>
    </row>
    <row r="12" spans="1:11" x14ac:dyDescent="0.25">
      <c r="A12" s="77" t="s">
        <v>301</v>
      </c>
      <c r="B12" s="129" t="s">
        <v>328</v>
      </c>
      <c r="C12" s="129"/>
      <c r="D12" s="129"/>
      <c r="E12" s="129"/>
      <c r="F12" s="129"/>
      <c r="G12" s="129"/>
      <c r="H12" s="129"/>
      <c r="I12" s="129"/>
      <c r="J12" s="129"/>
      <c r="K12" s="129"/>
    </row>
    <row r="13" spans="1:11" x14ac:dyDescent="0.25">
      <c r="A13" s="77" t="s">
        <v>806</v>
      </c>
      <c r="B13" s="129">
        <v>1</v>
      </c>
      <c r="C13" s="129"/>
      <c r="D13" s="129"/>
      <c r="E13" s="129"/>
      <c r="F13" s="129"/>
      <c r="G13" s="129"/>
      <c r="H13" s="129"/>
      <c r="I13" s="129"/>
      <c r="J13" s="129"/>
      <c r="K13" s="129"/>
    </row>
    <row r="14" spans="1:11" x14ac:dyDescent="0.25">
      <c r="A14" s="77" t="s">
        <v>305</v>
      </c>
      <c r="B14" s="129">
        <v>303</v>
      </c>
      <c r="C14" s="129"/>
      <c r="D14" s="129"/>
      <c r="E14" s="129"/>
      <c r="F14" s="129"/>
      <c r="G14" s="129"/>
      <c r="H14" s="129"/>
      <c r="I14" s="129"/>
      <c r="J14" s="129"/>
      <c r="K14" s="129"/>
    </row>
    <row r="15" spans="1:11" x14ac:dyDescent="0.25">
      <c r="A15" s="77" t="s">
        <v>307</v>
      </c>
      <c r="B15" s="129" t="s">
        <v>398</v>
      </c>
      <c r="C15" s="129"/>
      <c r="D15" s="129"/>
      <c r="E15" s="129"/>
      <c r="F15" s="129"/>
      <c r="G15" s="129"/>
      <c r="H15" s="129"/>
      <c r="I15" s="129"/>
      <c r="J15" s="129"/>
      <c r="K15" s="129"/>
    </row>
    <row r="16" spans="1:11" x14ac:dyDescent="0.25">
      <c r="A16" s="77" t="s">
        <v>309</v>
      </c>
      <c r="B16" s="129" t="s">
        <v>399</v>
      </c>
      <c r="C16" s="129"/>
      <c r="D16" s="129"/>
      <c r="E16" s="129"/>
      <c r="F16" s="129"/>
      <c r="G16" s="129"/>
      <c r="H16" s="129"/>
      <c r="I16" s="129"/>
      <c r="J16" s="129"/>
      <c r="K16" s="129"/>
    </row>
    <row r="17" spans="1:11" x14ac:dyDescent="0.25">
      <c r="A17" s="77" t="s">
        <v>803</v>
      </c>
      <c r="B17" s="129"/>
      <c r="C17" s="129"/>
      <c r="D17" s="129"/>
      <c r="E17" s="129"/>
      <c r="F17" s="129"/>
      <c r="G17" s="129"/>
      <c r="H17" s="129"/>
      <c r="I17" s="129"/>
      <c r="J17" s="129"/>
      <c r="K17" s="129"/>
    </row>
    <row r="18" spans="1:11" x14ac:dyDescent="0.25">
      <c r="A18" s="77" t="s">
        <v>313</v>
      </c>
      <c r="B18" s="187">
        <v>45071</v>
      </c>
      <c r="C18" s="129"/>
      <c r="D18" s="129"/>
      <c r="E18" s="129"/>
      <c r="F18" s="129"/>
      <c r="G18" s="129"/>
      <c r="H18" s="129"/>
      <c r="I18" s="129"/>
      <c r="J18" s="129"/>
      <c r="K18" s="129"/>
    </row>
    <row r="19" spans="1:11" x14ac:dyDescent="0.25">
      <c r="A19" s="77" t="s">
        <v>315</v>
      </c>
      <c r="B19" s="187"/>
      <c r="C19" s="129"/>
      <c r="D19" s="129"/>
      <c r="E19" s="129"/>
      <c r="F19" s="129"/>
      <c r="G19" s="129"/>
      <c r="H19" s="129"/>
      <c r="I19" s="129"/>
      <c r="J19" s="129"/>
      <c r="K19" s="129"/>
    </row>
    <row r="20" spans="1:11" x14ac:dyDescent="0.25">
      <c r="A20" s="77" t="s">
        <v>317</v>
      </c>
      <c r="B20" s="129" t="s">
        <v>331</v>
      </c>
      <c r="C20" s="129"/>
      <c r="D20" s="129"/>
      <c r="E20" s="129"/>
      <c r="F20" s="129"/>
      <c r="G20" s="129"/>
      <c r="H20" s="129"/>
      <c r="I20" s="129"/>
      <c r="J20" s="129"/>
      <c r="K20" s="129"/>
    </row>
    <row r="21" spans="1:11" x14ac:dyDescent="0.25">
      <c r="A21" s="77" t="s">
        <v>323</v>
      </c>
      <c r="B21" s="129" t="s">
        <v>332</v>
      </c>
      <c r="C21" s="129"/>
      <c r="D21" s="129"/>
      <c r="E21" s="129"/>
      <c r="F21" s="129"/>
      <c r="G21" s="129"/>
      <c r="H21" s="129"/>
      <c r="I21" s="129"/>
      <c r="J21" s="129"/>
      <c r="K21" s="129"/>
    </row>
    <row r="23" spans="1:11" x14ac:dyDescent="0.25">
      <c r="B23" s="102" t="str">
        <f>HYPERLINK("#'Factor List'!A1","Back to Factor List")</f>
        <v>Back to Factor List</v>
      </c>
    </row>
    <row r="24" spans="1:11" x14ac:dyDescent="0.25">
      <c r="B24" s="102" t="s">
        <v>13</v>
      </c>
    </row>
    <row r="25" spans="1:11" x14ac:dyDescent="0.25">
      <c r="B25" s="102"/>
    </row>
    <row r="26" spans="1:11" ht="39.6" x14ac:dyDescent="0.25">
      <c r="A26" s="103" t="s">
        <v>373</v>
      </c>
      <c r="B26" s="103" t="s">
        <v>830</v>
      </c>
      <c r="C26" s="103" t="s">
        <v>831</v>
      </c>
      <c r="D26" s="103" t="s">
        <v>842</v>
      </c>
      <c r="E26" s="103" t="s">
        <v>832</v>
      </c>
      <c r="F26" s="103" t="s">
        <v>833</v>
      </c>
      <c r="G26" s="103" t="s">
        <v>834</v>
      </c>
      <c r="H26" s="103" t="s">
        <v>835</v>
      </c>
      <c r="I26" s="103" t="s">
        <v>843</v>
      </c>
      <c r="J26" s="103" t="s">
        <v>836</v>
      </c>
      <c r="K26" s="103" t="s">
        <v>841</v>
      </c>
    </row>
    <row r="27" spans="1:11" x14ac:dyDescent="0.25">
      <c r="A27" s="104">
        <v>50</v>
      </c>
      <c r="B27" s="105">
        <v>27.05</v>
      </c>
      <c r="C27" s="105">
        <v>2.27</v>
      </c>
      <c r="D27" s="105">
        <v>0</v>
      </c>
      <c r="E27" s="105"/>
      <c r="F27" s="105"/>
      <c r="G27" s="105">
        <v>27.05</v>
      </c>
      <c r="H27" s="105">
        <v>2.27</v>
      </c>
      <c r="I27" s="105">
        <v>0</v>
      </c>
      <c r="J27" s="105"/>
      <c r="K27" s="105"/>
    </row>
    <row r="28" spans="1:11" x14ac:dyDescent="0.25">
      <c r="A28" s="104">
        <v>51</v>
      </c>
      <c r="B28" s="105">
        <v>26.5</v>
      </c>
      <c r="C28" s="105">
        <v>2.29</v>
      </c>
      <c r="D28" s="105">
        <v>0</v>
      </c>
      <c r="E28" s="105"/>
      <c r="F28" s="105"/>
      <c r="G28" s="105">
        <v>26.5</v>
      </c>
      <c r="H28" s="105">
        <v>2.29</v>
      </c>
      <c r="I28" s="105">
        <v>0</v>
      </c>
      <c r="J28" s="105"/>
      <c r="K28" s="105"/>
    </row>
    <row r="29" spans="1:11" x14ac:dyDescent="0.25">
      <c r="A29" s="104">
        <v>52</v>
      </c>
      <c r="B29" s="105">
        <v>25.94</v>
      </c>
      <c r="C29" s="105">
        <v>2.31</v>
      </c>
      <c r="D29" s="105">
        <v>0</v>
      </c>
      <c r="E29" s="105"/>
      <c r="F29" s="105"/>
      <c r="G29" s="105">
        <v>25.94</v>
      </c>
      <c r="H29" s="105">
        <v>2.31</v>
      </c>
      <c r="I29" s="105">
        <v>0</v>
      </c>
      <c r="J29" s="105"/>
      <c r="K29" s="105"/>
    </row>
    <row r="30" spans="1:11" x14ac:dyDescent="0.25">
      <c r="A30" s="104">
        <v>53</v>
      </c>
      <c r="B30" s="105">
        <v>25.37</v>
      </c>
      <c r="C30" s="105">
        <v>2.33</v>
      </c>
      <c r="D30" s="105">
        <v>0</v>
      </c>
      <c r="E30" s="105"/>
      <c r="F30" s="105"/>
      <c r="G30" s="105">
        <v>25.37</v>
      </c>
      <c r="H30" s="105">
        <v>2.33</v>
      </c>
      <c r="I30" s="105">
        <v>0</v>
      </c>
      <c r="J30" s="105"/>
      <c r="K30" s="105"/>
    </row>
    <row r="31" spans="1:11" x14ac:dyDescent="0.25">
      <c r="A31" s="104">
        <v>54</v>
      </c>
      <c r="B31" s="105">
        <v>24.8</v>
      </c>
      <c r="C31" s="105">
        <v>2.35</v>
      </c>
      <c r="D31" s="105">
        <v>0</v>
      </c>
      <c r="E31" s="105"/>
      <c r="F31" s="105"/>
      <c r="G31" s="105">
        <v>24.8</v>
      </c>
      <c r="H31" s="105">
        <v>2.35</v>
      </c>
      <c r="I31" s="105">
        <v>0</v>
      </c>
      <c r="J31" s="105"/>
      <c r="K31" s="105"/>
    </row>
    <row r="32" spans="1:11" x14ac:dyDescent="0.25">
      <c r="A32" s="104">
        <v>55</v>
      </c>
      <c r="B32" s="105">
        <v>24.22</v>
      </c>
      <c r="C32" s="105">
        <v>2.37</v>
      </c>
      <c r="D32" s="105">
        <v>0</v>
      </c>
      <c r="E32" s="105"/>
      <c r="F32" s="105"/>
      <c r="G32" s="105">
        <v>24.22</v>
      </c>
      <c r="H32" s="105">
        <v>2.37</v>
      </c>
      <c r="I32" s="105">
        <v>0</v>
      </c>
      <c r="J32" s="105"/>
      <c r="K32" s="105"/>
    </row>
    <row r="33" spans="1:11" x14ac:dyDescent="0.25">
      <c r="A33" s="104">
        <v>56</v>
      </c>
      <c r="B33" s="105">
        <v>23.63</v>
      </c>
      <c r="C33" s="105">
        <v>2.38</v>
      </c>
      <c r="D33" s="105">
        <v>0</v>
      </c>
      <c r="E33" s="105"/>
      <c r="F33" s="105"/>
      <c r="G33" s="105">
        <v>23.63</v>
      </c>
      <c r="H33" s="105">
        <v>2.38</v>
      </c>
      <c r="I33" s="105">
        <v>0</v>
      </c>
      <c r="J33" s="105"/>
      <c r="K33" s="105"/>
    </row>
    <row r="34" spans="1:11" x14ac:dyDescent="0.25">
      <c r="A34" s="104">
        <v>57</v>
      </c>
      <c r="B34" s="105">
        <v>23.04</v>
      </c>
      <c r="C34" s="105">
        <v>2.4</v>
      </c>
      <c r="D34" s="105">
        <v>0</v>
      </c>
      <c r="E34" s="105"/>
      <c r="F34" s="105"/>
      <c r="G34" s="105">
        <v>23.04</v>
      </c>
      <c r="H34" s="105">
        <v>2.4</v>
      </c>
      <c r="I34" s="105">
        <v>0</v>
      </c>
      <c r="J34" s="105"/>
      <c r="K34" s="105"/>
    </row>
    <row r="35" spans="1:11" x14ac:dyDescent="0.25">
      <c r="A35" s="104">
        <v>58</v>
      </c>
      <c r="B35" s="105">
        <v>22.44</v>
      </c>
      <c r="C35" s="105">
        <v>2.42</v>
      </c>
      <c r="D35" s="105">
        <v>0</v>
      </c>
      <c r="E35" s="105"/>
      <c r="F35" s="105"/>
      <c r="G35" s="105">
        <v>22.44</v>
      </c>
      <c r="H35" s="105">
        <v>2.42</v>
      </c>
      <c r="I35" s="105">
        <v>0</v>
      </c>
      <c r="J35" s="105"/>
      <c r="K35" s="105"/>
    </row>
    <row r="36" spans="1:11" x14ac:dyDescent="0.25">
      <c r="A36" s="104">
        <v>59</v>
      </c>
      <c r="B36" s="105">
        <v>21.83</v>
      </c>
      <c r="C36" s="105">
        <v>2.4300000000000002</v>
      </c>
      <c r="D36" s="105">
        <v>0</v>
      </c>
      <c r="E36" s="105"/>
      <c r="F36" s="105"/>
      <c r="G36" s="105">
        <v>21.83</v>
      </c>
      <c r="H36" s="105">
        <v>2.4300000000000002</v>
      </c>
      <c r="I36" s="105">
        <v>0</v>
      </c>
      <c r="J36" s="105"/>
      <c r="K36" s="105"/>
    </row>
    <row r="37" spans="1:11" x14ac:dyDescent="0.25">
      <c r="A37" s="104">
        <v>60</v>
      </c>
      <c r="B37" s="105">
        <v>21.21</v>
      </c>
      <c r="C37" s="105">
        <v>2.4500000000000002</v>
      </c>
      <c r="D37" s="105">
        <v>0</v>
      </c>
      <c r="E37" s="105"/>
      <c r="F37" s="105"/>
      <c r="G37" s="105">
        <v>21.21</v>
      </c>
      <c r="H37" s="105">
        <v>2.4500000000000002</v>
      </c>
      <c r="I37" s="105">
        <v>0</v>
      </c>
      <c r="J37" s="105"/>
      <c r="K37" s="105"/>
    </row>
    <row r="38" spans="1:11" x14ac:dyDescent="0.25">
      <c r="A38" s="104">
        <v>61</v>
      </c>
      <c r="B38" s="105">
        <v>20.58</v>
      </c>
      <c r="C38" s="105">
        <v>2.46</v>
      </c>
      <c r="D38" s="105">
        <v>0</v>
      </c>
      <c r="E38" s="105"/>
      <c r="F38" s="105"/>
      <c r="G38" s="105">
        <v>20.58</v>
      </c>
      <c r="H38" s="105">
        <v>2.46</v>
      </c>
      <c r="I38" s="105">
        <v>0</v>
      </c>
      <c r="J38" s="105"/>
      <c r="K38" s="105"/>
    </row>
    <row r="39" spans="1:11" x14ac:dyDescent="0.25">
      <c r="A39" s="104">
        <v>62</v>
      </c>
      <c r="B39" s="105">
        <v>19.940000000000001</v>
      </c>
      <c r="C39" s="105">
        <v>2.4700000000000002</v>
      </c>
      <c r="D39" s="105">
        <v>0</v>
      </c>
      <c r="E39" s="105"/>
      <c r="F39" s="105"/>
      <c r="G39" s="105">
        <v>19.940000000000001</v>
      </c>
      <c r="H39" s="105">
        <v>2.4700000000000002</v>
      </c>
      <c r="I39" s="105">
        <v>0</v>
      </c>
      <c r="J39" s="105"/>
      <c r="K39" s="105"/>
    </row>
    <row r="40" spans="1:11" x14ac:dyDescent="0.25">
      <c r="A40" s="104">
        <v>63</v>
      </c>
      <c r="B40" s="105">
        <v>19.309999999999999</v>
      </c>
      <c r="C40" s="105">
        <v>2.48</v>
      </c>
      <c r="D40" s="105">
        <v>0</v>
      </c>
      <c r="E40" s="105"/>
      <c r="F40" s="105"/>
      <c r="G40" s="105">
        <v>19.309999999999999</v>
      </c>
      <c r="H40" s="105">
        <v>2.48</v>
      </c>
      <c r="I40" s="105">
        <v>0</v>
      </c>
      <c r="J40" s="105"/>
      <c r="K40" s="105"/>
    </row>
    <row r="41" spans="1:11" x14ac:dyDescent="0.25">
      <c r="A41" s="104">
        <v>64</v>
      </c>
      <c r="B41" s="105">
        <v>18.670000000000002</v>
      </c>
      <c r="C41" s="105">
        <v>2.4700000000000002</v>
      </c>
      <c r="D41" s="105">
        <v>0</v>
      </c>
      <c r="E41" s="105"/>
      <c r="F41" s="105"/>
      <c r="G41" s="105">
        <v>18.670000000000002</v>
      </c>
      <c r="H41" s="105">
        <v>2.4700000000000002</v>
      </c>
      <c r="I41" s="105">
        <v>0</v>
      </c>
      <c r="J41" s="105"/>
      <c r="K41" s="105"/>
    </row>
    <row r="42" spans="1:11" x14ac:dyDescent="0.25">
      <c r="A42" s="104">
        <v>65</v>
      </c>
      <c r="B42" s="105">
        <v>18.04</v>
      </c>
      <c r="C42" s="105">
        <v>2.46</v>
      </c>
      <c r="D42" s="105">
        <v>0</v>
      </c>
      <c r="E42" s="105"/>
      <c r="F42" s="105"/>
      <c r="G42" s="105">
        <v>18.04</v>
      </c>
      <c r="H42" s="105">
        <v>2.46</v>
      </c>
      <c r="I42" s="105">
        <v>0</v>
      </c>
      <c r="J42" s="105"/>
      <c r="K42" s="105"/>
    </row>
    <row r="43" spans="1:11" x14ac:dyDescent="0.25">
      <c r="A43" s="104">
        <v>66</v>
      </c>
      <c r="B43" s="105">
        <v>17.399999999999999</v>
      </c>
      <c r="C43" s="105">
        <v>2.46</v>
      </c>
      <c r="D43" s="105">
        <v>0</v>
      </c>
      <c r="E43" s="105"/>
      <c r="F43" s="105"/>
      <c r="G43" s="105">
        <v>17.399999999999999</v>
      </c>
      <c r="H43" s="105">
        <v>2.46</v>
      </c>
      <c r="I43" s="105">
        <v>0</v>
      </c>
      <c r="J43" s="105"/>
      <c r="K43" s="105"/>
    </row>
    <row r="44" spans="1:11" x14ac:dyDescent="0.25">
      <c r="A44" s="104">
        <v>67</v>
      </c>
      <c r="B44" s="105">
        <v>16.760000000000002</v>
      </c>
      <c r="C44" s="105">
        <v>2.46</v>
      </c>
      <c r="D44" s="105">
        <v>0</v>
      </c>
      <c r="E44" s="105"/>
      <c r="F44" s="105"/>
      <c r="G44" s="105">
        <v>16.760000000000002</v>
      </c>
      <c r="H44" s="105">
        <v>2.46</v>
      </c>
      <c r="I44" s="105">
        <v>0</v>
      </c>
      <c r="J44" s="105"/>
      <c r="K44" s="105"/>
    </row>
    <row r="45" spans="1:11" x14ac:dyDescent="0.25">
      <c r="A45" s="104">
        <v>68</v>
      </c>
      <c r="B45" s="105">
        <v>16.12</v>
      </c>
      <c r="C45" s="105">
        <v>2.4500000000000002</v>
      </c>
      <c r="D45" s="105">
        <v>0</v>
      </c>
      <c r="E45" s="105"/>
      <c r="F45" s="105"/>
      <c r="G45" s="105">
        <v>16.12</v>
      </c>
      <c r="H45" s="105">
        <v>2.4500000000000002</v>
      </c>
      <c r="I45" s="105">
        <v>0</v>
      </c>
      <c r="J45" s="105"/>
      <c r="K45" s="105"/>
    </row>
    <row r="46" spans="1:11" x14ac:dyDescent="0.25">
      <c r="A46" s="104">
        <v>69</v>
      </c>
      <c r="B46" s="105">
        <v>15.48</v>
      </c>
      <c r="C46" s="105">
        <v>2.39</v>
      </c>
      <c r="D46" s="105">
        <v>0</v>
      </c>
      <c r="E46" s="105">
        <v>3.11</v>
      </c>
      <c r="F46" s="105">
        <v>1.03</v>
      </c>
      <c r="G46" s="105">
        <v>15.48</v>
      </c>
      <c r="H46" s="105">
        <v>2.39</v>
      </c>
      <c r="I46" s="105">
        <v>0</v>
      </c>
      <c r="J46" s="105">
        <v>2.8</v>
      </c>
      <c r="K46" s="105">
        <v>0.97</v>
      </c>
    </row>
    <row r="47" spans="1:11" x14ac:dyDescent="0.25">
      <c r="A47" s="104">
        <v>70</v>
      </c>
      <c r="B47" s="105">
        <v>14.84</v>
      </c>
      <c r="C47" s="105">
        <v>2.33</v>
      </c>
      <c r="D47" s="105">
        <v>0</v>
      </c>
      <c r="E47" s="105">
        <v>2.9</v>
      </c>
      <c r="F47" s="105">
        <v>0.96</v>
      </c>
      <c r="G47" s="105">
        <v>14.84</v>
      </c>
      <c r="H47" s="105">
        <v>2.33</v>
      </c>
      <c r="I47" s="105">
        <v>0</v>
      </c>
      <c r="J47" s="105">
        <v>2.6</v>
      </c>
      <c r="K47" s="105">
        <v>0.9</v>
      </c>
    </row>
    <row r="48" spans="1:11" x14ac:dyDescent="0.25">
      <c r="A48" s="104">
        <v>71</v>
      </c>
      <c r="B48" s="105">
        <v>14.2</v>
      </c>
      <c r="C48" s="105">
        <v>2.3199999999999998</v>
      </c>
      <c r="D48" s="105">
        <v>0</v>
      </c>
      <c r="E48" s="105">
        <v>2.69</v>
      </c>
      <c r="F48" s="105">
        <v>0.89</v>
      </c>
      <c r="G48" s="105">
        <v>14.2</v>
      </c>
      <c r="H48" s="105">
        <v>2.3199999999999998</v>
      </c>
      <c r="I48" s="105">
        <v>0</v>
      </c>
      <c r="J48" s="105">
        <v>2.4</v>
      </c>
      <c r="K48" s="105">
        <v>0.83</v>
      </c>
    </row>
    <row r="49" spans="1:11" x14ac:dyDescent="0.25">
      <c r="A49" s="104">
        <v>72</v>
      </c>
      <c r="B49" s="105">
        <v>13.57</v>
      </c>
      <c r="C49" s="105">
        <v>2.2999999999999998</v>
      </c>
      <c r="D49" s="105">
        <v>0</v>
      </c>
      <c r="E49" s="105">
        <v>2.5</v>
      </c>
      <c r="F49" s="105">
        <v>0.82</v>
      </c>
      <c r="G49" s="105">
        <v>13.57</v>
      </c>
      <c r="H49" s="105">
        <v>2.2999999999999998</v>
      </c>
      <c r="I49" s="105">
        <v>0</v>
      </c>
      <c r="J49" s="105">
        <v>2.2200000000000002</v>
      </c>
      <c r="K49" s="105">
        <v>0.76</v>
      </c>
    </row>
    <row r="50" spans="1:11" x14ac:dyDescent="0.25">
      <c r="A50" s="104">
        <v>73</v>
      </c>
      <c r="B50" s="105">
        <v>12.94</v>
      </c>
      <c r="C50" s="105">
        <v>2.2799999999999998</v>
      </c>
      <c r="D50" s="105">
        <v>0</v>
      </c>
      <c r="E50" s="105">
        <v>2.31</v>
      </c>
      <c r="F50" s="105">
        <v>0.76</v>
      </c>
      <c r="G50" s="105">
        <v>12.94</v>
      </c>
      <c r="H50" s="105">
        <v>2.2799999999999998</v>
      </c>
      <c r="I50" s="105">
        <v>0</v>
      </c>
      <c r="J50" s="105">
        <v>2.04</v>
      </c>
      <c r="K50" s="105">
        <v>0.7</v>
      </c>
    </row>
    <row r="51" spans="1:11" x14ac:dyDescent="0.25">
      <c r="A51" s="104">
        <v>74</v>
      </c>
      <c r="B51" s="105">
        <v>12.31</v>
      </c>
      <c r="C51" s="105">
        <v>2.15</v>
      </c>
      <c r="D51" s="105">
        <v>0</v>
      </c>
      <c r="E51" s="105">
        <v>2.12</v>
      </c>
      <c r="F51" s="105">
        <v>0.69</v>
      </c>
      <c r="G51" s="105">
        <v>12.31</v>
      </c>
      <c r="H51" s="105">
        <v>2.15</v>
      </c>
      <c r="I51" s="105">
        <v>0</v>
      </c>
      <c r="J51" s="105">
        <v>1.87</v>
      </c>
      <c r="K51" s="105">
        <v>0.64</v>
      </c>
    </row>
    <row r="52" spans="1:11" x14ac:dyDescent="0.25">
      <c r="A52" s="104">
        <v>75</v>
      </c>
      <c r="B52" s="105">
        <v>11.69</v>
      </c>
      <c r="C52" s="105">
        <v>2.0099999999999998</v>
      </c>
      <c r="D52" s="105">
        <v>0</v>
      </c>
      <c r="E52" s="105">
        <v>1.93</v>
      </c>
      <c r="F52" s="105">
        <v>0.63</v>
      </c>
      <c r="G52" s="105">
        <v>11.69</v>
      </c>
      <c r="H52" s="105">
        <v>2.0099999999999998</v>
      </c>
      <c r="I52" s="105">
        <v>0</v>
      </c>
      <c r="J52" s="105">
        <v>1.71</v>
      </c>
      <c r="K52" s="105">
        <v>0.57999999999999996</v>
      </c>
    </row>
    <row r="53" spans="1:11" x14ac:dyDescent="0.25">
      <c r="A53" s="104">
        <v>76</v>
      </c>
      <c r="B53" s="105">
        <v>11.09</v>
      </c>
      <c r="C53" s="105">
        <v>1.99</v>
      </c>
      <c r="D53" s="105"/>
      <c r="E53" s="105">
        <v>1.77</v>
      </c>
      <c r="F53" s="105">
        <v>0.56999999999999995</v>
      </c>
      <c r="G53" s="105">
        <v>11.09</v>
      </c>
      <c r="H53" s="105">
        <v>1.99</v>
      </c>
      <c r="I53" s="105"/>
      <c r="J53" s="105">
        <v>1.56</v>
      </c>
      <c r="K53" s="105">
        <v>0.53</v>
      </c>
    </row>
    <row r="54" spans="1:11" x14ac:dyDescent="0.25">
      <c r="A54" s="104">
        <v>77</v>
      </c>
      <c r="B54" s="105">
        <v>10.49</v>
      </c>
      <c r="C54" s="105">
        <v>1.95</v>
      </c>
      <c r="D54" s="105"/>
      <c r="E54" s="105">
        <v>1.61</v>
      </c>
      <c r="F54" s="105">
        <v>0.52</v>
      </c>
      <c r="G54" s="105">
        <v>10.49</v>
      </c>
      <c r="H54" s="105">
        <v>1.95</v>
      </c>
      <c r="I54" s="105"/>
      <c r="J54" s="105">
        <v>1.41</v>
      </c>
      <c r="K54" s="105">
        <v>0.48</v>
      </c>
    </row>
    <row r="55" spans="1:11" x14ac:dyDescent="0.25">
      <c r="A55" s="104">
        <v>78</v>
      </c>
      <c r="B55" s="105">
        <v>9.9</v>
      </c>
      <c r="C55" s="105">
        <v>1.92</v>
      </c>
      <c r="D55" s="105"/>
      <c r="E55" s="105">
        <v>1.47</v>
      </c>
      <c r="F55" s="105">
        <v>0.47</v>
      </c>
      <c r="G55" s="105">
        <v>9.9</v>
      </c>
      <c r="H55" s="105">
        <v>1.92</v>
      </c>
      <c r="I55" s="105"/>
      <c r="J55" s="105">
        <v>1.28</v>
      </c>
      <c r="K55" s="105">
        <v>0.43</v>
      </c>
    </row>
    <row r="56" spans="1:11" x14ac:dyDescent="0.25">
      <c r="A56" s="104">
        <v>79</v>
      </c>
      <c r="B56" s="105">
        <v>9.33</v>
      </c>
      <c r="C56" s="105">
        <v>1.73</v>
      </c>
      <c r="D56" s="105"/>
      <c r="E56" s="105">
        <v>1.31</v>
      </c>
      <c r="F56" s="105">
        <v>0.42</v>
      </c>
      <c r="G56" s="105">
        <v>9.33</v>
      </c>
      <c r="H56" s="105">
        <v>1.73</v>
      </c>
      <c r="I56" s="105"/>
      <c r="J56" s="105">
        <v>1.1499999999999999</v>
      </c>
      <c r="K56" s="105">
        <v>0.38</v>
      </c>
    </row>
    <row r="57" spans="1:11" x14ac:dyDescent="0.25">
      <c r="A57" s="104">
        <v>80</v>
      </c>
      <c r="B57" s="105">
        <v>8.77</v>
      </c>
      <c r="C57" s="105">
        <v>1.54</v>
      </c>
      <c r="D57" s="105"/>
      <c r="E57" s="105">
        <v>1.1599999999999999</v>
      </c>
      <c r="F57" s="105">
        <v>0.37</v>
      </c>
      <c r="G57" s="105">
        <v>8.77</v>
      </c>
      <c r="H57" s="105">
        <v>1.54</v>
      </c>
      <c r="I57" s="105"/>
      <c r="J57" s="105">
        <v>1.04</v>
      </c>
      <c r="K57" s="105">
        <v>0.34</v>
      </c>
    </row>
    <row r="58" spans="1:11" x14ac:dyDescent="0.25">
      <c r="A58" s="104">
        <v>81</v>
      </c>
      <c r="B58" s="105">
        <v>8.23</v>
      </c>
      <c r="C58" s="105">
        <v>1.5</v>
      </c>
      <c r="D58" s="105"/>
      <c r="E58" s="105">
        <v>1.05</v>
      </c>
      <c r="F58" s="105">
        <v>0.33</v>
      </c>
      <c r="G58" s="105">
        <v>8.23</v>
      </c>
      <c r="H58" s="105">
        <v>1.5</v>
      </c>
      <c r="I58" s="105"/>
      <c r="J58" s="105">
        <v>0.93</v>
      </c>
      <c r="K58" s="105">
        <v>0.31</v>
      </c>
    </row>
    <row r="59" spans="1:11" x14ac:dyDescent="0.25">
      <c r="A59" s="104">
        <v>82</v>
      </c>
      <c r="B59" s="105">
        <v>7.71</v>
      </c>
      <c r="C59" s="105">
        <v>1.45</v>
      </c>
      <c r="D59" s="105"/>
      <c r="E59" s="105">
        <v>0.94</v>
      </c>
      <c r="F59" s="105">
        <v>0.3</v>
      </c>
      <c r="G59" s="105">
        <v>7.71</v>
      </c>
      <c r="H59" s="105">
        <v>1.45</v>
      </c>
      <c r="I59" s="105"/>
      <c r="J59" s="105">
        <v>0.83</v>
      </c>
      <c r="K59" s="105">
        <v>0.27</v>
      </c>
    </row>
    <row r="60" spans="1:11" x14ac:dyDescent="0.25">
      <c r="A60" s="104">
        <v>83</v>
      </c>
      <c r="B60" s="105">
        <v>7.2</v>
      </c>
      <c r="C60" s="105">
        <v>1.4</v>
      </c>
      <c r="D60" s="105"/>
      <c r="E60" s="105">
        <v>0.84</v>
      </c>
      <c r="F60" s="105">
        <v>0.26</v>
      </c>
      <c r="G60" s="105">
        <v>7.2</v>
      </c>
      <c r="H60" s="105">
        <v>1.4</v>
      </c>
      <c r="I60" s="105"/>
      <c r="J60" s="105">
        <v>0.74</v>
      </c>
      <c r="K60" s="105">
        <v>0.24</v>
      </c>
    </row>
    <row r="61" spans="1:11" x14ac:dyDescent="0.25">
      <c r="A61" s="104">
        <v>84</v>
      </c>
      <c r="B61" s="105">
        <v>6.72</v>
      </c>
      <c r="C61" s="105">
        <v>1.21</v>
      </c>
      <c r="D61" s="105"/>
      <c r="E61" s="105">
        <v>0.73</v>
      </c>
      <c r="F61" s="105">
        <v>0.23</v>
      </c>
      <c r="G61" s="105">
        <v>6.72</v>
      </c>
      <c r="H61" s="105">
        <v>1.21</v>
      </c>
      <c r="I61" s="105"/>
      <c r="J61" s="105">
        <v>0.66</v>
      </c>
      <c r="K61" s="105">
        <v>0.21</v>
      </c>
    </row>
    <row r="62" spans="1:11" x14ac:dyDescent="0.25">
      <c r="A62" s="104">
        <v>85</v>
      </c>
      <c r="B62" s="105">
        <v>6.26</v>
      </c>
      <c r="C62" s="105">
        <v>1.02</v>
      </c>
      <c r="D62" s="105"/>
      <c r="E62" s="105">
        <v>0.63</v>
      </c>
      <c r="F62" s="105">
        <v>0.2</v>
      </c>
      <c r="G62" s="105">
        <v>6.26</v>
      </c>
      <c r="H62" s="105">
        <v>1.02</v>
      </c>
      <c r="I62" s="105"/>
      <c r="J62" s="105">
        <v>0.57999999999999996</v>
      </c>
      <c r="K62" s="105">
        <v>0.19</v>
      </c>
    </row>
    <row r="63" spans="1:11" x14ac:dyDescent="0.25">
      <c r="A63" s="104">
        <v>86</v>
      </c>
      <c r="B63" s="105">
        <v>5.82</v>
      </c>
      <c r="C63" s="105">
        <v>0.98</v>
      </c>
      <c r="D63" s="105"/>
      <c r="E63" s="105">
        <v>0.55000000000000004</v>
      </c>
      <c r="F63" s="105">
        <v>0.17</v>
      </c>
      <c r="G63" s="105">
        <v>5.82</v>
      </c>
      <c r="H63" s="105">
        <v>0.98</v>
      </c>
      <c r="I63" s="105"/>
      <c r="J63" s="105">
        <v>0.51</v>
      </c>
      <c r="K63" s="105">
        <v>0.16</v>
      </c>
    </row>
    <row r="64" spans="1:11" x14ac:dyDescent="0.25">
      <c r="A64" s="104">
        <v>87</v>
      </c>
      <c r="B64" s="105">
        <v>5.4</v>
      </c>
      <c r="C64" s="105">
        <v>0.94</v>
      </c>
      <c r="D64" s="105"/>
      <c r="E64" s="105">
        <v>0.49</v>
      </c>
      <c r="F64" s="105">
        <v>0.15</v>
      </c>
      <c r="G64" s="105">
        <v>5.4</v>
      </c>
      <c r="H64" s="105">
        <v>0.94</v>
      </c>
      <c r="I64" s="105"/>
      <c r="J64" s="105">
        <v>0.45</v>
      </c>
      <c r="K64" s="105">
        <v>0.14000000000000001</v>
      </c>
    </row>
    <row r="65" spans="1:11" x14ac:dyDescent="0.25">
      <c r="A65" s="104">
        <v>88</v>
      </c>
      <c r="B65" s="105">
        <v>5</v>
      </c>
      <c r="C65" s="105">
        <v>0.89</v>
      </c>
      <c r="D65" s="105"/>
      <c r="E65" s="105">
        <v>0.42</v>
      </c>
      <c r="F65" s="105">
        <v>0.13</v>
      </c>
      <c r="G65" s="105">
        <v>5</v>
      </c>
      <c r="H65" s="105">
        <v>0.89</v>
      </c>
      <c r="I65" s="105"/>
      <c r="J65" s="105">
        <v>0.39</v>
      </c>
      <c r="K65" s="105">
        <v>0.13</v>
      </c>
    </row>
    <row r="66" spans="1:11" x14ac:dyDescent="0.25">
      <c r="A66" s="104">
        <v>89</v>
      </c>
      <c r="B66" s="105">
        <v>4.63</v>
      </c>
      <c r="C66" s="105">
        <v>0.71</v>
      </c>
      <c r="D66" s="105"/>
      <c r="E66" s="105">
        <v>0.36</v>
      </c>
      <c r="F66" s="105">
        <v>0.11</v>
      </c>
      <c r="G66" s="105">
        <v>4.63</v>
      </c>
      <c r="H66" s="105">
        <v>0.71</v>
      </c>
      <c r="I66" s="105"/>
      <c r="J66" s="105">
        <v>0.34</v>
      </c>
      <c r="K66" s="105">
        <v>0.11</v>
      </c>
    </row>
    <row r="67" spans="1:11" x14ac:dyDescent="0.25">
      <c r="A67" s="104">
        <v>90</v>
      </c>
      <c r="B67" s="105">
        <v>4.2699999999999996</v>
      </c>
      <c r="C67" s="105">
        <v>0.54</v>
      </c>
      <c r="D67" s="105"/>
      <c r="E67" s="105">
        <v>0.3</v>
      </c>
      <c r="F67" s="105">
        <v>0.09</v>
      </c>
      <c r="G67" s="105">
        <v>4.2699999999999996</v>
      </c>
      <c r="H67" s="105">
        <v>0.54</v>
      </c>
      <c r="I67" s="105"/>
      <c r="J67" s="105">
        <v>0.3</v>
      </c>
      <c r="K67" s="105">
        <v>0.09</v>
      </c>
    </row>
    <row r="68" spans="1:11" x14ac:dyDescent="0.25">
      <c r="A68" s="104">
        <v>91</v>
      </c>
      <c r="B68" s="105">
        <v>3.95</v>
      </c>
      <c r="C68" s="105">
        <v>0.51</v>
      </c>
      <c r="D68" s="105"/>
      <c r="E68" s="105">
        <v>0.26</v>
      </c>
      <c r="F68" s="105">
        <v>0.08</v>
      </c>
      <c r="G68" s="105">
        <v>3.95</v>
      </c>
      <c r="H68" s="105">
        <v>0.51</v>
      </c>
      <c r="I68" s="105"/>
      <c r="J68" s="105">
        <v>0.26</v>
      </c>
      <c r="K68" s="105">
        <v>0.08</v>
      </c>
    </row>
    <row r="69" spans="1:11" x14ac:dyDescent="0.25">
      <c r="A69" s="104">
        <v>92</v>
      </c>
      <c r="B69" s="105">
        <v>3.65</v>
      </c>
      <c r="C69" s="105">
        <v>0.48</v>
      </c>
      <c r="D69" s="105"/>
      <c r="E69" s="105">
        <v>0.23</v>
      </c>
      <c r="F69" s="105">
        <v>7.0000000000000007E-2</v>
      </c>
      <c r="G69" s="105">
        <v>3.65</v>
      </c>
      <c r="H69" s="105">
        <v>0.48</v>
      </c>
      <c r="I69" s="105"/>
      <c r="J69" s="105">
        <v>0.23</v>
      </c>
      <c r="K69" s="105">
        <v>7.0000000000000007E-2</v>
      </c>
    </row>
    <row r="70" spans="1:11" x14ac:dyDescent="0.25">
      <c r="A70" s="104">
        <v>93</v>
      </c>
      <c r="B70" s="105">
        <v>3.37</v>
      </c>
      <c r="C70" s="105">
        <v>0.45</v>
      </c>
      <c r="D70" s="105"/>
      <c r="E70" s="105">
        <v>0.2</v>
      </c>
      <c r="F70" s="105">
        <v>0.06</v>
      </c>
      <c r="G70" s="105">
        <v>3.37</v>
      </c>
      <c r="H70" s="105">
        <v>0.45</v>
      </c>
      <c r="I70" s="105"/>
      <c r="J70" s="105">
        <v>0.2</v>
      </c>
      <c r="K70" s="105">
        <v>0.06</v>
      </c>
    </row>
    <row r="71" spans="1:11" x14ac:dyDescent="0.25">
      <c r="A71" s="104">
        <v>94</v>
      </c>
      <c r="B71" s="105">
        <v>3.13</v>
      </c>
      <c r="C71" s="105">
        <v>0.42</v>
      </c>
      <c r="D71" s="105"/>
      <c r="E71" s="105">
        <v>0.17</v>
      </c>
      <c r="F71" s="105">
        <v>0.05</v>
      </c>
      <c r="G71" s="105">
        <v>3.13</v>
      </c>
      <c r="H71" s="105">
        <v>0.42</v>
      </c>
      <c r="I71" s="105"/>
      <c r="J71" s="105">
        <v>0.17</v>
      </c>
      <c r="K71" s="105">
        <v>0.05</v>
      </c>
    </row>
    <row r="72" spans="1:11" x14ac:dyDescent="0.25">
      <c r="A72" s="104">
        <v>95</v>
      </c>
      <c r="B72" s="105">
        <v>2.9</v>
      </c>
      <c r="C72" s="105">
        <v>0.39</v>
      </c>
      <c r="D72" s="105"/>
      <c r="E72" s="105">
        <v>0.15</v>
      </c>
      <c r="F72" s="105">
        <v>0.05</v>
      </c>
      <c r="G72" s="105">
        <v>2.9</v>
      </c>
      <c r="H72" s="105">
        <v>0.39</v>
      </c>
      <c r="I72" s="105"/>
      <c r="J72" s="105">
        <v>0.15</v>
      </c>
      <c r="K72" s="105">
        <v>0.05</v>
      </c>
    </row>
    <row r="73" spans="1:11" x14ac:dyDescent="0.25">
      <c r="A73" s="104">
        <v>96</v>
      </c>
      <c r="B73" s="105">
        <v>2.7</v>
      </c>
      <c r="C73" s="105">
        <v>0.37</v>
      </c>
      <c r="D73" s="105"/>
      <c r="E73" s="105">
        <v>0.13</v>
      </c>
      <c r="F73" s="105">
        <v>0.04</v>
      </c>
      <c r="G73" s="105">
        <v>2.7</v>
      </c>
      <c r="H73" s="105">
        <v>0.37</v>
      </c>
      <c r="I73" s="105"/>
      <c r="J73" s="105">
        <v>0.13</v>
      </c>
      <c r="K73" s="105">
        <v>0.04</v>
      </c>
    </row>
    <row r="74" spans="1:11" x14ac:dyDescent="0.25">
      <c r="A74" s="104">
        <v>97</v>
      </c>
      <c r="B74" s="105">
        <v>2.5299999999999998</v>
      </c>
      <c r="C74" s="105">
        <v>0.34</v>
      </c>
      <c r="D74" s="105"/>
      <c r="E74" s="105">
        <v>0.12</v>
      </c>
      <c r="F74" s="105">
        <v>0.04</v>
      </c>
      <c r="G74" s="105">
        <v>2.5299999999999998</v>
      </c>
      <c r="H74" s="105">
        <v>0.34</v>
      </c>
      <c r="I74" s="105"/>
      <c r="J74" s="105">
        <v>0.12</v>
      </c>
      <c r="K74" s="105">
        <v>0.04</v>
      </c>
    </row>
    <row r="75" spans="1:11" x14ac:dyDescent="0.25">
      <c r="A75" s="104">
        <v>98</v>
      </c>
      <c r="B75" s="105">
        <v>2.37</v>
      </c>
      <c r="C75" s="105">
        <v>0.32</v>
      </c>
      <c r="D75" s="105"/>
      <c r="E75" s="105">
        <v>0.1</v>
      </c>
      <c r="F75" s="105">
        <v>0.03</v>
      </c>
      <c r="G75" s="105">
        <v>2.37</v>
      </c>
      <c r="H75" s="105">
        <v>0.32</v>
      </c>
      <c r="I75" s="105"/>
      <c r="J75" s="105">
        <v>0.1</v>
      </c>
      <c r="K75" s="105">
        <v>0.03</v>
      </c>
    </row>
  </sheetData>
  <sheetProtection algorithmName="SHA-512" hashValue="8rvWm/7EX4ITVlzEnwH/81akgwR/lgW3/oF9rqGQeDyEy908Zd6e4SGc82/f5vqxbz2OjBOAaG3D/gM5J+xz0w==" saltValue="xboPinc5JC+6hqgLq2LQCw==" spinCount="100000" sheet="1" objects="1" scenarios="1"/>
  <conditionalFormatting sqref="A6:A21">
    <cfRule type="expression" dxfId="1209" priority="1" stopIfTrue="1">
      <formula>MOD(ROW(),2)=0</formula>
    </cfRule>
    <cfRule type="expression" dxfId="1208" priority="2" stopIfTrue="1">
      <formula>MOD(ROW(),2)&lt;&gt;0</formula>
    </cfRule>
  </conditionalFormatting>
  <conditionalFormatting sqref="A26:A75">
    <cfRule type="expression" dxfId="1207" priority="7" stopIfTrue="1">
      <formula>MOD(ROW(),2)=0</formula>
    </cfRule>
    <cfRule type="expression" dxfId="1206" priority="8" stopIfTrue="1">
      <formula>MOD(ROW(),2)&lt;&gt;0</formula>
    </cfRule>
  </conditionalFormatting>
  <conditionalFormatting sqref="B12">
    <cfRule type="expression" dxfId="1205" priority="11" stopIfTrue="1">
      <formula>MOD(ROW(),2)=0</formula>
    </cfRule>
    <cfRule type="expression" dxfId="1204" priority="12" stopIfTrue="1">
      <formula>MOD(ROW(),2)&lt;&gt;0</formula>
    </cfRule>
  </conditionalFormatting>
  <conditionalFormatting sqref="B18:B21">
    <cfRule type="expression" dxfId="1203" priority="17" stopIfTrue="1">
      <formula>MOD(ROW(),2)=0</formula>
    </cfRule>
    <cfRule type="expression" dxfId="1202" priority="18" stopIfTrue="1">
      <formula>MOD(ROW(),2)&lt;&gt;0</formula>
    </cfRule>
  </conditionalFormatting>
  <conditionalFormatting sqref="B6:K6 C7:K7 C12:K12 B13:K17 C18:K21">
    <cfRule type="expression" dxfId="1201" priority="39" stopIfTrue="1">
      <formula>MOD(ROW(),2)=0</formula>
    </cfRule>
    <cfRule type="expression" dxfId="1200" priority="40" stopIfTrue="1">
      <formula>MOD(ROW(),2)&lt;&gt;0</formula>
    </cfRule>
  </conditionalFormatting>
  <conditionalFormatting sqref="B6:K21">
    <cfRule type="expression" dxfId="1199" priority="25" stopIfTrue="1">
      <formula>MOD(ROW(),2)=0</formula>
    </cfRule>
    <cfRule type="expression" dxfId="1198" priority="26" stopIfTrue="1">
      <formula>MOD(ROW(),2)&lt;&gt;0</formula>
    </cfRule>
  </conditionalFormatting>
  <conditionalFormatting sqref="B8:K11">
    <cfRule type="expression" dxfId="1197" priority="27" stopIfTrue="1">
      <formula>MOD(ROW(),2)=0</formula>
    </cfRule>
    <cfRule type="expression" dxfId="1196" priority="28" stopIfTrue="1">
      <formula>MOD(ROW(),2)&lt;&gt;0</formula>
    </cfRule>
  </conditionalFormatting>
  <conditionalFormatting sqref="B26:K75">
    <cfRule type="expression" dxfId="1195" priority="9" stopIfTrue="1">
      <formula>MOD(ROW(),2)=0</formula>
    </cfRule>
    <cfRule type="expression" dxfId="1194" priority="10" stopIfTrue="1">
      <formula>MOD(ROW(),2)&lt;&gt;0</formula>
    </cfRule>
  </conditionalFormatting>
  <hyperlinks>
    <hyperlink ref="B24" location="Sheet1!A1" display="Assumptions" xr:uid="{D10AE83D-BEB5-4CAC-80B2-1B6CE0E1456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K105"/>
  <sheetViews>
    <sheetView showGridLines="0" zoomScale="85" zoomScaleNormal="85" workbookViewId="0">
      <selection activeCell="A4" sqref="A4"/>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39" t="s">
        <v>0</v>
      </c>
      <c r="B1" s="40"/>
      <c r="C1" s="40"/>
      <c r="D1" s="40"/>
      <c r="E1" s="40"/>
      <c r="F1" s="40"/>
      <c r="G1" s="40"/>
      <c r="H1" s="40"/>
      <c r="I1" s="40"/>
    </row>
    <row r="2" spans="1:11"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1" ht="15.6" x14ac:dyDescent="0.3">
      <c r="A3" s="43" t="str">
        <f>TABLE_FACTOR_TYPE_1&amp;" - x-"&amp;TABLE_SERIES_NUMBER_1</f>
        <v>Pensioner CE - x-304</v>
      </c>
      <c r="B3" s="42"/>
      <c r="C3" s="42"/>
      <c r="D3" s="42"/>
      <c r="E3" s="42"/>
      <c r="F3" s="42"/>
      <c r="G3" s="42"/>
      <c r="H3" s="42"/>
      <c r="I3" s="42"/>
    </row>
    <row r="4" spans="1:11" x14ac:dyDescent="0.25">
      <c r="A4" s="44"/>
    </row>
    <row r="6" spans="1:11" x14ac:dyDescent="0.25">
      <c r="A6" s="76" t="s">
        <v>290</v>
      </c>
      <c r="B6" s="129" t="s">
        <v>291</v>
      </c>
      <c r="C6" s="129"/>
      <c r="D6" s="129"/>
      <c r="E6" s="129"/>
      <c r="F6" s="129"/>
      <c r="G6" s="129"/>
      <c r="H6" s="129"/>
      <c r="I6" s="129"/>
      <c r="J6" s="129"/>
      <c r="K6" s="129"/>
    </row>
    <row r="7" spans="1:11" x14ac:dyDescent="0.25">
      <c r="A7" s="77" t="s">
        <v>804</v>
      </c>
      <c r="B7" s="129" t="s">
        <v>345</v>
      </c>
      <c r="C7" s="129"/>
      <c r="D7" s="129"/>
      <c r="E7" s="129"/>
      <c r="F7" s="129"/>
      <c r="G7" s="129"/>
      <c r="H7" s="129"/>
      <c r="I7" s="129"/>
      <c r="J7" s="129"/>
      <c r="K7" s="129"/>
    </row>
    <row r="8" spans="1:11" x14ac:dyDescent="0.25">
      <c r="A8" s="77" t="s">
        <v>805</v>
      </c>
      <c r="B8" s="129" t="s">
        <v>396</v>
      </c>
      <c r="C8" s="129"/>
      <c r="D8" s="129"/>
      <c r="E8" s="129"/>
      <c r="F8" s="129"/>
      <c r="G8" s="129"/>
      <c r="H8" s="129"/>
      <c r="I8" s="129"/>
      <c r="J8" s="129"/>
      <c r="K8" s="129"/>
    </row>
    <row r="9" spans="1:11" x14ac:dyDescent="0.25">
      <c r="A9" s="77" t="s">
        <v>296</v>
      </c>
      <c r="B9" s="129" t="s">
        <v>389</v>
      </c>
      <c r="C9" s="129"/>
      <c r="D9" s="129"/>
      <c r="E9" s="129"/>
      <c r="F9" s="129"/>
      <c r="G9" s="129"/>
      <c r="H9" s="129"/>
      <c r="I9" s="129"/>
      <c r="J9" s="129"/>
      <c r="K9" s="129"/>
    </row>
    <row r="10" spans="1:11" x14ac:dyDescent="0.25">
      <c r="A10" s="77" t="s">
        <v>6</v>
      </c>
      <c r="B10" s="129" t="s">
        <v>393</v>
      </c>
      <c r="C10" s="129"/>
      <c r="D10" s="129"/>
      <c r="E10" s="129"/>
      <c r="F10" s="129"/>
      <c r="G10" s="129"/>
      <c r="H10" s="129"/>
      <c r="I10" s="129"/>
      <c r="J10" s="129"/>
      <c r="K10" s="129"/>
    </row>
    <row r="11" spans="1:11" x14ac:dyDescent="0.25">
      <c r="A11" s="77" t="s">
        <v>299</v>
      </c>
      <c r="B11" s="129" t="s">
        <v>327</v>
      </c>
      <c r="C11" s="129"/>
      <c r="D11" s="129"/>
      <c r="E11" s="129"/>
      <c r="F11" s="129"/>
      <c r="G11" s="129"/>
      <c r="H11" s="129"/>
      <c r="I11" s="129"/>
      <c r="J11" s="129"/>
      <c r="K11" s="129"/>
    </row>
    <row r="12" spans="1:11" x14ac:dyDescent="0.25">
      <c r="A12" s="77" t="s">
        <v>301</v>
      </c>
      <c r="B12" s="129" t="s">
        <v>328</v>
      </c>
      <c r="C12" s="129"/>
      <c r="D12" s="129"/>
      <c r="E12" s="129"/>
      <c r="F12" s="129"/>
      <c r="G12" s="129"/>
      <c r="H12" s="129"/>
      <c r="I12" s="129"/>
      <c r="J12" s="129"/>
      <c r="K12" s="129"/>
    </row>
    <row r="13" spans="1:11" x14ac:dyDescent="0.25">
      <c r="A13" s="77" t="s">
        <v>806</v>
      </c>
      <c r="B13" s="129">
        <v>1</v>
      </c>
      <c r="C13" s="129"/>
      <c r="D13" s="129"/>
      <c r="E13" s="129"/>
      <c r="F13" s="129"/>
      <c r="G13" s="129"/>
      <c r="H13" s="129"/>
      <c r="I13" s="129"/>
      <c r="J13" s="129"/>
      <c r="K13" s="129"/>
    </row>
    <row r="14" spans="1:11" x14ac:dyDescent="0.25">
      <c r="A14" s="77" t="s">
        <v>305</v>
      </c>
      <c r="B14" s="129">
        <v>304</v>
      </c>
      <c r="C14" s="129"/>
      <c r="D14" s="129"/>
      <c r="E14" s="129"/>
      <c r="F14" s="129"/>
      <c r="G14" s="129"/>
      <c r="H14" s="129"/>
      <c r="I14" s="129"/>
      <c r="J14" s="129"/>
      <c r="K14" s="129"/>
    </row>
    <row r="15" spans="1:11" x14ac:dyDescent="0.25">
      <c r="A15" s="77" t="s">
        <v>307</v>
      </c>
      <c r="B15" s="129" t="s">
        <v>400</v>
      </c>
      <c r="C15" s="129"/>
      <c r="D15" s="129"/>
      <c r="E15" s="129"/>
      <c r="F15" s="129"/>
      <c r="G15" s="129"/>
      <c r="H15" s="129"/>
      <c r="I15" s="129"/>
      <c r="J15" s="129"/>
      <c r="K15" s="129"/>
    </row>
    <row r="16" spans="1:11" x14ac:dyDescent="0.25">
      <c r="A16" s="77" t="s">
        <v>309</v>
      </c>
      <c r="B16" s="129" t="s">
        <v>401</v>
      </c>
      <c r="C16" s="129"/>
      <c r="D16" s="129"/>
      <c r="E16" s="129"/>
      <c r="F16" s="129"/>
      <c r="G16" s="129"/>
      <c r="H16" s="129"/>
      <c r="I16" s="129"/>
      <c r="J16" s="129"/>
      <c r="K16" s="129"/>
    </row>
    <row r="17" spans="1:11" x14ac:dyDescent="0.25">
      <c r="A17" s="77" t="s">
        <v>803</v>
      </c>
      <c r="B17" s="129"/>
      <c r="C17" s="129"/>
      <c r="D17" s="129"/>
      <c r="E17" s="129"/>
      <c r="F17" s="129"/>
      <c r="G17" s="129"/>
      <c r="H17" s="129"/>
      <c r="I17" s="129"/>
      <c r="J17" s="129"/>
      <c r="K17" s="129"/>
    </row>
    <row r="18" spans="1:11" x14ac:dyDescent="0.25">
      <c r="A18" s="77" t="s">
        <v>313</v>
      </c>
      <c r="B18" s="187">
        <v>45071</v>
      </c>
      <c r="C18" s="129"/>
      <c r="D18" s="129"/>
      <c r="E18" s="129"/>
      <c r="F18" s="129"/>
      <c r="G18" s="129"/>
      <c r="H18" s="129"/>
      <c r="I18" s="129"/>
      <c r="J18" s="129"/>
      <c r="K18" s="129"/>
    </row>
    <row r="19" spans="1:11" x14ac:dyDescent="0.25">
      <c r="A19" s="77" t="s">
        <v>315</v>
      </c>
      <c r="B19" s="187"/>
      <c r="C19" s="129"/>
      <c r="D19" s="129"/>
      <c r="E19" s="129"/>
      <c r="F19" s="129"/>
      <c r="G19" s="129"/>
      <c r="H19" s="129"/>
      <c r="I19" s="129"/>
      <c r="J19" s="129"/>
      <c r="K19" s="129"/>
    </row>
    <row r="20" spans="1:11" x14ac:dyDescent="0.25">
      <c r="A20" s="77" t="s">
        <v>317</v>
      </c>
      <c r="B20" s="129" t="s">
        <v>331</v>
      </c>
      <c r="C20" s="129"/>
      <c r="D20" s="129"/>
      <c r="E20" s="129"/>
      <c r="F20" s="129"/>
      <c r="G20" s="129"/>
      <c r="H20" s="129"/>
      <c r="I20" s="129"/>
      <c r="J20" s="129"/>
      <c r="K20" s="129"/>
    </row>
    <row r="21" spans="1:11" x14ac:dyDescent="0.25">
      <c r="A21" s="77" t="s">
        <v>323</v>
      </c>
      <c r="B21" s="129" t="s">
        <v>332</v>
      </c>
      <c r="C21" s="129"/>
      <c r="D21" s="129"/>
      <c r="E21" s="129"/>
      <c r="F21" s="129"/>
      <c r="G21" s="129"/>
      <c r="H21" s="129"/>
      <c r="I21" s="129"/>
      <c r="J21" s="129"/>
      <c r="K21" s="129"/>
    </row>
    <row r="23" spans="1:11" x14ac:dyDescent="0.25">
      <c r="B23" s="102" t="str">
        <f>HYPERLINK("#'Factor List'!A1","Back to Factor List")</f>
        <v>Back to Factor List</v>
      </c>
    </row>
    <row r="24" spans="1:11" x14ac:dyDescent="0.25">
      <c r="B24" s="102" t="s">
        <v>13</v>
      </c>
    </row>
    <row r="25" spans="1:11" x14ac:dyDescent="0.25">
      <c r="B25" s="102"/>
    </row>
    <row r="26" spans="1:11" ht="39.6" x14ac:dyDescent="0.25">
      <c r="A26" s="103" t="s">
        <v>373</v>
      </c>
      <c r="B26" s="103" t="s">
        <v>830</v>
      </c>
      <c r="C26" s="103" t="s">
        <v>831</v>
      </c>
      <c r="D26" s="103" t="s">
        <v>842</v>
      </c>
      <c r="E26" s="103" t="s">
        <v>838</v>
      </c>
      <c r="F26" s="103" t="s">
        <v>839</v>
      </c>
      <c r="G26" s="103" t="s">
        <v>834</v>
      </c>
      <c r="H26" s="103" t="s">
        <v>835</v>
      </c>
      <c r="I26" s="103" t="s">
        <v>843</v>
      </c>
      <c r="J26" s="103" t="s">
        <v>840</v>
      </c>
      <c r="K26" s="103" t="s">
        <v>841</v>
      </c>
    </row>
    <row r="27" spans="1:11" x14ac:dyDescent="0.25">
      <c r="A27" s="104">
        <v>20</v>
      </c>
      <c r="B27" s="105">
        <v>40.31</v>
      </c>
      <c r="C27" s="105">
        <v>1.52</v>
      </c>
      <c r="D27" s="105">
        <v>0</v>
      </c>
      <c r="E27" s="105"/>
      <c r="F27" s="105"/>
      <c r="G27" s="105">
        <v>40.31</v>
      </c>
      <c r="H27" s="105">
        <v>1.52</v>
      </c>
      <c r="I27" s="105">
        <v>0</v>
      </c>
      <c r="J27" s="105"/>
      <c r="K27" s="105"/>
    </row>
    <row r="28" spans="1:11" x14ac:dyDescent="0.25">
      <c r="A28" s="104">
        <v>21</v>
      </c>
      <c r="B28" s="105">
        <v>39.96</v>
      </c>
      <c r="C28" s="105">
        <v>1.55</v>
      </c>
      <c r="D28" s="105">
        <v>0</v>
      </c>
      <c r="E28" s="105"/>
      <c r="F28" s="105"/>
      <c r="G28" s="105">
        <v>39.96</v>
      </c>
      <c r="H28" s="105">
        <v>1.55</v>
      </c>
      <c r="I28" s="105">
        <v>0</v>
      </c>
      <c r="J28" s="105"/>
      <c r="K28" s="105"/>
    </row>
    <row r="29" spans="1:11" x14ac:dyDescent="0.25">
      <c r="A29" s="104">
        <v>22</v>
      </c>
      <c r="B29" s="105">
        <v>39.61</v>
      </c>
      <c r="C29" s="105">
        <v>1.57</v>
      </c>
      <c r="D29" s="105">
        <v>0</v>
      </c>
      <c r="E29" s="105"/>
      <c r="F29" s="105"/>
      <c r="G29" s="105">
        <v>39.61</v>
      </c>
      <c r="H29" s="105">
        <v>1.57</v>
      </c>
      <c r="I29" s="105">
        <v>0</v>
      </c>
      <c r="J29" s="105"/>
      <c r="K29" s="105"/>
    </row>
    <row r="30" spans="1:11" x14ac:dyDescent="0.25">
      <c r="A30" s="104">
        <v>23</v>
      </c>
      <c r="B30" s="105">
        <v>39.25</v>
      </c>
      <c r="C30" s="105">
        <v>1.6</v>
      </c>
      <c r="D30" s="105">
        <v>0</v>
      </c>
      <c r="E30" s="105"/>
      <c r="F30" s="105"/>
      <c r="G30" s="105">
        <v>39.25</v>
      </c>
      <c r="H30" s="105">
        <v>1.6</v>
      </c>
      <c r="I30" s="105">
        <v>0</v>
      </c>
      <c r="J30" s="105"/>
      <c r="K30" s="105"/>
    </row>
    <row r="31" spans="1:11" x14ac:dyDescent="0.25">
      <c r="A31" s="104">
        <v>24</v>
      </c>
      <c r="B31" s="105">
        <v>38.89</v>
      </c>
      <c r="C31" s="105">
        <v>1.62</v>
      </c>
      <c r="D31" s="105">
        <v>0</v>
      </c>
      <c r="E31" s="105"/>
      <c r="F31" s="105"/>
      <c r="G31" s="105">
        <v>38.89</v>
      </c>
      <c r="H31" s="105">
        <v>1.62</v>
      </c>
      <c r="I31" s="105">
        <v>0</v>
      </c>
      <c r="J31" s="105"/>
      <c r="K31" s="105"/>
    </row>
    <row r="32" spans="1:11" x14ac:dyDescent="0.25">
      <c r="A32" s="104">
        <v>25</v>
      </c>
      <c r="B32" s="105">
        <v>38.520000000000003</v>
      </c>
      <c r="C32" s="105">
        <v>1.65</v>
      </c>
      <c r="D32" s="105">
        <v>0</v>
      </c>
      <c r="E32" s="105"/>
      <c r="F32" s="105"/>
      <c r="G32" s="105">
        <v>38.520000000000003</v>
      </c>
      <c r="H32" s="105">
        <v>1.65</v>
      </c>
      <c r="I32" s="105">
        <v>0</v>
      </c>
      <c r="J32" s="105"/>
      <c r="K32" s="105"/>
    </row>
    <row r="33" spans="1:11" x14ac:dyDescent="0.25">
      <c r="A33" s="104">
        <v>26</v>
      </c>
      <c r="B33" s="105">
        <v>38.14</v>
      </c>
      <c r="C33" s="105">
        <v>1.67</v>
      </c>
      <c r="D33" s="105">
        <v>0</v>
      </c>
      <c r="E33" s="105"/>
      <c r="F33" s="105"/>
      <c r="G33" s="105">
        <v>38.14</v>
      </c>
      <c r="H33" s="105">
        <v>1.67</v>
      </c>
      <c r="I33" s="105">
        <v>0</v>
      </c>
      <c r="J33" s="105"/>
      <c r="K33" s="105"/>
    </row>
    <row r="34" spans="1:11" x14ac:dyDescent="0.25">
      <c r="A34" s="104">
        <v>27</v>
      </c>
      <c r="B34" s="105">
        <v>37.76</v>
      </c>
      <c r="C34" s="105">
        <v>1.7</v>
      </c>
      <c r="D34" s="105">
        <v>0</v>
      </c>
      <c r="E34" s="105"/>
      <c r="F34" s="105"/>
      <c r="G34" s="105">
        <v>37.76</v>
      </c>
      <c r="H34" s="105">
        <v>1.7</v>
      </c>
      <c r="I34" s="105">
        <v>0</v>
      </c>
      <c r="J34" s="105"/>
      <c r="K34" s="105"/>
    </row>
    <row r="35" spans="1:11" x14ac:dyDescent="0.25">
      <c r="A35" s="104">
        <v>28</v>
      </c>
      <c r="B35" s="105">
        <v>37.369999999999997</v>
      </c>
      <c r="C35" s="105">
        <v>1.73</v>
      </c>
      <c r="D35" s="105">
        <v>0</v>
      </c>
      <c r="E35" s="105"/>
      <c r="F35" s="105"/>
      <c r="G35" s="105">
        <v>37.369999999999997</v>
      </c>
      <c r="H35" s="105">
        <v>1.73</v>
      </c>
      <c r="I35" s="105">
        <v>0</v>
      </c>
      <c r="J35" s="105"/>
      <c r="K35" s="105"/>
    </row>
    <row r="36" spans="1:11" x14ac:dyDescent="0.25">
      <c r="A36" s="104">
        <v>29</v>
      </c>
      <c r="B36" s="105">
        <v>36.97</v>
      </c>
      <c r="C36" s="105">
        <v>1.75</v>
      </c>
      <c r="D36" s="105">
        <v>0</v>
      </c>
      <c r="E36" s="105"/>
      <c r="F36" s="105"/>
      <c r="G36" s="105">
        <v>36.97</v>
      </c>
      <c r="H36" s="105">
        <v>1.75</v>
      </c>
      <c r="I36" s="105">
        <v>0</v>
      </c>
      <c r="J36" s="105"/>
      <c r="K36" s="105"/>
    </row>
    <row r="37" spans="1:11" x14ac:dyDescent="0.25">
      <c r="A37" s="104">
        <v>30</v>
      </c>
      <c r="B37" s="105">
        <v>36.57</v>
      </c>
      <c r="C37" s="105">
        <v>1.78</v>
      </c>
      <c r="D37" s="105">
        <v>0</v>
      </c>
      <c r="E37" s="105"/>
      <c r="F37" s="105"/>
      <c r="G37" s="105">
        <v>36.57</v>
      </c>
      <c r="H37" s="105">
        <v>1.78</v>
      </c>
      <c r="I37" s="105">
        <v>0</v>
      </c>
      <c r="J37" s="105"/>
      <c r="K37" s="105"/>
    </row>
    <row r="38" spans="1:11" x14ac:dyDescent="0.25">
      <c r="A38" s="104">
        <v>31</v>
      </c>
      <c r="B38" s="105">
        <v>36.159999999999997</v>
      </c>
      <c r="C38" s="105">
        <v>1.8</v>
      </c>
      <c r="D38" s="105">
        <v>0</v>
      </c>
      <c r="E38" s="105"/>
      <c r="F38" s="105"/>
      <c r="G38" s="105">
        <v>36.159999999999997</v>
      </c>
      <c r="H38" s="105">
        <v>1.8</v>
      </c>
      <c r="I38" s="105">
        <v>0</v>
      </c>
      <c r="J38" s="105"/>
      <c r="K38" s="105"/>
    </row>
    <row r="39" spans="1:11" x14ac:dyDescent="0.25">
      <c r="A39" s="104">
        <v>32</v>
      </c>
      <c r="B39" s="105">
        <v>35.74</v>
      </c>
      <c r="C39" s="105">
        <v>1.83</v>
      </c>
      <c r="D39" s="105">
        <v>0</v>
      </c>
      <c r="E39" s="105"/>
      <c r="F39" s="105"/>
      <c r="G39" s="105">
        <v>35.74</v>
      </c>
      <c r="H39" s="105">
        <v>1.83</v>
      </c>
      <c r="I39" s="105">
        <v>0</v>
      </c>
      <c r="J39" s="105"/>
      <c r="K39" s="105"/>
    </row>
    <row r="40" spans="1:11" x14ac:dyDescent="0.25">
      <c r="A40" s="104">
        <v>33</v>
      </c>
      <c r="B40" s="105">
        <v>35.32</v>
      </c>
      <c r="C40" s="105">
        <v>1.85</v>
      </c>
      <c r="D40" s="105">
        <v>0</v>
      </c>
      <c r="E40" s="105"/>
      <c r="F40" s="105"/>
      <c r="G40" s="105">
        <v>35.32</v>
      </c>
      <c r="H40" s="105">
        <v>1.85</v>
      </c>
      <c r="I40" s="105">
        <v>0</v>
      </c>
      <c r="J40" s="105"/>
      <c r="K40" s="105"/>
    </row>
    <row r="41" spans="1:11" x14ac:dyDescent="0.25">
      <c r="A41" s="104">
        <v>34</v>
      </c>
      <c r="B41" s="105">
        <v>34.89</v>
      </c>
      <c r="C41" s="105">
        <v>1.88</v>
      </c>
      <c r="D41" s="105">
        <v>0</v>
      </c>
      <c r="E41" s="105"/>
      <c r="F41" s="105"/>
      <c r="G41" s="105">
        <v>34.89</v>
      </c>
      <c r="H41" s="105">
        <v>1.88</v>
      </c>
      <c r="I41" s="105">
        <v>0</v>
      </c>
      <c r="J41" s="105"/>
      <c r="K41" s="105"/>
    </row>
    <row r="42" spans="1:11" x14ac:dyDescent="0.25">
      <c r="A42" s="104">
        <v>35</v>
      </c>
      <c r="B42" s="105">
        <v>34.46</v>
      </c>
      <c r="C42" s="105">
        <v>1.91</v>
      </c>
      <c r="D42" s="105">
        <v>0</v>
      </c>
      <c r="E42" s="105"/>
      <c r="F42" s="105"/>
      <c r="G42" s="105">
        <v>34.46</v>
      </c>
      <c r="H42" s="105">
        <v>1.91</v>
      </c>
      <c r="I42" s="105">
        <v>0</v>
      </c>
      <c r="J42" s="105"/>
      <c r="K42" s="105"/>
    </row>
    <row r="43" spans="1:11" x14ac:dyDescent="0.25">
      <c r="A43" s="104">
        <v>36</v>
      </c>
      <c r="B43" s="105">
        <v>34.01</v>
      </c>
      <c r="C43" s="105">
        <v>1.93</v>
      </c>
      <c r="D43" s="105">
        <v>0</v>
      </c>
      <c r="E43" s="105"/>
      <c r="F43" s="105"/>
      <c r="G43" s="105">
        <v>34.01</v>
      </c>
      <c r="H43" s="105">
        <v>1.93</v>
      </c>
      <c r="I43" s="105">
        <v>0</v>
      </c>
      <c r="J43" s="105"/>
      <c r="K43" s="105"/>
    </row>
    <row r="44" spans="1:11" x14ac:dyDescent="0.25">
      <c r="A44" s="104">
        <v>37</v>
      </c>
      <c r="B44" s="105">
        <v>33.56</v>
      </c>
      <c r="C44" s="105">
        <v>1.96</v>
      </c>
      <c r="D44" s="105">
        <v>0</v>
      </c>
      <c r="E44" s="105"/>
      <c r="F44" s="105"/>
      <c r="G44" s="105">
        <v>33.56</v>
      </c>
      <c r="H44" s="105">
        <v>1.96</v>
      </c>
      <c r="I44" s="105">
        <v>0</v>
      </c>
      <c r="J44" s="105"/>
      <c r="K44" s="105"/>
    </row>
    <row r="45" spans="1:11" x14ac:dyDescent="0.25">
      <c r="A45" s="104">
        <v>38</v>
      </c>
      <c r="B45" s="105">
        <v>33.11</v>
      </c>
      <c r="C45" s="105">
        <v>1.98</v>
      </c>
      <c r="D45" s="105">
        <v>0</v>
      </c>
      <c r="E45" s="105"/>
      <c r="F45" s="105"/>
      <c r="G45" s="105">
        <v>33.11</v>
      </c>
      <c r="H45" s="105">
        <v>1.98</v>
      </c>
      <c r="I45" s="105">
        <v>0</v>
      </c>
      <c r="J45" s="105"/>
      <c r="K45" s="105"/>
    </row>
    <row r="46" spans="1:11" x14ac:dyDescent="0.25">
      <c r="A46" s="104">
        <v>39</v>
      </c>
      <c r="B46" s="105">
        <v>32.64</v>
      </c>
      <c r="C46" s="105">
        <v>2.0099999999999998</v>
      </c>
      <c r="D46" s="105">
        <v>0</v>
      </c>
      <c r="E46" s="105"/>
      <c r="F46" s="105"/>
      <c r="G46" s="105">
        <v>32.64</v>
      </c>
      <c r="H46" s="105">
        <v>2.0099999999999998</v>
      </c>
      <c r="I46" s="105">
        <v>0</v>
      </c>
      <c r="J46" s="105"/>
      <c r="K46" s="105"/>
    </row>
    <row r="47" spans="1:11" x14ac:dyDescent="0.25">
      <c r="A47" s="104">
        <v>40</v>
      </c>
      <c r="B47" s="105">
        <v>32.17</v>
      </c>
      <c r="C47" s="105">
        <v>2.0299999999999998</v>
      </c>
      <c r="D47" s="105">
        <v>0</v>
      </c>
      <c r="E47" s="105"/>
      <c r="F47" s="105"/>
      <c r="G47" s="105">
        <v>32.17</v>
      </c>
      <c r="H47" s="105">
        <v>2.0299999999999998</v>
      </c>
      <c r="I47" s="105">
        <v>0</v>
      </c>
      <c r="J47" s="105"/>
      <c r="K47" s="105"/>
    </row>
    <row r="48" spans="1:11" x14ac:dyDescent="0.25">
      <c r="A48" s="104">
        <v>41</v>
      </c>
      <c r="B48" s="105">
        <v>31.69</v>
      </c>
      <c r="C48" s="105">
        <v>2.06</v>
      </c>
      <c r="D48" s="105">
        <v>0</v>
      </c>
      <c r="E48" s="105"/>
      <c r="F48" s="105"/>
      <c r="G48" s="105">
        <v>31.69</v>
      </c>
      <c r="H48" s="105">
        <v>2.06</v>
      </c>
      <c r="I48" s="105">
        <v>0</v>
      </c>
      <c r="J48" s="105"/>
      <c r="K48" s="105"/>
    </row>
    <row r="49" spans="1:11" x14ac:dyDescent="0.25">
      <c r="A49" s="104">
        <v>42</v>
      </c>
      <c r="B49" s="105">
        <v>31.2</v>
      </c>
      <c r="C49" s="105">
        <v>2.08</v>
      </c>
      <c r="D49" s="105">
        <v>0</v>
      </c>
      <c r="E49" s="105"/>
      <c r="F49" s="105"/>
      <c r="G49" s="105">
        <v>31.2</v>
      </c>
      <c r="H49" s="105">
        <v>2.08</v>
      </c>
      <c r="I49" s="105">
        <v>0</v>
      </c>
      <c r="J49" s="105"/>
      <c r="K49" s="105"/>
    </row>
    <row r="50" spans="1:11" x14ac:dyDescent="0.25">
      <c r="A50" s="104">
        <v>43</v>
      </c>
      <c r="B50" s="105">
        <v>30.71</v>
      </c>
      <c r="C50" s="105">
        <v>2.11</v>
      </c>
      <c r="D50" s="105">
        <v>0</v>
      </c>
      <c r="E50" s="105"/>
      <c r="F50" s="105"/>
      <c r="G50" s="105">
        <v>30.71</v>
      </c>
      <c r="H50" s="105">
        <v>2.11</v>
      </c>
      <c r="I50" s="105">
        <v>0</v>
      </c>
      <c r="J50" s="105"/>
      <c r="K50" s="105"/>
    </row>
    <row r="51" spans="1:11" x14ac:dyDescent="0.25">
      <c r="A51" s="104">
        <v>44</v>
      </c>
      <c r="B51" s="105">
        <v>30.21</v>
      </c>
      <c r="C51" s="105">
        <v>2.13</v>
      </c>
      <c r="D51" s="105">
        <v>0</v>
      </c>
      <c r="E51" s="105"/>
      <c r="F51" s="105"/>
      <c r="G51" s="105">
        <v>30.21</v>
      </c>
      <c r="H51" s="105">
        <v>2.13</v>
      </c>
      <c r="I51" s="105">
        <v>0</v>
      </c>
      <c r="J51" s="105"/>
      <c r="K51" s="105"/>
    </row>
    <row r="52" spans="1:11" x14ac:dyDescent="0.25">
      <c r="A52" s="104">
        <v>45</v>
      </c>
      <c r="B52" s="105">
        <v>29.7</v>
      </c>
      <c r="C52" s="105">
        <v>2.15</v>
      </c>
      <c r="D52" s="105">
        <v>0</v>
      </c>
      <c r="E52" s="105"/>
      <c r="F52" s="105"/>
      <c r="G52" s="105">
        <v>29.7</v>
      </c>
      <c r="H52" s="105">
        <v>2.15</v>
      </c>
      <c r="I52" s="105">
        <v>0</v>
      </c>
      <c r="J52" s="105"/>
      <c r="K52" s="105"/>
    </row>
    <row r="53" spans="1:11" x14ac:dyDescent="0.25">
      <c r="A53" s="104">
        <v>46</v>
      </c>
      <c r="B53" s="105">
        <v>29.19</v>
      </c>
      <c r="C53" s="105">
        <v>2.1800000000000002</v>
      </c>
      <c r="D53" s="105">
        <v>0</v>
      </c>
      <c r="E53" s="105"/>
      <c r="F53" s="105"/>
      <c r="G53" s="105">
        <v>29.19</v>
      </c>
      <c r="H53" s="105">
        <v>2.1800000000000002</v>
      </c>
      <c r="I53" s="105">
        <v>0</v>
      </c>
      <c r="J53" s="105"/>
      <c r="K53" s="105"/>
    </row>
    <row r="54" spans="1:11" x14ac:dyDescent="0.25">
      <c r="A54" s="104">
        <v>47</v>
      </c>
      <c r="B54" s="105">
        <v>28.66</v>
      </c>
      <c r="C54" s="105">
        <v>2.2000000000000002</v>
      </c>
      <c r="D54" s="105">
        <v>0</v>
      </c>
      <c r="E54" s="105"/>
      <c r="F54" s="105"/>
      <c r="G54" s="105">
        <v>28.66</v>
      </c>
      <c r="H54" s="105">
        <v>2.2000000000000002</v>
      </c>
      <c r="I54" s="105">
        <v>0</v>
      </c>
      <c r="J54" s="105"/>
      <c r="K54" s="105"/>
    </row>
    <row r="55" spans="1:11" x14ac:dyDescent="0.25">
      <c r="A55" s="104">
        <v>48</v>
      </c>
      <c r="B55" s="105">
        <v>28.13</v>
      </c>
      <c r="C55" s="105">
        <v>2.2200000000000002</v>
      </c>
      <c r="D55" s="105">
        <v>0</v>
      </c>
      <c r="E55" s="105"/>
      <c r="F55" s="105"/>
      <c r="G55" s="105">
        <v>28.13</v>
      </c>
      <c r="H55" s="105">
        <v>2.2200000000000002</v>
      </c>
      <c r="I55" s="105">
        <v>0</v>
      </c>
      <c r="J55" s="105"/>
      <c r="K55" s="105"/>
    </row>
    <row r="56" spans="1:11" x14ac:dyDescent="0.25">
      <c r="A56" s="104">
        <v>49</v>
      </c>
      <c r="B56" s="105">
        <v>27.6</v>
      </c>
      <c r="C56" s="105">
        <v>2.2400000000000002</v>
      </c>
      <c r="D56" s="105">
        <v>0</v>
      </c>
      <c r="E56" s="105"/>
      <c r="F56" s="105"/>
      <c r="G56" s="105">
        <v>27.6</v>
      </c>
      <c r="H56" s="105">
        <v>2.2400000000000002</v>
      </c>
      <c r="I56" s="105">
        <v>0</v>
      </c>
      <c r="J56" s="105"/>
      <c r="K56" s="105"/>
    </row>
    <row r="57" spans="1:11" x14ac:dyDescent="0.25">
      <c r="A57" s="104">
        <v>50</v>
      </c>
      <c r="B57" s="105">
        <v>27.05</v>
      </c>
      <c r="C57" s="105">
        <v>2.27</v>
      </c>
      <c r="D57" s="105">
        <v>0</v>
      </c>
      <c r="E57" s="105"/>
      <c r="F57" s="105"/>
      <c r="G57" s="105">
        <v>27.05</v>
      </c>
      <c r="H57" s="105">
        <v>2.27</v>
      </c>
      <c r="I57" s="105">
        <v>0</v>
      </c>
      <c r="J57" s="105"/>
      <c r="K57" s="105"/>
    </row>
    <row r="58" spans="1:11" x14ac:dyDescent="0.25">
      <c r="A58" s="104">
        <v>51</v>
      </c>
      <c r="B58" s="105">
        <v>26.5</v>
      </c>
      <c r="C58" s="105">
        <v>2.29</v>
      </c>
      <c r="D58" s="105">
        <v>0</v>
      </c>
      <c r="E58" s="105"/>
      <c r="F58" s="105"/>
      <c r="G58" s="105">
        <v>26.5</v>
      </c>
      <c r="H58" s="105">
        <v>2.29</v>
      </c>
      <c r="I58" s="105">
        <v>0</v>
      </c>
      <c r="J58" s="105"/>
      <c r="K58" s="105"/>
    </row>
    <row r="59" spans="1:11" x14ac:dyDescent="0.25">
      <c r="A59" s="104">
        <v>52</v>
      </c>
      <c r="B59" s="105">
        <v>25.94</v>
      </c>
      <c r="C59" s="105">
        <v>2.31</v>
      </c>
      <c r="D59" s="105">
        <v>0</v>
      </c>
      <c r="E59" s="105"/>
      <c r="F59" s="105"/>
      <c r="G59" s="105">
        <v>25.94</v>
      </c>
      <c r="H59" s="105">
        <v>2.31</v>
      </c>
      <c r="I59" s="105">
        <v>0</v>
      </c>
      <c r="J59" s="105"/>
      <c r="K59" s="105"/>
    </row>
    <row r="60" spans="1:11" x14ac:dyDescent="0.25">
      <c r="A60" s="104">
        <v>53</v>
      </c>
      <c r="B60" s="105">
        <v>25.37</v>
      </c>
      <c r="C60" s="105">
        <v>2.33</v>
      </c>
      <c r="D60" s="105">
        <v>0</v>
      </c>
      <c r="E60" s="105"/>
      <c r="F60" s="105"/>
      <c r="G60" s="105">
        <v>25.37</v>
      </c>
      <c r="H60" s="105">
        <v>2.33</v>
      </c>
      <c r="I60" s="105">
        <v>0</v>
      </c>
      <c r="J60" s="105"/>
      <c r="K60" s="105"/>
    </row>
    <row r="61" spans="1:11" x14ac:dyDescent="0.25">
      <c r="A61" s="104">
        <v>54</v>
      </c>
      <c r="B61" s="105">
        <v>24.8</v>
      </c>
      <c r="C61" s="105">
        <v>2.35</v>
      </c>
      <c r="D61" s="105">
        <v>0</v>
      </c>
      <c r="E61" s="105"/>
      <c r="F61" s="105"/>
      <c r="G61" s="105">
        <v>24.8</v>
      </c>
      <c r="H61" s="105">
        <v>2.35</v>
      </c>
      <c r="I61" s="105">
        <v>0</v>
      </c>
      <c r="J61" s="105"/>
      <c r="K61" s="105"/>
    </row>
    <row r="62" spans="1:11" x14ac:dyDescent="0.25">
      <c r="A62" s="104">
        <v>55</v>
      </c>
      <c r="B62" s="105">
        <v>24.22</v>
      </c>
      <c r="C62" s="105">
        <v>2.37</v>
      </c>
      <c r="D62" s="105">
        <v>0</v>
      </c>
      <c r="E62" s="105"/>
      <c r="F62" s="105"/>
      <c r="G62" s="105">
        <v>24.22</v>
      </c>
      <c r="H62" s="105">
        <v>2.37</v>
      </c>
      <c r="I62" s="105">
        <v>0</v>
      </c>
      <c r="J62" s="105"/>
      <c r="K62" s="105"/>
    </row>
    <row r="63" spans="1:11" x14ac:dyDescent="0.25">
      <c r="A63" s="104">
        <v>56</v>
      </c>
      <c r="B63" s="105">
        <v>23.63</v>
      </c>
      <c r="C63" s="105">
        <v>2.38</v>
      </c>
      <c r="D63" s="105">
        <v>0</v>
      </c>
      <c r="E63" s="105"/>
      <c r="F63" s="105"/>
      <c r="G63" s="105">
        <v>23.63</v>
      </c>
      <c r="H63" s="105">
        <v>2.38</v>
      </c>
      <c r="I63" s="105">
        <v>0</v>
      </c>
      <c r="J63" s="105"/>
      <c r="K63" s="105"/>
    </row>
    <row r="64" spans="1:11" x14ac:dyDescent="0.25">
      <c r="A64" s="104">
        <v>57</v>
      </c>
      <c r="B64" s="105">
        <v>23.04</v>
      </c>
      <c r="C64" s="105">
        <v>2.4</v>
      </c>
      <c r="D64" s="105">
        <v>0</v>
      </c>
      <c r="E64" s="105"/>
      <c r="F64" s="105"/>
      <c r="G64" s="105">
        <v>23.04</v>
      </c>
      <c r="H64" s="105">
        <v>2.4</v>
      </c>
      <c r="I64" s="105">
        <v>0</v>
      </c>
      <c r="J64" s="105"/>
      <c r="K64" s="105"/>
    </row>
    <row r="65" spans="1:11" x14ac:dyDescent="0.25">
      <c r="A65" s="104">
        <v>58</v>
      </c>
      <c r="B65" s="105">
        <v>22.44</v>
      </c>
      <c r="C65" s="105">
        <v>2.42</v>
      </c>
      <c r="D65" s="105">
        <v>0</v>
      </c>
      <c r="E65" s="105"/>
      <c r="F65" s="105"/>
      <c r="G65" s="105">
        <v>22.44</v>
      </c>
      <c r="H65" s="105">
        <v>2.42</v>
      </c>
      <c r="I65" s="105">
        <v>0</v>
      </c>
      <c r="J65" s="105"/>
      <c r="K65" s="105"/>
    </row>
    <row r="66" spans="1:11" x14ac:dyDescent="0.25">
      <c r="A66" s="104">
        <v>59</v>
      </c>
      <c r="B66" s="105">
        <v>21.83</v>
      </c>
      <c r="C66" s="105">
        <v>2.4300000000000002</v>
      </c>
      <c r="D66" s="105">
        <v>0</v>
      </c>
      <c r="E66" s="105"/>
      <c r="F66" s="105"/>
      <c r="G66" s="105">
        <v>21.83</v>
      </c>
      <c r="H66" s="105">
        <v>2.4300000000000002</v>
      </c>
      <c r="I66" s="105">
        <v>0</v>
      </c>
      <c r="J66" s="105"/>
      <c r="K66" s="105"/>
    </row>
    <row r="67" spans="1:11" x14ac:dyDescent="0.25">
      <c r="A67" s="104">
        <v>60</v>
      </c>
      <c r="B67" s="105">
        <v>21.21</v>
      </c>
      <c r="C67" s="105">
        <v>2.4500000000000002</v>
      </c>
      <c r="D67" s="105">
        <v>0</v>
      </c>
      <c r="E67" s="105"/>
      <c r="F67" s="105"/>
      <c r="G67" s="105">
        <v>21.21</v>
      </c>
      <c r="H67" s="105">
        <v>2.4500000000000002</v>
      </c>
      <c r="I67" s="105">
        <v>0</v>
      </c>
      <c r="J67" s="105"/>
      <c r="K67" s="105"/>
    </row>
    <row r="68" spans="1:11" x14ac:dyDescent="0.25">
      <c r="A68" s="104">
        <v>61</v>
      </c>
      <c r="B68" s="105">
        <v>20.58</v>
      </c>
      <c r="C68" s="105">
        <v>2.46</v>
      </c>
      <c r="D68" s="105">
        <v>0</v>
      </c>
      <c r="E68" s="105"/>
      <c r="F68" s="105"/>
      <c r="G68" s="105">
        <v>20.58</v>
      </c>
      <c r="H68" s="105">
        <v>2.46</v>
      </c>
      <c r="I68" s="105">
        <v>0</v>
      </c>
      <c r="J68" s="105"/>
      <c r="K68" s="105"/>
    </row>
    <row r="69" spans="1:11" x14ac:dyDescent="0.25">
      <c r="A69" s="104">
        <v>62</v>
      </c>
      <c r="B69" s="105">
        <v>19.940000000000001</v>
      </c>
      <c r="C69" s="105">
        <v>2.4700000000000002</v>
      </c>
      <c r="D69" s="105">
        <v>0</v>
      </c>
      <c r="E69" s="105"/>
      <c r="F69" s="105"/>
      <c r="G69" s="105">
        <v>19.940000000000001</v>
      </c>
      <c r="H69" s="105">
        <v>2.4700000000000002</v>
      </c>
      <c r="I69" s="105">
        <v>0</v>
      </c>
      <c r="J69" s="105"/>
      <c r="K69" s="105"/>
    </row>
    <row r="70" spans="1:11" x14ac:dyDescent="0.25">
      <c r="A70" s="104">
        <v>63</v>
      </c>
      <c r="B70" s="105">
        <v>19.309999999999999</v>
      </c>
      <c r="C70" s="105">
        <v>2.48</v>
      </c>
      <c r="D70" s="105">
        <v>0</v>
      </c>
      <c r="E70" s="105"/>
      <c r="F70" s="105"/>
      <c r="G70" s="105">
        <v>19.309999999999999</v>
      </c>
      <c r="H70" s="105">
        <v>2.48</v>
      </c>
      <c r="I70" s="105">
        <v>0</v>
      </c>
      <c r="J70" s="105"/>
      <c r="K70" s="105"/>
    </row>
    <row r="71" spans="1:11" x14ac:dyDescent="0.25">
      <c r="A71" s="104">
        <v>64</v>
      </c>
      <c r="B71" s="105">
        <v>18.670000000000002</v>
      </c>
      <c r="C71" s="105">
        <v>2.4700000000000002</v>
      </c>
      <c r="D71" s="105">
        <v>0</v>
      </c>
      <c r="E71" s="105"/>
      <c r="F71" s="105"/>
      <c r="G71" s="105">
        <v>18.670000000000002</v>
      </c>
      <c r="H71" s="105">
        <v>2.4700000000000002</v>
      </c>
      <c r="I71" s="105">
        <v>0</v>
      </c>
      <c r="J71" s="105"/>
      <c r="K71" s="105"/>
    </row>
    <row r="72" spans="1:11" x14ac:dyDescent="0.25">
      <c r="A72" s="104">
        <v>65</v>
      </c>
      <c r="B72" s="105">
        <v>18.04</v>
      </c>
      <c r="C72" s="105">
        <v>2.46</v>
      </c>
      <c r="D72" s="105">
        <v>0</v>
      </c>
      <c r="E72" s="105"/>
      <c r="F72" s="105"/>
      <c r="G72" s="105">
        <v>18.04</v>
      </c>
      <c r="H72" s="105">
        <v>2.46</v>
      </c>
      <c r="I72" s="105">
        <v>0</v>
      </c>
      <c r="J72" s="105"/>
      <c r="K72" s="105"/>
    </row>
    <row r="73" spans="1:11" x14ac:dyDescent="0.25">
      <c r="A73" s="104">
        <v>66</v>
      </c>
      <c r="B73" s="105">
        <v>17.399999999999999</v>
      </c>
      <c r="C73" s="105">
        <v>2.46</v>
      </c>
      <c r="D73" s="105">
        <v>0</v>
      </c>
      <c r="E73" s="105"/>
      <c r="F73" s="105"/>
      <c r="G73" s="105">
        <v>17.399999999999999</v>
      </c>
      <c r="H73" s="105">
        <v>2.46</v>
      </c>
      <c r="I73" s="105">
        <v>0</v>
      </c>
      <c r="J73" s="105"/>
      <c r="K73" s="105"/>
    </row>
    <row r="74" spans="1:11" x14ac:dyDescent="0.25">
      <c r="A74" s="104">
        <v>67</v>
      </c>
      <c r="B74" s="105">
        <v>16.760000000000002</v>
      </c>
      <c r="C74" s="105">
        <v>2.46</v>
      </c>
      <c r="D74" s="105">
        <v>0</v>
      </c>
      <c r="E74" s="105"/>
      <c r="F74" s="105"/>
      <c r="G74" s="105">
        <v>16.760000000000002</v>
      </c>
      <c r="H74" s="105">
        <v>2.46</v>
      </c>
      <c r="I74" s="105">
        <v>0</v>
      </c>
      <c r="J74" s="105"/>
      <c r="K74" s="105"/>
    </row>
    <row r="75" spans="1:11" x14ac:dyDescent="0.25">
      <c r="A75" s="104">
        <v>68</v>
      </c>
      <c r="B75" s="105">
        <v>16.12</v>
      </c>
      <c r="C75" s="105">
        <v>2.4500000000000002</v>
      </c>
      <c r="D75" s="105">
        <v>0</v>
      </c>
      <c r="E75" s="105"/>
      <c r="F75" s="105"/>
      <c r="G75" s="105">
        <v>16.12</v>
      </c>
      <c r="H75" s="105">
        <v>2.4500000000000002</v>
      </c>
      <c r="I75" s="105">
        <v>0</v>
      </c>
      <c r="J75" s="105"/>
      <c r="K75" s="105"/>
    </row>
    <row r="76" spans="1:11" x14ac:dyDescent="0.25">
      <c r="A76" s="104">
        <v>69</v>
      </c>
      <c r="B76" s="105">
        <v>15.48</v>
      </c>
      <c r="C76" s="105">
        <v>2.39</v>
      </c>
      <c r="D76" s="105">
        <v>0</v>
      </c>
      <c r="E76" s="105">
        <v>3.11</v>
      </c>
      <c r="F76" s="105">
        <v>1.03</v>
      </c>
      <c r="G76" s="105">
        <v>15.48</v>
      </c>
      <c r="H76" s="105">
        <v>2.39</v>
      </c>
      <c r="I76" s="105">
        <v>0</v>
      </c>
      <c r="J76" s="105">
        <v>2.8</v>
      </c>
      <c r="K76" s="105">
        <v>0.97</v>
      </c>
    </row>
    <row r="77" spans="1:11" x14ac:dyDescent="0.25">
      <c r="A77" s="104">
        <v>70</v>
      </c>
      <c r="B77" s="105">
        <v>14.84</v>
      </c>
      <c r="C77" s="105">
        <v>2.33</v>
      </c>
      <c r="D77" s="105">
        <v>0</v>
      </c>
      <c r="E77" s="105">
        <v>2.9</v>
      </c>
      <c r="F77" s="105">
        <v>0.96</v>
      </c>
      <c r="G77" s="105">
        <v>14.84</v>
      </c>
      <c r="H77" s="105">
        <v>2.33</v>
      </c>
      <c r="I77" s="105">
        <v>0</v>
      </c>
      <c r="J77" s="105">
        <v>2.6</v>
      </c>
      <c r="K77" s="105">
        <v>0.9</v>
      </c>
    </row>
    <row r="78" spans="1:11" x14ac:dyDescent="0.25">
      <c r="A78" s="104">
        <v>71</v>
      </c>
      <c r="B78" s="105">
        <v>14.2</v>
      </c>
      <c r="C78" s="105">
        <v>2.3199999999999998</v>
      </c>
      <c r="D78" s="105">
        <v>0</v>
      </c>
      <c r="E78" s="105">
        <v>2.69</v>
      </c>
      <c r="F78" s="105">
        <v>0.89</v>
      </c>
      <c r="G78" s="105">
        <v>14.2</v>
      </c>
      <c r="H78" s="105">
        <v>2.3199999999999998</v>
      </c>
      <c r="I78" s="105">
        <v>0</v>
      </c>
      <c r="J78" s="105">
        <v>2.4</v>
      </c>
      <c r="K78" s="105">
        <v>0.83</v>
      </c>
    </row>
    <row r="79" spans="1:11" x14ac:dyDescent="0.25">
      <c r="A79" s="104">
        <v>72</v>
      </c>
      <c r="B79" s="105">
        <v>13.57</v>
      </c>
      <c r="C79" s="105">
        <v>2.2999999999999998</v>
      </c>
      <c r="D79" s="105">
        <v>0</v>
      </c>
      <c r="E79" s="105">
        <v>2.5</v>
      </c>
      <c r="F79" s="105">
        <v>0.82</v>
      </c>
      <c r="G79" s="105">
        <v>13.57</v>
      </c>
      <c r="H79" s="105">
        <v>2.2999999999999998</v>
      </c>
      <c r="I79" s="105">
        <v>0</v>
      </c>
      <c r="J79" s="105">
        <v>2.2200000000000002</v>
      </c>
      <c r="K79" s="105">
        <v>0.76</v>
      </c>
    </row>
    <row r="80" spans="1:11" x14ac:dyDescent="0.25">
      <c r="A80" s="104">
        <v>73</v>
      </c>
      <c r="B80" s="105">
        <v>12.94</v>
      </c>
      <c r="C80" s="105">
        <v>2.2799999999999998</v>
      </c>
      <c r="D80" s="105">
        <v>0</v>
      </c>
      <c r="E80" s="105">
        <v>2.31</v>
      </c>
      <c r="F80" s="105">
        <v>0.76</v>
      </c>
      <c r="G80" s="105">
        <v>12.94</v>
      </c>
      <c r="H80" s="105">
        <v>2.2799999999999998</v>
      </c>
      <c r="I80" s="105">
        <v>0</v>
      </c>
      <c r="J80" s="105">
        <v>2.04</v>
      </c>
      <c r="K80" s="105">
        <v>0.7</v>
      </c>
    </row>
    <row r="81" spans="1:11" x14ac:dyDescent="0.25">
      <c r="A81" s="104">
        <v>74</v>
      </c>
      <c r="B81" s="105">
        <v>12.31</v>
      </c>
      <c r="C81" s="105">
        <v>2.15</v>
      </c>
      <c r="D81" s="105">
        <v>0</v>
      </c>
      <c r="E81" s="105">
        <v>2.12</v>
      </c>
      <c r="F81" s="105">
        <v>0.69</v>
      </c>
      <c r="G81" s="105">
        <v>12.31</v>
      </c>
      <c r="H81" s="105">
        <v>2.15</v>
      </c>
      <c r="I81" s="105">
        <v>0</v>
      </c>
      <c r="J81" s="105">
        <v>1.87</v>
      </c>
      <c r="K81" s="105">
        <v>0.64</v>
      </c>
    </row>
    <row r="82" spans="1:11" x14ac:dyDescent="0.25">
      <c r="A82" s="104">
        <v>75</v>
      </c>
      <c r="B82" s="105">
        <v>11.69</v>
      </c>
      <c r="C82" s="105">
        <v>2.0099999999999998</v>
      </c>
      <c r="D82" s="105">
        <v>0</v>
      </c>
      <c r="E82" s="105">
        <v>1.93</v>
      </c>
      <c r="F82" s="105">
        <v>0.63</v>
      </c>
      <c r="G82" s="105">
        <v>11.69</v>
      </c>
      <c r="H82" s="105">
        <v>2.0099999999999998</v>
      </c>
      <c r="I82" s="105">
        <v>0</v>
      </c>
      <c r="J82" s="105">
        <v>1.71</v>
      </c>
      <c r="K82" s="105">
        <v>0.57999999999999996</v>
      </c>
    </row>
    <row r="83" spans="1:11" x14ac:dyDescent="0.25">
      <c r="A83" s="104">
        <v>76</v>
      </c>
      <c r="B83" s="105">
        <v>11.09</v>
      </c>
      <c r="C83" s="105">
        <v>1.99</v>
      </c>
      <c r="D83" s="105"/>
      <c r="E83" s="105">
        <v>1.77</v>
      </c>
      <c r="F83" s="105">
        <v>0.56999999999999995</v>
      </c>
      <c r="G83" s="105">
        <v>11.09</v>
      </c>
      <c r="H83" s="105">
        <v>1.99</v>
      </c>
      <c r="I83" s="105"/>
      <c r="J83" s="105">
        <v>1.56</v>
      </c>
      <c r="K83" s="105">
        <v>0.53</v>
      </c>
    </row>
    <row r="84" spans="1:11" x14ac:dyDescent="0.25">
      <c r="A84" s="104">
        <v>77</v>
      </c>
      <c r="B84" s="105">
        <v>10.49</v>
      </c>
      <c r="C84" s="105">
        <v>1.95</v>
      </c>
      <c r="D84" s="105"/>
      <c r="E84" s="105">
        <v>1.61</v>
      </c>
      <c r="F84" s="105">
        <v>0.52</v>
      </c>
      <c r="G84" s="105">
        <v>10.49</v>
      </c>
      <c r="H84" s="105">
        <v>1.95</v>
      </c>
      <c r="I84" s="105"/>
      <c r="J84" s="105">
        <v>1.41</v>
      </c>
      <c r="K84" s="105">
        <v>0.48</v>
      </c>
    </row>
    <row r="85" spans="1:11" x14ac:dyDescent="0.25">
      <c r="A85" s="104">
        <v>78</v>
      </c>
      <c r="B85" s="105">
        <v>9.9</v>
      </c>
      <c r="C85" s="105">
        <v>1.92</v>
      </c>
      <c r="D85" s="105"/>
      <c r="E85" s="105">
        <v>1.47</v>
      </c>
      <c r="F85" s="105">
        <v>0.47</v>
      </c>
      <c r="G85" s="105">
        <v>9.9</v>
      </c>
      <c r="H85" s="105">
        <v>1.92</v>
      </c>
      <c r="I85" s="105"/>
      <c r="J85" s="105">
        <v>1.28</v>
      </c>
      <c r="K85" s="105">
        <v>0.43</v>
      </c>
    </row>
    <row r="86" spans="1:11" x14ac:dyDescent="0.25">
      <c r="A86" s="104">
        <v>79</v>
      </c>
      <c r="B86" s="105">
        <v>9.33</v>
      </c>
      <c r="C86" s="105">
        <v>1.73</v>
      </c>
      <c r="D86" s="105"/>
      <c r="E86" s="105">
        <v>1.31</v>
      </c>
      <c r="F86" s="105">
        <v>0.42</v>
      </c>
      <c r="G86" s="105">
        <v>9.33</v>
      </c>
      <c r="H86" s="105">
        <v>1.73</v>
      </c>
      <c r="I86" s="105"/>
      <c r="J86" s="105">
        <v>1.1499999999999999</v>
      </c>
      <c r="K86" s="105">
        <v>0.38</v>
      </c>
    </row>
    <row r="87" spans="1:11" x14ac:dyDescent="0.25">
      <c r="A87" s="104">
        <v>80</v>
      </c>
      <c r="B87" s="105">
        <v>8.77</v>
      </c>
      <c r="C87" s="105">
        <v>1.54</v>
      </c>
      <c r="D87" s="105"/>
      <c r="E87" s="105">
        <v>1.1599999999999999</v>
      </c>
      <c r="F87" s="105">
        <v>0.37</v>
      </c>
      <c r="G87" s="105">
        <v>8.77</v>
      </c>
      <c r="H87" s="105">
        <v>1.54</v>
      </c>
      <c r="I87" s="105"/>
      <c r="J87" s="105">
        <v>1.04</v>
      </c>
      <c r="K87" s="105">
        <v>0.34</v>
      </c>
    </row>
    <row r="88" spans="1:11" x14ac:dyDescent="0.25">
      <c r="A88" s="104">
        <v>81</v>
      </c>
      <c r="B88" s="105">
        <v>8.23</v>
      </c>
      <c r="C88" s="105">
        <v>1.5</v>
      </c>
      <c r="D88" s="105"/>
      <c r="E88" s="105">
        <v>1.05</v>
      </c>
      <c r="F88" s="105">
        <v>0.33</v>
      </c>
      <c r="G88" s="105">
        <v>8.23</v>
      </c>
      <c r="H88" s="105">
        <v>1.5</v>
      </c>
      <c r="I88" s="105"/>
      <c r="J88" s="105">
        <v>0.93</v>
      </c>
      <c r="K88" s="105">
        <v>0.31</v>
      </c>
    </row>
    <row r="89" spans="1:11" x14ac:dyDescent="0.25">
      <c r="A89" s="104">
        <v>82</v>
      </c>
      <c r="B89" s="105">
        <v>7.71</v>
      </c>
      <c r="C89" s="105">
        <v>1.45</v>
      </c>
      <c r="D89" s="105"/>
      <c r="E89" s="105">
        <v>0.94</v>
      </c>
      <c r="F89" s="105">
        <v>0.3</v>
      </c>
      <c r="G89" s="105">
        <v>7.71</v>
      </c>
      <c r="H89" s="105">
        <v>1.45</v>
      </c>
      <c r="I89" s="105"/>
      <c r="J89" s="105">
        <v>0.83</v>
      </c>
      <c r="K89" s="105">
        <v>0.27</v>
      </c>
    </row>
    <row r="90" spans="1:11" x14ac:dyDescent="0.25">
      <c r="A90" s="104">
        <v>83</v>
      </c>
      <c r="B90" s="105">
        <v>7.2</v>
      </c>
      <c r="C90" s="105">
        <v>1.4</v>
      </c>
      <c r="D90" s="105"/>
      <c r="E90" s="105">
        <v>0.84</v>
      </c>
      <c r="F90" s="105">
        <v>0.26</v>
      </c>
      <c r="G90" s="105">
        <v>7.2</v>
      </c>
      <c r="H90" s="105">
        <v>1.4</v>
      </c>
      <c r="I90" s="105"/>
      <c r="J90" s="105">
        <v>0.74</v>
      </c>
      <c r="K90" s="105">
        <v>0.24</v>
      </c>
    </row>
    <row r="91" spans="1:11" x14ac:dyDescent="0.25">
      <c r="A91" s="104">
        <v>84</v>
      </c>
      <c r="B91" s="105">
        <v>6.72</v>
      </c>
      <c r="C91" s="105">
        <v>1.21</v>
      </c>
      <c r="D91" s="105"/>
      <c r="E91" s="105">
        <v>0.73</v>
      </c>
      <c r="F91" s="105">
        <v>0.23</v>
      </c>
      <c r="G91" s="105">
        <v>6.72</v>
      </c>
      <c r="H91" s="105">
        <v>1.21</v>
      </c>
      <c r="I91" s="105"/>
      <c r="J91" s="105">
        <v>0.66</v>
      </c>
      <c r="K91" s="105">
        <v>0.21</v>
      </c>
    </row>
    <row r="92" spans="1:11" x14ac:dyDescent="0.25">
      <c r="A92" s="104">
        <v>85</v>
      </c>
      <c r="B92" s="105">
        <v>6.26</v>
      </c>
      <c r="C92" s="105">
        <v>1.02</v>
      </c>
      <c r="D92" s="105"/>
      <c r="E92" s="105">
        <v>0.63</v>
      </c>
      <c r="F92" s="105">
        <v>0.2</v>
      </c>
      <c r="G92" s="105">
        <v>6.26</v>
      </c>
      <c r="H92" s="105">
        <v>1.02</v>
      </c>
      <c r="I92" s="105"/>
      <c r="J92" s="105">
        <v>0.57999999999999996</v>
      </c>
      <c r="K92" s="105">
        <v>0.19</v>
      </c>
    </row>
    <row r="93" spans="1:11" x14ac:dyDescent="0.25">
      <c r="A93" s="104">
        <v>86</v>
      </c>
      <c r="B93" s="105">
        <v>5.82</v>
      </c>
      <c r="C93" s="105">
        <v>0.98</v>
      </c>
      <c r="D93" s="105"/>
      <c r="E93" s="105">
        <v>0.55000000000000004</v>
      </c>
      <c r="F93" s="105">
        <v>0.17</v>
      </c>
      <c r="G93" s="105">
        <v>5.82</v>
      </c>
      <c r="H93" s="105">
        <v>0.98</v>
      </c>
      <c r="I93" s="105"/>
      <c r="J93" s="105">
        <v>0.51</v>
      </c>
      <c r="K93" s="105">
        <v>0.16</v>
      </c>
    </row>
    <row r="94" spans="1:11" x14ac:dyDescent="0.25">
      <c r="A94" s="104">
        <v>87</v>
      </c>
      <c r="B94" s="105">
        <v>5.4</v>
      </c>
      <c r="C94" s="105">
        <v>0.94</v>
      </c>
      <c r="D94" s="105"/>
      <c r="E94" s="105">
        <v>0.49</v>
      </c>
      <c r="F94" s="105">
        <v>0.15</v>
      </c>
      <c r="G94" s="105">
        <v>5.4</v>
      </c>
      <c r="H94" s="105">
        <v>0.94</v>
      </c>
      <c r="I94" s="105"/>
      <c r="J94" s="105">
        <v>0.45</v>
      </c>
      <c r="K94" s="105">
        <v>0.14000000000000001</v>
      </c>
    </row>
    <row r="95" spans="1:11" x14ac:dyDescent="0.25">
      <c r="A95" s="104">
        <v>88</v>
      </c>
      <c r="B95" s="105">
        <v>5</v>
      </c>
      <c r="C95" s="105">
        <v>0.89</v>
      </c>
      <c r="D95" s="105"/>
      <c r="E95" s="105">
        <v>0.42</v>
      </c>
      <c r="F95" s="105">
        <v>0.13</v>
      </c>
      <c r="G95" s="105">
        <v>5</v>
      </c>
      <c r="H95" s="105">
        <v>0.89</v>
      </c>
      <c r="I95" s="105"/>
      <c r="J95" s="105">
        <v>0.39</v>
      </c>
      <c r="K95" s="105">
        <v>0.13</v>
      </c>
    </row>
    <row r="96" spans="1:11" x14ac:dyDescent="0.25">
      <c r="A96" s="104">
        <v>89</v>
      </c>
      <c r="B96" s="105">
        <v>4.63</v>
      </c>
      <c r="C96" s="105">
        <v>0.71</v>
      </c>
      <c r="D96" s="105"/>
      <c r="E96" s="105">
        <v>0.36</v>
      </c>
      <c r="F96" s="105">
        <v>0.11</v>
      </c>
      <c r="G96" s="105">
        <v>4.63</v>
      </c>
      <c r="H96" s="105">
        <v>0.71</v>
      </c>
      <c r="I96" s="105"/>
      <c r="J96" s="105">
        <v>0.34</v>
      </c>
      <c r="K96" s="105">
        <v>0.11</v>
      </c>
    </row>
    <row r="97" spans="1:11" x14ac:dyDescent="0.25">
      <c r="A97" s="104">
        <v>90</v>
      </c>
      <c r="B97" s="105">
        <v>4.2699999999999996</v>
      </c>
      <c r="C97" s="105">
        <v>0.54</v>
      </c>
      <c r="D97" s="105"/>
      <c r="E97" s="105">
        <v>0.3</v>
      </c>
      <c r="F97" s="105">
        <v>0.09</v>
      </c>
      <c r="G97" s="105">
        <v>4.2699999999999996</v>
      </c>
      <c r="H97" s="105">
        <v>0.54</v>
      </c>
      <c r="I97" s="105"/>
      <c r="J97" s="105">
        <v>0.3</v>
      </c>
      <c r="K97" s="105">
        <v>0.09</v>
      </c>
    </row>
    <row r="98" spans="1:11" x14ac:dyDescent="0.25">
      <c r="A98" s="104">
        <v>91</v>
      </c>
      <c r="B98" s="105">
        <v>3.95</v>
      </c>
      <c r="C98" s="105">
        <v>0.51</v>
      </c>
      <c r="D98" s="105"/>
      <c r="E98" s="105">
        <v>0.26</v>
      </c>
      <c r="F98" s="105">
        <v>0.08</v>
      </c>
      <c r="G98" s="105">
        <v>3.95</v>
      </c>
      <c r="H98" s="105">
        <v>0.51</v>
      </c>
      <c r="I98" s="105"/>
      <c r="J98" s="105">
        <v>0.26</v>
      </c>
      <c r="K98" s="105">
        <v>0.08</v>
      </c>
    </row>
    <row r="99" spans="1:11" x14ac:dyDescent="0.25">
      <c r="A99" s="104">
        <v>92</v>
      </c>
      <c r="B99" s="105">
        <v>3.65</v>
      </c>
      <c r="C99" s="105">
        <v>0.48</v>
      </c>
      <c r="D99" s="105"/>
      <c r="E99" s="105">
        <v>0.23</v>
      </c>
      <c r="F99" s="105">
        <v>7.0000000000000007E-2</v>
      </c>
      <c r="G99" s="105">
        <v>3.65</v>
      </c>
      <c r="H99" s="105">
        <v>0.48</v>
      </c>
      <c r="I99" s="105"/>
      <c r="J99" s="105">
        <v>0.23</v>
      </c>
      <c r="K99" s="105">
        <v>7.0000000000000007E-2</v>
      </c>
    </row>
    <row r="100" spans="1:11" x14ac:dyDescent="0.25">
      <c r="A100" s="104">
        <v>93</v>
      </c>
      <c r="B100" s="105">
        <v>3.37</v>
      </c>
      <c r="C100" s="105">
        <v>0.45</v>
      </c>
      <c r="D100" s="105"/>
      <c r="E100" s="105">
        <v>0.2</v>
      </c>
      <c r="F100" s="105">
        <v>0.06</v>
      </c>
      <c r="G100" s="105">
        <v>3.37</v>
      </c>
      <c r="H100" s="105">
        <v>0.45</v>
      </c>
      <c r="I100" s="105"/>
      <c r="J100" s="105">
        <v>0.2</v>
      </c>
      <c r="K100" s="105">
        <v>0.06</v>
      </c>
    </row>
    <row r="101" spans="1:11" x14ac:dyDescent="0.25">
      <c r="A101" s="104">
        <v>94</v>
      </c>
      <c r="B101" s="105">
        <v>3.13</v>
      </c>
      <c r="C101" s="105">
        <v>0.42</v>
      </c>
      <c r="D101" s="105"/>
      <c r="E101" s="105">
        <v>0.17</v>
      </c>
      <c r="F101" s="105">
        <v>0.05</v>
      </c>
      <c r="G101" s="105">
        <v>3.13</v>
      </c>
      <c r="H101" s="105">
        <v>0.42</v>
      </c>
      <c r="I101" s="105"/>
      <c r="J101" s="105">
        <v>0.17</v>
      </c>
      <c r="K101" s="105">
        <v>0.05</v>
      </c>
    </row>
    <row r="102" spans="1:11" x14ac:dyDescent="0.25">
      <c r="A102" s="104">
        <v>95</v>
      </c>
      <c r="B102" s="105">
        <v>2.9</v>
      </c>
      <c r="C102" s="105">
        <v>0.39</v>
      </c>
      <c r="D102" s="105"/>
      <c r="E102" s="105">
        <v>0.15</v>
      </c>
      <c r="F102" s="105">
        <v>0.05</v>
      </c>
      <c r="G102" s="105">
        <v>2.9</v>
      </c>
      <c r="H102" s="105">
        <v>0.39</v>
      </c>
      <c r="I102" s="105"/>
      <c r="J102" s="105">
        <v>0.15</v>
      </c>
      <c r="K102" s="105">
        <v>0.05</v>
      </c>
    </row>
    <row r="103" spans="1:11" x14ac:dyDescent="0.25">
      <c r="A103" s="104">
        <v>96</v>
      </c>
      <c r="B103" s="105">
        <v>2.7</v>
      </c>
      <c r="C103" s="105">
        <v>0.37</v>
      </c>
      <c r="D103" s="105"/>
      <c r="E103" s="105">
        <v>0.13</v>
      </c>
      <c r="F103" s="105">
        <v>0.04</v>
      </c>
      <c r="G103" s="105">
        <v>2.7</v>
      </c>
      <c r="H103" s="105">
        <v>0.37</v>
      </c>
      <c r="I103" s="105"/>
      <c r="J103" s="105">
        <v>0.13</v>
      </c>
      <c r="K103" s="105">
        <v>0.04</v>
      </c>
    </row>
    <row r="104" spans="1:11" x14ac:dyDescent="0.25">
      <c r="A104" s="104">
        <v>97</v>
      </c>
      <c r="B104" s="105">
        <v>2.5299999999999998</v>
      </c>
      <c r="C104" s="105">
        <v>0.34</v>
      </c>
      <c r="D104" s="105"/>
      <c r="E104" s="105">
        <v>0.12</v>
      </c>
      <c r="F104" s="105">
        <v>0.04</v>
      </c>
      <c r="G104" s="105">
        <v>2.5299999999999998</v>
      </c>
      <c r="H104" s="105">
        <v>0.34</v>
      </c>
      <c r="I104" s="105"/>
      <c r="J104" s="105">
        <v>0.12</v>
      </c>
      <c r="K104" s="105">
        <v>0.04</v>
      </c>
    </row>
    <row r="105" spans="1:11" x14ac:dyDescent="0.25">
      <c r="A105" s="104">
        <v>98</v>
      </c>
      <c r="B105" s="105">
        <v>2.37</v>
      </c>
      <c r="C105" s="105">
        <v>0.32</v>
      </c>
      <c r="D105" s="105"/>
      <c r="E105" s="105">
        <v>0.1</v>
      </c>
      <c r="F105" s="105">
        <v>0.03</v>
      </c>
      <c r="G105" s="105">
        <v>2.37</v>
      </c>
      <c r="H105" s="105">
        <v>0.32</v>
      </c>
      <c r="I105" s="105"/>
      <c r="J105" s="105">
        <v>0.1</v>
      </c>
      <c r="K105" s="105">
        <v>0.03</v>
      </c>
    </row>
  </sheetData>
  <sheetProtection algorithmName="SHA-512" hashValue="0ZNDq8oMwR7o9jA/CP9U4ABvQV9u4po0qU1YnQJjnTGf9zSXRW5w/QOlFVENwDXsAMwE6uX02OiUcdP2PRA5ew==" saltValue="+kdywulRyriGY4FdZ4hymw==" spinCount="100000" sheet="1" objects="1" scenarios="1"/>
  <conditionalFormatting sqref="A6:A21">
    <cfRule type="expression" dxfId="1193" priority="1" stopIfTrue="1">
      <formula>MOD(ROW(),2)=0</formula>
    </cfRule>
    <cfRule type="expression" dxfId="1192" priority="2" stopIfTrue="1">
      <formula>MOD(ROW(),2)&lt;&gt;0</formula>
    </cfRule>
  </conditionalFormatting>
  <conditionalFormatting sqref="A26:A105">
    <cfRule type="expression" dxfId="1191" priority="13" stopIfTrue="1">
      <formula>MOD(ROW(),2)=0</formula>
    </cfRule>
    <cfRule type="expression" dxfId="1190" priority="14" stopIfTrue="1">
      <formula>MOD(ROW(),2)&lt;&gt;0</formula>
    </cfRule>
  </conditionalFormatting>
  <conditionalFormatting sqref="B8">
    <cfRule type="expression" dxfId="1189" priority="19" stopIfTrue="1">
      <formula>MOD(ROW(),2)=0</formula>
    </cfRule>
    <cfRule type="expression" dxfId="1188" priority="20" stopIfTrue="1">
      <formula>MOD(ROW(),2)&lt;&gt;0</formula>
    </cfRule>
  </conditionalFormatting>
  <conditionalFormatting sqref="B12">
    <cfRule type="expression" dxfId="1187" priority="17" stopIfTrue="1">
      <formula>MOD(ROW(),2)=0</formula>
    </cfRule>
    <cfRule type="expression" dxfId="1186" priority="18" stopIfTrue="1">
      <formula>MOD(ROW(),2)&lt;&gt;0</formula>
    </cfRule>
  </conditionalFormatting>
  <conditionalFormatting sqref="B17:B21">
    <cfRule type="expression" dxfId="1185" priority="3" stopIfTrue="1">
      <formula>MOD(ROW(),2)=0</formula>
    </cfRule>
    <cfRule type="expression" dxfId="1184" priority="4" stopIfTrue="1">
      <formula>MOD(ROW(),2)&lt;&gt;0</formula>
    </cfRule>
  </conditionalFormatting>
  <conditionalFormatting sqref="B6:K6 C7:K8 B9:K11 C12:K12 B13:K16 C17:K20">
    <cfRule type="expression" dxfId="1183" priority="45" stopIfTrue="1">
      <formula>MOD(ROW(),2)=0</formula>
    </cfRule>
    <cfRule type="expression" dxfId="1182" priority="46" stopIfTrue="1">
      <formula>MOD(ROW(),2)&lt;&gt;0</formula>
    </cfRule>
  </conditionalFormatting>
  <conditionalFormatting sqref="B6:K21">
    <cfRule type="expression" dxfId="1181" priority="33" stopIfTrue="1">
      <formula>MOD(ROW(),2)=0</formula>
    </cfRule>
    <cfRule type="expression" dxfId="1180" priority="34" stopIfTrue="1">
      <formula>MOD(ROW(),2)&lt;&gt;0</formula>
    </cfRule>
  </conditionalFormatting>
  <conditionalFormatting sqref="B26:K105">
    <cfRule type="expression" dxfId="1179" priority="15" stopIfTrue="1">
      <formula>MOD(ROW(),2)=0</formula>
    </cfRule>
    <cfRule type="expression" dxfId="1178" priority="16" stopIfTrue="1">
      <formula>MOD(ROW(),2)&lt;&gt;0</formula>
    </cfRule>
  </conditionalFormatting>
  <conditionalFormatting sqref="C21:K21">
    <cfRule type="expression" dxfId="1177" priority="5" stopIfTrue="1">
      <formula>MOD(ROW(),2)=0</formula>
    </cfRule>
    <cfRule type="expression" dxfId="1176" priority="6" stopIfTrue="1">
      <formula>MOD(ROW(),2)&lt;&gt;0</formula>
    </cfRule>
  </conditionalFormatting>
  <hyperlinks>
    <hyperlink ref="B24" location="Sheet1!A1" display="Assumptions" xr:uid="{125ED03B-50D6-47CB-A55A-C55DF1F19C1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83"/>
  <sheetViews>
    <sheetView showGridLines="0" zoomScale="85" zoomScaleNormal="85" workbookViewId="0">
      <pane ySplit="9" topLeftCell="A68" activePane="bottomLeft" state="frozen"/>
      <selection activeCell="A3" sqref="A3"/>
      <selection pane="bottomLeft" activeCell="A3" sqref="A3"/>
    </sheetView>
  </sheetViews>
  <sheetFormatPr defaultRowHeight="13.2" x14ac:dyDescent="0.25"/>
  <cols>
    <col min="1" max="1" width="61.5546875" customWidth="1"/>
    <col min="2" max="2" width="3.44140625" customWidth="1"/>
    <col min="3" max="3" width="62.5546875" customWidth="1"/>
    <col min="257" max="257" width="66.77734375" customWidth="1"/>
    <col min="258" max="258" width="3.44140625" customWidth="1"/>
    <col min="259" max="259" width="62.5546875" customWidth="1"/>
    <col min="513" max="513" width="66.77734375" customWidth="1"/>
    <col min="514" max="514" width="3.44140625" customWidth="1"/>
    <col min="515" max="515" width="62.5546875" customWidth="1"/>
    <col min="769" max="769" width="66.77734375" customWidth="1"/>
    <col min="770" max="770" width="3.44140625" customWidth="1"/>
    <col min="771" max="771" width="62.5546875" customWidth="1"/>
    <col min="1025" max="1025" width="66.77734375" customWidth="1"/>
    <col min="1026" max="1026" width="3.44140625" customWidth="1"/>
    <col min="1027" max="1027" width="62.5546875" customWidth="1"/>
    <col min="1281" max="1281" width="66.77734375" customWidth="1"/>
    <col min="1282" max="1282" width="3.44140625" customWidth="1"/>
    <col min="1283" max="1283" width="62.5546875" customWidth="1"/>
    <col min="1537" max="1537" width="66.77734375" customWidth="1"/>
    <col min="1538" max="1538" width="3.44140625" customWidth="1"/>
    <col min="1539" max="1539" width="62.5546875" customWidth="1"/>
    <col min="1793" max="1793" width="66.77734375" customWidth="1"/>
    <col min="1794" max="1794" width="3.44140625" customWidth="1"/>
    <col min="1795" max="1795" width="62.5546875" customWidth="1"/>
    <col min="2049" max="2049" width="66.77734375" customWidth="1"/>
    <col min="2050" max="2050" width="3.44140625" customWidth="1"/>
    <col min="2051" max="2051" width="62.5546875" customWidth="1"/>
    <col min="2305" max="2305" width="66.77734375" customWidth="1"/>
    <col min="2306" max="2306" width="3.44140625" customWidth="1"/>
    <col min="2307" max="2307" width="62.5546875" customWidth="1"/>
    <col min="2561" max="2561" width="66.77734375" customWidth="1"/>
    <col min="2562" max="2562" width="3.44140625" customWidth="1"/>
    <col min="2563" max="2563" width="62.5546875" customWidth="1"/>
    <col min="2817" max="2817" width="66.77734375" customWidth="1"/>
    <col min="2818" max="2818" width="3.44140625" customWidth="1"/>
    <col min="2819" max="2819" width="62.5546875" customWidth="1"/>
    <col min="3073" max="3073" width="66.77734375" customWidth="1"/>
    <col min="3074" max="3074" width="3.44140625" customWidth="1"/>
    <col min="3075" max="3075" width="62.5546875" customWidth="1"/>
    <col min="3329" max="3329" width="66.77734375" customWidth="1"/>
    <col min="3330" max="3330" width="3.44140625" customWidth="1"/>
    <col min="3331" max="3331" width="62.5546875" customWidth="1"/>
    <col min="3585" max="3585" width="66.77734375" customWidth="1"/>
    <col min="3586" max="3586" width="3.44140625" customWidth="1"/>
    <col min="3587" max="3587" width="62.5546875" customWidth="1"/>
    <col min="3841" max="3841" width="66.77734375" customWidth="1"/>
    <col min="3842" max="3842" width="3.44140625" customWidth="1"/>
    <col min="3843" max="3843" width="62.5546875" customWidth="1"/>
    <col min="4097" max="4097" width="66.77734375" customWidth="1"/>
    <col min="4098" max="4098" width="3.44140625" customWidth="1"/>
    <col min="4099" max="4099" width="62.5546875" customWidth="1"/>
    <col min="4353" max="4353" width="66.77734375" customWidth="1"/>
    <col min="4354" max="4354" width="3.44140625" customWidth="1"/>
    <col min="4355" max="4355" width="62.5546875" customWidth="1"/>
    <col min="4609" max="4609" width="66.77734375" customWidth="1"/>
    <col min="4610" max="4610" width="3.44140625" customWidth="1"/>
    <col min="4611" max="4611" width="62.5546875" customWidth="1"/>
    <col min="4865" max="4865" width="66.77734375" customWidth="1"/>
    <col min="4866" max="4866" width="3.44140625" customWidth="1"/>
    <col min="4867" max="4867" width="62.5546875" customWidth="1"/>
    <col min="5121" max="5121" width="66.77734375" customWidth="1"/>
    <col min="5122" max="5122" width="3.44140625" customWidth="1"/>
    <col min="5123" max="5123" width="62.5546875" customWidth="1"/>
    <col min="5377" max="5377" width="66.77734375" customWidth="1"/>
    <col min="5378" max="5378" width="3.44140625" customWidth="1"/>
    <col min="5379" max="5379" width="62.5546875" customWidth="1"/>
    <col min="5633" max="5633" width="66.77734375" customWidth="1"/>
    <col min="5634" max="5634" width="3.44140625" customWidth="1"/>
    <col min="5635" max="5635" width="62.5546875" customWidth="1"/>
    <col min="5889" max="5889" width="66.77734375" customWidth="1"/>
    <col min="5890" max="5890" width="3.44140625" customWidth="1"/>
    <col min="5891" max="5891" width="62.5546875" customWidth="1"/>
    <col min="6145" max="6145" width="66.77734375" customWidth="1"/>
    <col min="6146" max="6146" width="3.44140625" customWidth="1"/>
    <col min="6147" max="6147" width="62.5546875" customWidth="1"/>
    <col min="6401" max="6401" width="66.77734375" customWidth="1"/>
    <col min="6402" max="6402" width="3.44140625" customWidth="1"/>
    <col min="6403" max="6403" width="62.5546875" customWidth="1"/>
    <col min="6657" max="6657" width="66.77734375" customWidth="1"/>
    <col min="6658" max="6658" width="3.44140625" customWidth="1"/>
    <col min="6659" max="6659" width="62.5546875" customWidth="1"/>
    <col min="6913" max="6913" width="66.77734375" customWidth="1"/>
    <col min="6914" max="6914" width="3.44140625" customWidth="1"/>
    <col min="6915" max="6915" width="62.5546875" customWidth="1"/>
    <col min="7169" max="7169" width="66.77734375" customWidth="1"/>
    <col min="7170" max="7170" width="3.44140625" customWidth="1"/>
    <col min="7171" max="7171" width="62.5546875" customWidth="1"/>
    <col min="7425" max="7425" width="66.77734375" customWidth="1"/>
    <col min="7426" max="7426" width="3.44140625" customWidth="1"/>
    <col min="7427" max="7427" width="62.5546875" customWidth="1"/>
    <col min="7681" max="7681" width="66.77734375" customWidth="1"/>
    <col min="7682" max="7682" width="3.44140625" customWidth="1"/>
    <col min="7683" max="7683" width="62.5546875" customWidth="1"/>
    <col min="7937" max="7937" width="66.77734375" customWidth="1"/>
    <col min="7938" max="7938" width="3.44140625" customWidth="1"/>
    <col min="7939" max="7939" width="62.5546875" customWidth="1"/>
    <col min="8193" max="8193" width="66.77734375" customWidth="1"/>
    <col min="8194" max="8194" width="3.44140625" customWidth="1"/>
    <col min="8195" max="8195" width="62.5546875" customWidth="1"/>
    <col min="8449" max="8449" width="66.77734375" customWidth="1"/>
    <col min="8450" max="8450" width="3.44140625" customWidth="1"/>
    <col min="8451" max="8451" width="62.5546875" customWidth="1"/>
    <col min="8705" max="8705" width="66.77734375" customWidth="1"/>
    <col min="8706" max="8706" width="3.44140625" customWidth="1"/>
    <col min="8707" max="8707" width="62.5546875" customWidth="1"/>
    <col min="8961" max="8961" width="66.77734375" customWidth="1"/>
    <col min="8962" max="8962" width="3.44140625" customWidth="1"/>
    <col min="8963" max="8963" width="62.5546875" customWidth="1"/>
    <col min="9217" max="9217" width="66.77734375" customWidth="1"/>
    <col min="9218" max="9218" width="3.44140625" customWidth="1"/>
    <col min="9219" max="9219" width="62.5546875" customWidth="1"/>
    <col min="9473" max="9473" width="66.77734375" customWidth="1"/>
    <col min="9474" max="9474" width="3.44140625" customWidth="1"/>
    <col min="9475" max="9475" width="62.5546875" customWidth="1"/>
    <col min="9729" max="9729" width="66.77734375" customWidth="1"/>
    <col min="9730" max="9730" width="3.44140625" customWidth="1"/>
    <col min="9731" max="9731" width="62.5546875" customWidth="1"/>
    <col min="9985" max="9985" width="66.77734375" customWidth="1"/>
    <col min="9986" max="9986" width="3.44140625" customWidth="1"/>
    <col min="9987" max="9987" width="62.5546875" customWidth="1"/>
    <col min="10241" max="10241" width="66.77734375" customWidth="1"/>
    <col min="10242" max="10242" width="3.44140625" customWidth="1"/>
    <col min="10243" max="10243" width="62.5546875" customWidth="1"/>
    <col min="10497" max="10497" width="66.77734375" customWidth="1"/>
    <col min="10498" max="10498" width="3.44140625" customWidth="1"/>
    <col min="10499" max="10499" width="62.5546875" customWidth="1"/>
    <col min="10753" max="10753" width="66.77734375" customWidth="1"/>
    <col min="10754" max="10754" width="3.44140625" customWidth="1"/>
    <col min="10755" max="10755" width="62.5546875" customWidth="1"/>
    <col min="11009" max="11009" width="66.77734375" customWidth="1"/>
    <col min="11010" max="11010" width="3.44140625" customWidth="1"/>
    <col min="11011" max="11011" width="62.5546875" customWidth="1"/>
    <col min="11265" max="11265" width="66.77734375" customWidth="1"/>
    <col min="11266" max="11266" width="3.44140625" customWidth="1"/>
    <col min="11267" max="11267" width="62.5546875" customWidth="1"/>
    <col min="11521" max="11521" width="66.77734375" customWidth="1"/>
    <col min="11522" max="11522" width="3.44140625" customWidth="1"/>
    <col min="11523" max="11523" width="62.5546875" customWidth="1"/>
    <col min="11777" max="11777" width="66.77734375" customWidth="1"/>
    <col min="11778" max="11778" width="3.44140625" customWidth="1"/>
    <col min="11779" max="11779" width="62.5546875" customWidth="1"/>
    <col min="12033" max="12033" width="66.77734375" customWidth="1"/>
    <col min="12034" max="12034" width="3.44140625" customWidth="1"/>
    <col min="12035" max="12035" width="62.5546875" customWidth="1"/>
    <col min="12289" max="12289" width="66.77734375" customWidth="1"/>
    <col min="12290" max="12290" width="3.44140625" customWidth="1"/>
    <col min="12291" max="12291" width="62.5546875" customWidth="1"/>
    <col min="12545" max="12545" width="66.77734375" customWidth="1"/>
    <col min="12546" max="12546" width="3.44140625" customWidth="1"/>
    <col min="12547" max="12547" width="62.5546875" customWidth="1"/>
    <col min="12801" max="12801" width="66.77734375" customWidth="1"/>
    <col min="12802" max="12802" width="3.44140625" customWidth="1"/>
    <col min="12803" max="12803" width="62.5546875" customWidth="1"/>
    <col min="13057" max="13057" width="66.77734375" customWidth="1"/>
    <col min="13058" max="13058" width="3.44140625" customWidth="1"/>
    <col min="13059" max="13059" width="62.5546875" customWidth="1"/>
    <col min="13313" max="13313" width="66.77734375" customWidth="1"/>
    <col min="13314" max="13314" width="3.44140625" customWidth="1"/>
    <col min="13315" max="13315" width="62.5546875" customWidth="1"/>
    <col min="13569" max="13569" width="66.77734375" customWidth="1"/>
    <col min="13570" max="13570" width="3.44140625" customWidth="1"/>
    <col min="13571" max="13571" width="62.5546875" customWidth="1"/>
    <col min="13825" max="13825" width="66.77734375" customWidth="1"/>
    <col min="13826" max="13826" width="3.44140625" customWidth="1"/>
    <col min="13827" max="13827" width="62.5546875" customWidth="1"/>
    <col min="14081" max="14081" width="66.77734375" customWidth="1"/>
    <col min="14082" max="14082" width="3.44140625" customWidth="1"/>
    <col min="14083" max="14083" width="62.5546875" customWidth="1"/>
    <col min="14337" max="14337" width="66.77734375" customWidth="1"/>
    <col min="14338" max="14338" width="3.44140625" customWidth="1"/>
    <col min="14339" max="14339" width="62.5546875" customWidth="1"/>
    <col min="14593" max="14593" width="66.77734375" customWidth="1"/>
    <col min="14594" max="14594" width="3.44140625" customWidth="1"/>
    <col min="14595" max="14595" width="62.5546875" customWidth="1"/>
    <col min="14849" max="14849" width="66.77734375" customWidth="1"/>
    <col min="14850" max="14850" width="3.44140625" customWidth="1"/>
    <col min="14851" max="14851" width="62.5546875" customWidth="1"/>
    <col min="15105" max="15105" width="66.77734375" customWidth="1"/>
    <col min="15106" max="15106" width="3.44140625" customWidth="1"/>
    <col min="15107" max="15107" width="62.5546875" customWidth="1"/>
    <col min="15361" max="15361" width="66.77734375" customWidth="1"/>
    <col min="15362" max="15362" width="3.44140625" customWidth="1"/>
    <col min="15363" max="15363" width="62.5546875" customWidth="1"/>
    <col min="15617" max="15617" width="66.77734375" customWidth="1"/>
    <col min="15618" max="15618" width="3.44140625" customWidth="1"/>
    <col min="15619" max="15619" width="62.5546875" customWidth="1"/>
    <col min="15873" max="15873" width="66.77734375" customWidth="1"/>
    <col min="15874" max="15874" width="3.44140625" customWidth="1"/>
    <col min="15875" max="15875" width="62.5546875" customWidth="1"/>
    <col min="16129" max="16129" width="66.77734375" customWidth="1"/>
    <col min="16130" max="16130" width="3.44140625" customWidth="1"/>
    <col min="16131" max="16131" width="62.5546875" customWidth="1"/>
  </cols>
  <sheetData>
    <row r="1" spans="1:12" ht="21" x14ac:dyDescent="0.4">
      <c r="A1" s="4" t="s">
        <v>0</v>
      </c>
      <c r="B1" s="4"/>
      <c r="C1" s="4"/>
      <c r="D1" s="4"/>
      <c r="E1" s="4"/>
      <c r="F1" s="4"/>
      <c r="G1" s="4"/>
      <c r="H1" s="4"/>
      <c r="I1" s="4"/>
      <c r="J1" s="4"/>
      <c r="K1" s="4"/>
      <c r="L1" s="4"/>
    </row>
    <row r="2" spans="1:12" ht="15.6" x14ac:dyDescent="0.3">
      <c r="A2" s="5" t="str">
        <f>IF(title="&gt; Enter workbook title here","Enter workbook title in Cover sheet",title)</f>
        <v>Civil Service Pension Schemes - Consolidated Factor Spreadsheet</v>
      </c>
      <c r="B2" s="5"/>
      <c r="C2" s="5"/>
      <c r="D2" s="5"/>
      <c r="E2" s="5"/>
      <c r="F2" s="5"/>
      <c r="G2" s="5"/>
      <c r="H2" s="5"/>
      <c r="I2" s="5"/>
      <c r="J2" s="5"/>
      <c r="K2" s="5"/>
      <c r="L2" s="5"/>
    </row>
    <row r="3" spans="1:12" ht="15.6" x14ac:dyDescent="0.3">
      <c r="A3" s="6" t="s">
        <v>34</v>
      </c>
      <c r="B3" s="6"/>
      <c r="C3" s="6"/>
      <c r="D3" s="6"/>
      <c r="E3" s="6"/>
      <c r="F3" s="6"/>
      <c r="G3" s="6"/>
      <c r="H3" s="6"/>
      <c r="I3" s="6"/>
      <c r="J3" s="6"/>
      <c r="K3" s="6"/>
      <c r="L3" s="6"/>
    </row>
    <row r="4" spans="1:12" x14ac:dyDescent="0.25">
      <c r="A4" s="7"/>
      <c r="B4" s="7"/>
    </row>
    <row r="5" spans="1:12" x14ac:dyDescent="0.25">
      <c r="E5" s="8"/>
      <c r="F5" s="8"/>
      <c r="G5" s="8"/>
    </row>
    <row r="6" spans="1:12" ht="15.6" x14ac:dyDescent="0.25">
      <c r="A6" s="113" t="s">
        <v>35</v>
      </c>
      <c r="B6" s="77"/>
      <c r="C6" s="77"/>
    </row>
    <row r="7" spans="1:12" x14ac:dyDescent="0.25">
      <c r="A7" s="121"/>
      <c r="B7" s="121"/>
      <c r="C7" s="121"/>
    </row>
    <row r="8" spans="1:12" x14ac:dyDescent="0.25">
      <c r="A8" s="122" t="s">
        <v>36</v>
      </c>
      <c r="B8" s="121"/>
      <c r="C8" s="121"/>
    </row>
    <row r="9" spans="1:12" x14ac:dyDescent="0.25">
      <c r="A9" s="122" t="s">
        <v>37</v>
      </c>
      <c r="B9" s="121"/>
      <c r="C9" s="121"/>
    </row>
    <row r="11" spans="1:12" x14ac:dyDescent="0.25">
      <c r="A11" s="107" t="s">
        <v>38</v>
      </c>
      <c r="B11" s="107"/>
      <c r="C11" s="108"/>
    </row>
    <row r="12" spans="1:12" x14ac:dyDescent="0.25">
      <c r="A12" s="109" t="s">
        <v>39</v>
      </c>
      <c r="B12" s="110"/>
      <c r="C12" s="109"/>
    </row>
    <row r="13" spans="1:12" x14ac:dyDescent="0.25">
      <c r="A13" s="109" t="s">
        <v>40</v>
      </c>
      <c r="B13" s="110"/>
      <c r="C13" s="109" t="s">
        <v>41</v>
      </c>
    </row>
    <row r="14" spans="1:12" x14ac:dyDescent="0.25">
      <c r="A14" s="109" t="s">
        <v>42</v>
      </c>
      <c r="B14" s="110"/>
      <c r="C14" s="111"/>
    </row>
    <row r="15" spans="1:12" x14ac:dyDescent="0.25">
      <c r="A15" s="109" t="s">
        <v>43</v>
      </c>
      <c r="B15" s="110"/>
      <c r="C15" s="109" t="s">
        <v>44</v>
      </c>
    </row>
    <row r="16" spans="1:12" x14ac:dyDescent="0.25">
      <c r="A16" s="109" t="s">
        <v>45</v>
      </c>
      <c r="B16" s="110"/>
      <c r="C16" s="109" t="s">
        <v>46</v>
      </c>
    </row>
    <row r="17" spans="1:3" x14ac:dyDescent="0.25">
      <c r="A17" s="109" t="s">
        <v>47</v>
      </c>
      <c r="B17" s="108"/>
      <c r="C17" s="112">
        <v>43413</v>
      </c>
    </row>
    <row r="19" spans="1:3" x14ac:dyDescent="0.25">
      <c r="A19" s="107" t="s">
        <v>48</v>
      </c>
      <c r="B19" s="107"/>
      <c r="C19" s="108"/>
    </row>
    <row r="20" spans="1:3" x14ac:dyDescent="0.25">
      <c r="A20" s="109" t="s">
        <v>39</v>
      </c>
      <c r="B20" s="110"/>
      <c r="C20" s="109"/>
    </row>
    <row r="21" spans="1:3" x14ac:dyDescent="0.25">
      <c r="A21" s="109" t="s">
        <v>40</v>
      </c>
      <c r="B21" s="110"/>
      <c r="C21" s="109" t="s">
        <v>49</v>
      </c>
    </row>
    <row r="22" spans="1:3" x14ac:dyDescent="0.25">
      <c r="A22" s="109" t="s">
        <v>42</v>
      </c>
      <c r="B22" s="110"/>
      <c r="C22" s="111"/>
    </row>
    <row r="23" spans="1:3" x14ac:dyDescent="0.25">
      <c r="A23" s="109" t="s">
        <v>43</v>
      </c>
      <c r="B23" s="110"/>
      <c r="C23" s="109" t="s">
        <v>50</v>
      </c>
    </row>
    <row r="24" spans="1:3" x14ac:dyDescent="0.25">
      <c r="A24" s="109" t="s">
        <v>45</v>
      </c>
      <c r="B24" s="110"/>
      <c r="C24" s="109" t="s">
        <v>46</v>
      </c>
    </row>
    <row r="25" spans="1:3" x14ac:dyDescent="0.25">
      <c r="A25" s="109" t="s">
        <v>47</v>
      </c>
      <c r="B25" s="108"/>
      <c r="C25" s="112">
        <v>43441</v>
      </c>
    </row>
    <row r="27" spans="1:3" x14ac:dyDescent="0.25">
      <c r="A27" s="107" t="s">
        <v>51</v>
      </c>
      <c r="B27" s="107"/>
      <c r="C27" s="108"/>
    </row>
    <row r="28" spans="1:3" x14ac:dyDescent="0.25">
      <c r="A28" s="109" t="s">
        <v>39</v>
      </c>
      <c r="B28" s="110"/>
      <c r="C28" s="109"/>
    </row>
    <row r="29" spans="1:3" x14ac:dyDescent="0.25">
      <c r="A29" s="109" t="s">
        <v>40</v>
      </c>
      <c r="B29" s="110"/>
      <c r="C29" s="109" t="s">
        <v>52</v>
      </c>
    </row>
    <row r="30" spans="1:3" x14ac:dyDescent="0.25">
      <c r="A30" s="109" t="s">
        <v>42</v>
      </c>
      <c r="B30" s="110"/>
      <c r="C30" s="111"/>
    </row>
    <row r="31" spans="1:3" x14ac:dyDescent="0.25">
      <c r="A31" s="109" t="s">
        <v>43</v>
      </c>
      <c r="B31" s="110"/>
      <c r="C31" s="109" t="s">
        <v>50</v>
      </c>
    </row>
    <row r="32" spans="1:3" x14ac:dyDescent="0.25">
      <c r="A32" s="109" t="s">
        <v>45</v>
      </c>
      <c r="B32" s="110"/>
      <c r="C32" s="109" t="s">
        <v>46</v>
      </c>
    </row>
    <row r="33" spans="1:3" x14ac:dyDescent="0.25">
      <c r="A33" s="109" t="s">
        <v>47</v>
      </c>
      <c r="B33" s="108"/>
      <c r="C33" s="112">
        <v>43455</v>
      </c>
    </row>
    <row r="35" spans="1:3" x14ac:dyDescent="0.25">
      <c r="A35" s="107" t="s">
        <v>53</v>
      </c>
      <c r="B35" s="107"/>
      <c r="C35" s="108"/>
    </row>
    <row r="36" spans="1:3" x14ac:dyDescent="0.25">
      <c r="A36" s="109" t="s">
        <v>39</v>
      </c>
      <c r="B36" s="110"/>
      <c r="C36" s="109"/>
    </row>
    <row r="37" spans="1:3" ht="39.6" x14ac:dyDescent="0.25">
      <c r="A37" s="109" t="s">
        <v>40</v>
      </c>
      <c r="B37" s="110"/>
      <c r="C37" s="109" t="s">
        <v>54</v>
      </c>
    </row>
    <row r="38" spans="1:3" x14ac:dyDescent="0.25">
      <c r="A38" s="109" t="s">
        <v>42</v>
      </c>
      <c r="B38" s="110"/>
      <c r="C38" s="111"/>
    </row>
    <row r="39" spans="1:3" x14ac:dyDescent="0.25">
      <c r="A39" s="109" t="s">
        <v>43</v>
      </c>
      <c r="B39" s="110"/>
      <c r="C39" s="109" t="s">
        <v>55</v>
      </c>
    </row>
    <row r="40" spans="1:3" x14ac:dyDescent="0.25">
      <c r="A40" s="109" t="s">
        <v>45</v>
      </c>
      <c r="B40" s="110"/>
      <c r="C40" s="109" t="s">
        <v>46</v>
      </c>
    </row>
    <row r="41" spans="1:3" x14ac:dyDescent="0.25">
      <c r="A41" s="109" t="s">
        <v>47</v>
      </c>
      <c r="B41" s="108"/>
      <c r="C41" s="112">
        <v>43535</v>
      </c>
    </row>
    <row r="43" spans="1:3" x14ac:dyDescent="0.25">
      <c r="A43" s="107" t="s">
        <v>56</v>
      </c>
      <c r="B43" s="108"/>
      <c r="C43" s="108"/>
    </row>
    <row r="44" spans="1:3" x14ac:dyDescent="0.25">
      <c r="A44" s="108" t="s">
        <v>39</v>
      </c>
      <c r="B44" s="108"/>
      <c r="C44" s="110"/>
    </row>
    <row r="45" spans="1:3" ht="26.4" x14ac:dyDescent="0.25">
      <c r="A45" s="108" t="s">
        <v>57</v>
      </c>
      <c r="B45" s="108"/>
      <c r="C45" s="110" t="s">
        <v>58</v>
      </c>
    </row>
    <row r="46" spans="1:3" x14ac:dyDescent="0.25">
      <c r="A46" s="108" t="s">
        <v>45</v>
      </c>
      <c r="B46" s="108"/>
      <c r="C46" s="108"/>
    </row>
    <row r="47" spans="1:3" x14ac:dyDescent="0.25">
      <c r="A47" s="108" t="s">
        <v>59</v>
      </c>
      <c r="B47" s="108"/>
      <c r="C47" s="112">
        <v>45071</v>
      </c>
    </row>
    <row r="49" spans="1:3" x14ac:dyDescent="0.25">
      <c r="A49" s="107" t="s">
        <v>60</v>
      </c>
      <c r="B49" s="108"/>
      <c r="C49" s="108"/>
    </row>
    <row r="50" spans="1:3" x14ac:dyDescent="0.25">
      <c r="A50" s="108" t="s">
        <v>39</v>
      </c>
      <c r="B50" s="108"/>
      <c r="C50" s="110"/>
    </row>
    <row r="51" spans="1:3" ht="39.6" x14ac:dyDescent="0.25">
      <c r="A51" s="108" t="s">
        <v>57</v>
      </c>
      <c r="B51" s="108"/>
      <c r="C51" s="110" t="s">
        <v>61</v>
      </c>
    </row>
    <row r="52" spans="1:3" x14ac:dyDescent="0.25">
      <c r="A52" s="108" t="s">
        <v>62</v>
      </c>
      <c r="B52" s="108"/>
      <c r="C52" s="110" t="s">
        <v>63</v>
      </c>
    </row>
    <row r="53" spans="1:3" x14ac:dyDescent="0.25">
      <c r="A53" s="108" t="s">
        <v>45</v>
      </c>
      <c r="B53" s="108"/>
      <c r="C53" s="108"/>
    </row>
    <row r="54" spans="1:3" x14ac:dyDescent="0.25">
      <c r="A54" s="108" t="s">
        <v>59</v>
      </c>
      <c r="B54" s="108"/>
      <c r="C54" s="112">
        <v>45106</v>
      </c>
    </row>
    <row r="56" spans="1:3" x14ac:dyDescent="0.25">
      <c r="A56" s="131" t="s">
        <v>64</v>
      </c>
      <c r="B56" s="132"/>
      <c r="C56" s="132"/>
    </row>
    <row r="57" spans="1:3" x14ac:dyDescent="0.25">
      <c r="A57" s="132" t="s">
        <v>39</v>
      </c>
      <c r="B57" s="132"/>
      <c r="C57" s="133"/>
    </row>
    <row r="58" spans="1:3" ht="26.4" x14ac:dyDescent="0.25">
      <c r="A58" s="132" t="s">
        <v>57</v>
      </c>
      <c r="B58" s="132"/>
      <c r="C58" s="133" t="s">
        <v>65</v>
      </c>
    </row>
    <row r="59" spans="1:3" x14ac:dyDescent="0.25">
      <c r="A59" s="132" t="s">
        <v>45</v>
      </c>
      <c r="B59" s="132"/>
      <c r="C59" s="132"/>
    </row>
    <row r="60" spans="1:3" x14ac:dyDescent="0.25">
      <c r="A60" s="132" t="s">
        <v>59</v>
      </c>
      <c r="B60" s="132"/>
      <c r="C60" s="134">
        <v>45135</v>
      </c>
    </row>
    <row r="62" spans="1:3" x14ac:dyDescent="0.25">
      <c r="A62" s="146" t="s">
        <v>66</v>
      </c>
      <c r="B62" s="147"/>
      <c r="C62" s="147"/>
    </row>
    <row r="63" spans="1:3" x14ac:dyDescent="0.25">
      <c r="A63" s="147" t="s">
        <v>39</v>
      </c>
      <c r="B63" s="147"/>
      <c r="C63" s="148" t="s">
        <v>67</v>
      </c>
    </row>
    <row r="64" spans="1:3" ht="41.1" customHeight="1" x14ac:dyDescent="0.25">
      <c r="A64" s="147" t="s">
        <v>57</v>
      </c>
      <c r="B64" s="147"/>
      <c r="C64" s="148" t="s">
        <v>68</v>
      </c>
    </row>
    <row r="65" spans="1:3" ht="65.099999999999994" customHeight="1" x14ac:dyDescent="0.25">
      <c r="A65" s="147" t="s">
        <v>62</v>
      </c>
      <c r="B65" s="147"/>
      <c r="C65" s="148" t="s">
        <v>69</v>
      </c>
    </row>
    <row r="66" spans="1:3" x14ac:dyDescent="0.25">
      <c r="A66" s="147" t="s">
        <v>45</v>
      </c>
      <c r="B66" s="147"/>
      <c r="C66" s="147"/>
    </row>
    <row r="67" spans="1:3" x14ac:dyDescent="0.25">
      <c r="A67" s="147" t="s">
        <v>59</v>
      </c>
      <c r="B67" s="147"/>
      <c r="C67" s="149">
        <v>45184</v>
      </c>
    </row>
    <row r="69" spans="1:3" x14ac:dyDescent="0.25">
      <c r="A69" s="146" t="s">
        <v>70</v>
      </c>
      <c r="B69" s="147"/>
      <c r="C69" s="147"/>
    </row>
    <row r="70" spans="1:3" x14ac:dyDescent="0.25">
      <c r="A70" s="147" t="s">
        <v>39</v>
      </c>
      <c r="B70" s="147" t="s">
        <v>71</v>
      </c>
      <c r="C70" s="148"/>
    </row>
    <row r="71" spans="1:3" x14ac:dyDescent="0.25">
      <c r="A71" s="147" t="s">
        <v>57</v>
      </c>
      <c r="B71" s="147"/>
      <c r="C71" s="148"/>
    </row>
    <row r="72" spans="1:3" x14ac:dyDescent="0.25">
      <c r="A72" s="147" t="s">
        <v>62</v>
      </c>
      <c r="B72" s="147"/>
      <c r="C72" s="148"/>
    </row>
    <row r="73" spans="1:3" x14ac:dyDescent="0.25">
      <c r="A73" s="147" t="s">
        <v>45</v>
      </c>
      <c r="B73" s="147"/>
      <c r="C73" s="147"/>
    </row>
    <row r="74" spans="1:3" x14ac:dyDescent="0.25">
      <c r="A74" s="147" t="s">
        <v>72</v>
      </c>
      <c r="B74" s="147"/>
      <c r="C74" s="149" t="s">
        <v>73</v>
      </c>
    </row>
    <row r="75" spans="1:3" x14ac:dyDescent="0.25">
      <c r="A75" s="147" t="s">
        <v>59</v>
      </c>
      <c r="B75" s="147"/>
      <c r="C75" s="149">
        <v>45688</v>
      </c>
    </row>
    <row r="77" spans="1:3" x14ac:dyDescent="0.25">
      <c r="A77" s="141" t="s">
        <v>74</v>
      </c>
      <c r="B77" s="202"/>
      <c r="C77" s="202"/>
    </row>
    <row r="78" spans="1:3" x14ac:dyDescent="0.25">
      <c r="A78" s="142" t="s">
        <v>39</v>
      </c>
      <c r="B78" s="203"/>
      <c r="C78" s="203"/>
    </row>
    <row r="79" spans="1:3" x14ac:dyDescent="0.25">
      <c r="A79" s="143" t="s">
        <v>57</v>
      </c>
      <c r="B79" s="202"/>
      <c r="C79" s="202"/>
    </row>
    <row r="80" spans="1:3" x14ac:dyDescent="0.25">
      <c r="A80" s="142" t="s">
        <v>62</v>
      </c>
      <c r="B80" s="203" t="s">
        <v>75</v>
      </c>
      <c r="C80" s="203"/>
    </row>
    <row r="81" spans="1:3" x14ac:dyDescent="0.25">
      <c r="A81" s="143" t="s">
        <v>45</v>
      </c>
      <c r="B81" s="202"/>
      <c r="C81" s="202"/>
    </row>
    <row r="82" spans="1:3" x14ac:dyDescent="0.25">
      <c r="A82" s="142" t="s">
        <v>72</v>
      </c>
      <c r="B82" s="180"/>
      <c r="C82" s="144" t="s">
        <v>76</v>
      </c>
    </row>
    <row r="83" spans="1:3" x14ac:dyDescent="0.25">
      <c r="A83" s="143" t="s">
        <v>59</v>
      </c>
      <c r="B83" s="179"/>
      <c r="C83" s="145">
        <v>45708</v>
      </c>
    </row>
  </sheetData>
  <sheetProtection algorithmName="SHA-512" hashValue="0iS0YOS331r2ynhs7OhWyKyWDgfVzFelCAiO+0rDr96OGB6MFJLUwLQedNaV4cWbAVfWn6WfnkOGclqveneJ/g==" saltValue="vk1uzTBjU0iuC0aR4GZefg==" spinCount="100000" sheet="1" objects="1" scenarios="1"/>
  <mergeCells count="5">
    <mergeCell ref="B77:C77"/>
    <mergeCell ref="B78:C78"/>
    <mergeCell ref="B79:C79"/>
    <mergeCell ref="B80:C80"/>
    <mergeCell ref="B81:C81"/>
  </mergeCells>
  <conditionalFormatting sqref="A11:A17 A43:A47">
    <cfRule type="expression" dxfId="1526" priority="19" stopIfTrue="1">
      <formula>MOD(ROW(),2)=0</formula>
    </cfRule>
    <cfRule type="expression" dxfId="1525" priority="20" stopIfTrue="1">
      <formula>MOD(ROW(),2)&lt;&gt;0</formula>
    </cfRule>
  </conditionalFormatting>
  <conditionalFormatting sqref="A19:A25">
    <cfRule type="expression" dxfId="1524" priority="23" stopIfTrue="1">
      <formula>MOD(ROW(),2)=0</formula>
    </cfRule>
    <cfRule type="expression" dxfId="1523" priority="24" stopIfTrue="1">
      <formula>MOD(ROW(),2)&lt;&gt;0</formula>
    </cfRule>
  </conditionalFormatting>
  <conditionalFormatting sqref="A27:A33">
    <cfRule type="expression" dxfId="1522" priority="27" stopIfTrue="1">
      <formula>MOD(ROW(),2)=0</formula>
    </cfRule>
    <cfRule type="expression" dxfId="1521" priority="28" stopIfTrue="1">
      <formula>MOD(ROW(),2)&lt;&gt;0</formula>
    </cfRule>
  </conditionalFormatting>
  <conditionalFormatting sqref="A35:A41">
    <cfRule type="expression" dxfId="1520" priority="31" stopIfTrue="1">
      <formula>MOD(ROW(),2)=0</formula>
    </cfRule>
    <cfRule type="expression" dxfId="1519" priority="32" stopIfTrue="1">
      <formula>MOD(ROW(),2)&lt;&gt;0</formula>
    </cfRule>
  </conditionalFormatting>
  <conditionalFormatting sqref="A56:A60">
    <cfRule type="expression" dxfId="1518" priority="103" stopIfTrue="1">
      <formula>MOD(ROW(),2)=0</formula>
    </cfRule>
    <cfRule type="expression" dxfId="1517" priority="104" stopIfTrue="1">
      <formula>MOD(ROW(),2)&lt;&gt;0</formula>
    </cfRule>
  </conditionalFormatting>
  <conditionalFormatting sqref="A62:A67">
    <cfRule type="expression" dxfId="1516" priority="9" stopIfTrue="1">
      <formula>MOD(ROW(),2)=0</formula>
    </cfRule>
    <cfRule type="expression" dxfId="1515" priority="10" stopIfTrue="1">
      <formula>MOD(ROW(),2)&lt;&gt;0</formula>
    </cfRule>
  </conditionalFormatting>
  <conditionalFormatting sqref="A69:A75">
    <cfRule type="expression" dxfId="1514" priority="3" stopIfTrue="1">
      <formula>MOD(ROW(),2)=0</formula>
    </cfRule>
    <cfRule type="expression" dxfId="1513" priority="4" stopIfTrue="1">
      <formula>MOD(ROW(),2)&lt;&gt;0</formula>
    </cfRule>
  </conditionalFormatting>
  <conditionalFormatting sqref="A6:C9 A49:A54">
    <cfRule type="expression" dxfId="1512" priority="13" stopIfTrue="1">
      <formula>MOD(ROW(),2)=0</formula>
    </cfRule>
    <cfRule type="expression" dxfId="1511" priority="14" stopIfTrue="1">
      <formula>MOD(ROW(),2)&lt;&gt;0</formula>
    </cfRule>
  </conditionalFormatting>
  <conditionalFormatting sqref="A11:C17 A43:C47">
    <cfRule type="expression" priority="39" stopIfTrue="1">
      <formula>MOD(ROW(),2)=0</formula>
    </cfRule>
    <cfRule type="expression" priority="40" stopIfTrue="1">
      <formula>MOD(ROW(),2)&lt;&gt;0</formula>
    </cfRule>
  </conditionalFormatting>
  <conditionalFormatting sqref="A11:C17">
    <cfRule type="expression" priority="80" stopIfTrue="1">
      <formula>MOD(ROW(),2)&lt;&gt;0</formula>
    </cfRule>
    <cfRule type="expression" priority="79" stopIfTrue="1">
      <formula>MOD(ROW(),2)=0</formula>
    </cfRule>
    <cfRule type="expression" priority="60" stopIfTrue="1">
      <formula>MOD(ROW(),2)&lt;&gt;0</formula>
    </cfRule>
    <cfRule type="expression" priority="59" stopIfTrue="1">
      <formula>MOD(ROW(),2)=0</formula>
    </cfRule>
  </conditionalFormatting>
  <conditionalFormatting sqref="A19:C25">
    <cfRule type="expression" priority="43" stopIfTrue="1">
      <formula>MOD(ROW(),2)=0</formula>
    </cfRule>
    <cfRule type="expression" priority="44" stopIfTrue="1">
      <formula>MOD(ROW(),2)&lt;&gt;0</formula>
    </cfRule>
    <cfRule type="expression" priority="84" stopIfTrue="1">
      <formula>MOD(ROW(),2)&lt;&gt;0</formula>
    </cfRule>
    <cfRule type="expression" priority="83" stopIfTrue="1">
      <formula>MOD(ROW(),2)=0</formula>
    </cfRule>
    <cfRule type="expression" priority="64" stopIfTrue="1">
      <formula>MOD(ROW(),2)&lt;&gt;0</formula>
    </cfRule>
    <cfRule type="expression" priority="63" stopIfTrue="1">
      <formula>MOD(ROW(),2)=0</formula>
    </cfRule>
  </conditionalFormatting>
  <conditionalFormatting sqref="A27:C33">
    <cfRule type="expression" priority="87" stopIfTrue="1">
      <formula>MOD(ROW(),2)=0</formula>
    </cfRule>
    <cfRule type="expression" priority="68" stopIfTrue="1">
      <formula>MOD(ROW(),2)&lt;&gt;0</formula>
    </cfRule>
    <cfRule type="expression" priority="67" stopIfTrue="1">
      <formula>MOD(ROW(),2)=0</formula>
    </cfRule>
    <cfRule type="expression" priority="48" stopIfTrue="1">
      <formula>MOD(ROW(),2)&lt;&gt;0</formula>
    </cfRule>
    <cfRule type="expression" priority="47" stopIfTrue="1">
      <formula>MOD(ROW(),2)=0</formula>
    </cfRule>
    <cfRule type="expression" priority="88" stopIfTrue="1">
      <formula>MOD(ROW(),2)&lt;&gt;0</formula>
    </cfRule>
  </conditionalFormatting>
  <conditionalFormatting sqref="A35:C41">
    <cfRule type="expression" priority="72" stopIfTrue="1">
      <formula>MOD(ROW(),2)&lt;&gt;0</formula>
    </cfRule>
    <cfRule type="expression" priority="91" stopIfTrue="1">
      <formula>MOD(ROW(),2)=0</formula>
    </cfRule>
    <cfRule type="expression" priority="51" stopIfTrue="1">
      <formula>MOD(ROW(),2)=0</formula>
    </cfRule>
    <cfRule type="expression" priority="92" stopIfTrue="1">
      <formula>MOD(ROW(),2)&lt;&gt;0</formula>
    </cfRule>
    <cfRule type="expression" priority="52" stopIfTrue="1">
      <formula>MOD(ROW(),2)&lt;&gt;0</formula>
    </cfRule>
    <cfRule type="expression" priority="71" stopIfTrue="1">
      <formula>MOD(ROW(),2)=0</formula>
    </cfRule>
  </conditionalFormatting>
  <conditionalFormatting sqref="A43:C47">
    <cfRule type="expression" priority="75" stopIfTrue="1">
      <formula>MOD(ROW(),2)=0</formula>
    </cfRule>
    <cfRule type="expression" priority="76" stopIfTrue="1">
      <formula>MOD(ROW(),2)&lt;&gt;0</formula>
    </cfRule>
    <cfRule type="expression" priority="95" stopIfTrue="1">
      <formula>MOD(ROW(),2)=0</formula>
    </cfRule>
    <cfRule type="expression" priority="96" stopIfTrue="1">
      <formula>MOD(ROW(),2)&lt;&gt;0</formula>
    </cfRule>
  </conditionalFormatting>
  <conditionalFormatting sqref="A49:C54">
    <cfRule type="expression" priority="99" stopIfTrue="1">
      <formula>MOD(ROW(),2)=0</formula>
    </cfRule>
    <cfRule type="expression" priority="100" stopIfTrue="1">
      <formula>MOD(ROW(),2)&lt;&gt;0</formula>
    </cfRule>
  </conditionalFormatting>
  <conditionalFormatting sqref="B11:C17">
    <cfRule type="expression" dxfId="1510" priority="22" stopIfTrue="1">
      <formula>MOD(ROW(),2)&lt;&gt;0</formula>
    </cfRule>
    <cfRule type="expression" dxfId="1509" priority="21" stopIfTrue="1">
      <formula>MOD(ROW(),2)=0</formula>
    </cfRule>
  </conditionalFormatting>
  <conditionalFormatting sqref="B19:C25">
    <cfRule type="expression" dxfId="1508" priority="26" stopIfTrue="1">
      <formula>MOD(ROW(),2)&lt;&gt;0</formula>
    </cfRule>
    <cfRule type="expression" dxfId="1507" priority="25" stopIfTrue="1">
      <formula>MOD(ROW(),2)=0</formula>
    </cfRule>
  </conditionalFormatting>
  <conditionalFormatting sqref="B27:C33">
    <cfRule type="expression" dxfId="1506" priority="30" stopIfTrue="1">
      <formula>MOD(ROW(),2)&lt;&gt;0</formula>
    </cfRule>
    <cfRule type="expression" dxfId="1505" priority="29" stopIfTrue="1">
      <formula>MOD(ROW(),2)=0</formula>
    </cfRule>
  </conditionalFormatting>
  <conditionalFormatting sqref="B35:C41">
    <cfRule type="expression" dxfId="1504" priority="34" stopIfTrue="1">
      <formula>MOD(ROW(),2)&lt;&gt;0</formula>
    </cfRule>
    <cfRule type="expression" dxfId="1503" priority="33" stopIfTrue="1">
      <formula>MOD(ROW(),2)=0</formula>
    </cfRule>
  </conditionalFormatting>
  <conditionalFormatting sqref="B43:C47">
    <cfRule type="expression" dxfId="1502" priority="18" stopIfTrue="1">
      <formula>MOD(ROW(),2)&lt;&gt;0</formula>
    </cfRule>
    <cfRule type="expression" dxfId="1501" priority="17" stopIfTrue="1">
      <formula>MOD(ROW(),2)=0</formula>
    </cfRule>
  </conditionalFormatting>
  <conditionalFormatting sqref="B49:C54">
    <cfRule type="expression" dxfId="1500" priority="37" stopIfTrue="1">
      <formula>MOD(ROW(),2)=0</formula>
    </cfRule>
    <cfRule type="expression" dxfId="1499" priority="38" stopIfTrue="1">
      <formula>MOD(ROW(),2)&lt;&gt;0</formula>
    </cfRule>
  </conditionalFormatting>
  <conditionalFormatting sqref="B56:C60">
    <cfRule type="expression" dxfId="1498" priority="106" stopIfTrue="1">
      <formula>MOD(ROW(),2)&lt;&gt;0</formula>
    </cfRule>
    <cfRule type="expression" dxfId="1497" priority="105" stopIfTrue="1">
      <formula>MOD(ROW(),2)=0</formula>
    </cfRule>
  </conditionalFormatting>
  <conditionalFormatting sqref="B62:C67">
    <cfRule type="expression" dxfId="1496" priority="11" stopIfTrue="1">
      <formula>MOD(ROW(),2)=0</formula>
    </cfRule>
    <cfRule type="expression" dxfId="1495" priority="12" stopIfTrue="1">
      <formula>MOD(ROW(),2)&lt;&gt;0</formula>
    </cfRule>
  </conditionalFormatting>
  <conditionalFormatting sqref="B69:C75">
    <cfRule type="expression" dxfId="1494" priority="1" stopIfTrue="1">
      <formula>MOD(ROW(),2)=0</formula>
    </cfRule>
    <cfRule type="expression" dxfId="1493" priority="2"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8"/>
  <dimension ref="A1:L108"/>
  <sheetViews>
    <sheetView showGridLines="0" zoomScale="85" zoomScaleNormal="85" workbookViewId="0">
      <selection activeCell="B23" sqref="B23"/>
    </sheetView>
  </sheetViews>
  <sheetFormatPr defaultColWidth="10" defaultRowHeight="13.2" x14ac:dyDescent="0.25"/>
  <cols>
    <col min="1" max="1" width="31.5546875" style="27" customWidth="1"/>
    <col min="2" max="5" width="22.5546875" style="27" customWidth="1"/>
    <col min="6" max="7" width="10" style="27"/>
    <col min="8" max="8" width="31.5546875" style="27" customWidth="1"/>
    <col min="9" max="12" width="22.5546875" style="27" customWidth="1"/>
    <col min="13" max="16384" width="10" style="27"/>
  </cols>
  <sheetData>
    <row r="1" spans="1:12" ht="21" x14ac:dyDescent="0.4">
      <c r="A1" s="39" t="s">
        <v>0</v>
      </c>
      <c r="B1" s="40"/>
      <c r="C1" s="40"/>
      <c r="D1" s="40"/>
      <c r="E1" s="40"/>
      <c r="F1" s="40"/>
      <c r="G1" s="40"/>
      <c r="H1" s="40"/>
      <c r="I1" s="40"/>
    </row>
    <row r="2" spans="1:12"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2" ht="15.6" x14ac:dyDescent="0.3">
      <c r="A3" s="43" t="str">
        <f>TABLE_FACTOR_TYPE_1&amp;" - x-"&amp;TABLE_SERIES_NUMBER_1</f>
        <v>Pension Credit - x-305</v>
      </c>
      <c r="B3" s="42"/>
      <c r="C3" s="42"/>
      <c r="D3" s="42"/>
      <c r="E3" s="42"/>
      <c r="F3" s="42"/>
      <c r="G3" s="42"/>
      <c r="H3" s="42"/>
      <c r="I3" s="42"/>
    </row>
    <row r="4" spans="1:12" x14ac:dyDescent="0.25">
      <c r="A4" s="44"/>
    </row>
    <row r="6" spans="1:12" x14ac:dyDescent="0.25">
      <c r="A6" s="87" t="s">
        <v>290</v>
      </c>
      <c r="B6" s="185" t="s">
        <v>291</v>
      </c>
      <c r="C6" s="185"/>
      <c r="D6" s="185"/>
      <c r="E6" s="185"/>
      <c r="H6" s="87" t="s">
        <v>290</v>
      </c>
      <c r="I6" s="185" t="s">
        <v>291</v>
      </c>
      <c r="J6" s="185"/>
      <c r="K6" s="185"/>
      <c r="L6" s="185"/>
    </row>
    <row r="7" spans="1:12" x14ac:dyDescent="0.25">
      <c r="A7" s="81" t="s">
        <v>804</v>
      </c>
      <c r="B7" s="185" t="s">
        <v>324</v>
      </c>
      <c r="C7" s="185"/>
      <c r="D7" s="185"/>
      <c r="E7" s="185"/>
      <c r="H7" s="81" t="s">
        <v>804</v>
      </c>
      <c r="I7" s="185" t="s">
        <v>324</v>
      </c>
      <c r="J7" s="185"/>
      <c r="K7" s="185"/>
      <c r="L7" s="185"/>
    </row>
    <row r="8" spans="1:12" x14ac:dyDescent="0.25">
      <c r="A8" s="81" t="s">
        <v>805</v>
      </c>
      <c r="B8" s="185" t="s">
        <v>85</v>
      </c>
      <c r="C8" s="185"/>
      <c r="D8" s="185"/>
      <c r="E8" s="185"/>
      <c r="H8" s="81" t="s">
        <v>805</v>
      </c>
      <c r="I8" s="185" t="s">
        <v>85</v>
      </c>
      <c r="J8" s="185"/>
      <c r="K8" s="185"/>
      <c r="L8" s="185"/>
    </row>
    <row r="9" spans="1:12" x14ac:dyDescent="0.25">
      <c r="A9" s="81" t="s">
        <v>296</v>
      </c>
      <c r="B9" s="185" t="s">
        <v>402</v>
      </c>
      <c r="C9" s="185"/>
      <c r="D9" s="185"/>
      <c r="E9" s="185"/>
      <c r="H9" s="81" t="s">
        <v>296</v>
      </c>
      <c r="I9" s="185" t="s">
        <v>402</v>
      </c>
      <c r="J9" s="185"/>
      <c r="K9" s="185"/>
      <c r="L9" s="185"/>
    </row>
    <row r="10" spans="1:12" x14ac:dyDescent="0.25">
      <c r="A10" s="81" t="s">
        <v>6</v>
      </c>
      <c r="B10" s="185" t="s">
        <v>403</v>
      </c>
      <c r="C10" s="185"/>
      <c r="D10" s="185"/>
      <c r="E10" s="185"/>
      <c r="H10" s="81" t="s">
        <v>6</v>
      </c>
      <c r="I10" s="185" t="s">
        <v>408</v>
      </c>
      <c r="J10" s="185"/>
      <c r="K10" s="185"/>
      <c r="L10" s="185"/>
    </row>
    <row r="11" spans="1:12" x14ac:dyDescent="0.25">
      <c r="A11" s="81" t="s">
        <v>299</v>
      </c>
      <c r="B11" s="185" t="s">
        <v>404</v>
      </c>
      <c r="C11" s="185"/>
      <c r="D11" s="185"/>
      <c r="E11" s="185"/>
      <c r="H11" s="81" t="s">
        <v>299</v>
      </c>
      <c r="I11" s="185" t="s">
        <v>409</v>
      </c>
      <c r="J11" s="185"/>
      <c r="K11" s="185"/>
      <c r="L11" s="185"/>
    </row>
    <row r="12" spans="1:12" x14ac:dyDescent="0.25">
      <c r="A12" s="81" t="s">
        <v>301</v>
      </c>
      <c r="B12" s="185" t="s">
        <v>405</v>
      </c>
      <c r="C12" s="185"/>
      <c r="D12" s="185"/>
      <c r="E12" s="185"/>
      <c r="H12" s="81" t="s">
        <v>301</v>
      </c>
      <c r="I12" s="185" t="s">
        <v>405</v>
      </c>
      <c r="J12" s="185"/>
      <c r="K12" s="185"/>
      <c r="L12" s="185"/>
    </row>
    <row r="13" spans="1:12" x14ac:dyDescent="0.25">
      <c r="A13" s="81" t="s">
        <v>806</v>
      </c>
      <c r="B13" s="185">
        <v>0</v>
      </c>
      <c r="C13" s="185"/>
      <c r="D13" s="185"/>
      <c r="E13" s="185"/>
      <c r="H13" s="81" t="s">
        <v>806</v>
      </c>
      <c r="I13" s="185">
        <v>0</v>
      </c>
      <c r="J13" s="185"/>
      <c r="K13" s="185"/>
      <c r="L13" s="185"/>
    </row>
    <row r="14" spans="1:12" x14ac:dyDescent="0.25">
      <c r="A14" s="81" t="s">
        <v>305</v>
      </c>
      <c r="B14" s="185">
        <v>305</v>
      </c>
      <c r="C14" s="185"/>
      <c r="D14" s="185"/>
      <c r="E14" s="185"/>
      <c r="H14" s="81" t="s">
        <v>305</v>
      </c>
      <c r="I14" s="185">
        <v>305</v>
      </c>
      <c r="J14" s="185"/>
      <c r="K14" s="185"/>
      <c r="L14" s="185"/>
    </row>
    <row r="15" spans="1:12" x14ac:dyDescent="0.25">
      <c r="A15" s="81" t="s">
        <v>307</v>
      </c>
      <c r="B15" s="185" t="s">
        <v>406</v>
      </c>
      <c r="C15" s="185"/>
      <c r="D15" s="185"/>
      <c r="E15" s="185"/>
      <c r="H15" s="81" t="s">
        <v>307</v>
      </c>
      <c r="I15" s="185" t="s">
        <v>410</v>
      </c>
      <c r="J15" s="185"/>
      <c r="K15" s="185"/>
      <c r="L15" s="185"/>
    </row>
    <row r="16" spans="1:12" x14ac:dyDescent="0.25">
      <c r="A16" s="81" t="s">
        <v>825</v>
      </c>
      <c r="B16" s="185" t="s">
        <v>407</v>
      </c>
      <c r="C16" s="185"/>
      <c r="D16" s="185"/>
      <c r="E16" s="185"/>
      <c r="H16" s="81" t="s">
        <v>825</v>
      </c>
      <c r="I16" s="185" t="s">
        <v>411</v>
      </c>
      <c r="J16" s="185"/>
      <c r="K16" s="185"/>
      <c r="L16" s="185"/>
    </row>
    <row r="17" spans="1:12" x14ac:dyDescent="0.25">
      <c r="A17" s="81" t="s">
        <v>803</v>
      </c>
      <c r="B17" s="185"/>
      <c r="C17" s="185"/>
      <c r="D17" s="185"/>
      <c r="E17" s="185"/>
      <c r="H17" s="81" t="s">
        <v>803</v>
      </c>
      <c r="I17" s="185"/>
      <c r="J17" s="185"/>
      <c r="K17" s="185"/>
      <c r="L17" s="185"/>
    </row>
    <row r="18" spans="1:12" x14ac:dyDescent="0.25">
      <c r="A18" s="81" t="s">
        <v>313</v>
      </c>
      <c r="B18" s="188">
        <v>45071</v>
      </c>
      <c r="C18" s="185"/>
      <c r="D18" s="185"/>
      <c r="E18" s="185"/>
      <c r="H18" s="81" t="s">
        <v>313</v>
      </c>
      <c r="I18" s="188">
        <v>45071</v>
      </c>
      <c r="J18" s="185"/>
      <c r="K18" s="185"/>
      <c r="L18" s="185"/>
    </row>
    <row r="19" spans="1:12" x14ac:dyDescent="0.25">
      <c r="A19" s="81" t="s">
        <v>315</v>
      </c>
      <c r="B19" s="188"/>
      <c r="C19" s="185"/>
      <c r="D19" s="185"/>
      <c r="E19" s="185"/>
      <c r="H19" s="81" t="s">
        <v>315</v>
      </c>
      <c r="I19" s="188"/>
      <c r="J19" s="185"/>
      <c r="K19" s="185"/>
      <c r="L19" s="185"/>
    </row>
    <row r="20" spans="1:12" x14ac:dyDescent="0.25">
      <c r="A20" s="81" t="s">
        <v>317</v>
      </c>
      <c r="B20" s="185" t="s">
        <v>331</v>
      </c>
      <c r="C20" s="185"/>
      <c r="D20" s="185"/>
      <c r="E20" s="185"/>
      <c r="H20" s="81" t="s">
        <v>317</v>
      </c>
      <c r="I20" s="185" t="s">
        <v>331</v>
      </c>
      <c r="J20" s="185"/>
      <c r="K20" s="185"/>
      <c r="L20" s="185"/>
    </row>
    <row r="21" spans="1:12" x14ac:dyDescent="0.25">
      <c r="A21" s="77" t="s">
        <v>323</v>
      </c>
      <c r="B21" s="185" t="s">
        <v>332</v>
      </c>
      <c r="C21" s="185"/>
      <c r="D21" s="185"/>
      <c r="E21" s="185"/>
      <c r="H21" s="81" t="s">
        <v>323</v>
      </c>
      <c r="I21" s="185" t="s">
        <v>332</v>
      </c>
      <c r="J21" s="185"/>
      <c r="K21" s="185"/>
      <c r="L21" s="185"/>
    </row>
    <row r="23" spans="1:12" x14ac:dyDescent="0.25">
      <c r="B23" s="102" t="str">
        <f>HYPERLINK("#'Factor List'!A1","Back to Factor List")</f>
        <v>Back to Factor List</v>
      </c>
    </row>
    <row r="24" spans="1:12" x14ac:dyDescent="0.25">
      <c r="B24" s="102" t="s">
        <v>13</v>
      </c>
    </row>
    <row r="25" spans="1:12" x14ac:dyDescent="0.25">
      <c r="B25" s="102"/>
    </row>
    <row r="26" spans="1:12" ht="26.4" x14ac:dyDescent="0.25">
      <c r="A26" s="103" t="s">
        <v>373</v>
      </c>
      <c r="B26" s="103" t="s">
        <v>844</v>
      </c>
      <c r="C26" s="103" t="s">
        <v>845</v>
      </c>
      <c r="D26" s="103" t="s">
        <v>846</v>
      </c>
      <c r="E26" s="103" t="s">
        <v>847</v>
      </c>
      <c r="H26" s="103" t="s">
        <v>373</v>
      </c>
      <c r="I26" s="103" t="s">
        <v>848</v>
      </c>
      <c r="J26" s="103" t="s">
        <v>845</v>
      </c>
      <c r="K26" s="103" t="s">
        <v>846</v>
      </c>
      <c r="L26" s="103" t="s">
        <v>847</v>
      </c>
    </row>
    <row r="27" spans="1:12" x14ac:dyDescent="0.25">
      <c r="A27" s="104">
        <v>17</v>
      </c>
      <c r="B27" s="105">
        <v>3.51</v>
      </c>
      <c r="C27" s="105">
        <v>3.28</v>
      </c>
      <c r="D27" s="105">
        <v>3.06</v>
      </c>
      <c r="E27" s="105">
        <v>2.85</v>
      </c>
      <c r="H27" s="104">
        <v>17</v>
      </c>
      <c r="I27" s="105">
        <v>3.51</v>
      </c>
      <c r="J27" s="105">
        <v>3.28</v>
      </c>
      <c r="K27" s="105">
        <v>3.06</v>
      </c>
      <c r="L27" s="105">
        <v>2.85</v>
      </c>
    </row>
    <row r="28" spans="1:12" x14ac:dyDescent="0.25">
      <c r="A28" s="104">
        <v>18</v>
      </c>
      <c r="B28" s="105">
        <v>3.63</v>
      </c>
      <c r="C28" s="105">
        <v>3.39</v>
      </c>
      <c r="D28" s="105">
        <v>3.17</v>
      </c>
      <c r="E28" s="105">
        <v>2.95</v>
      </c>
      <c r="H28" s="104">
        <v>18</v>
      </c>
      <c r="I28" s="105">
        <v>3.63</v>
      </c>
      <c r="J28" s="105">
        <v>3.39</v>
      </c>
      <c r="K28" s="105">
        <v>3.17</v>
      </c>
      <c r="L28" s="105">
        <v>2.95</v>
      </c>
    </row>
    <row r="29" spans="1:12" x14ac:dyDescent="0.25">
      <c r="A29" s="104">
        <v>19</v>
      </c>
      <c r="B29" s="105">
        <v>3.76</v>
      </c>
      <c r="C29" s="105">
        <v>3.51</v>
      </c>
      <c r="D29" s="105">
        <v>3.27</v>
      </c>
      <c r="E29" s="105">
        <v>3.05</v>
      </c>
      <c r="H29" s="104">
        <v>19</v>
      </c>
      <c r="I29" s="105">
        <v>3.76</v>
      </c>
      <c r="J29" s="105">
        <v>3.51</v>
      </c>
      <c r="K29" s="105">
        <v>3.27</v>
      </c>
      <c r="L29" s="105">
        <v>3.05</v>
      </c>
    </row>
    <row r="30" spans="1:12" x14ac:dyDescent="0.25">
      <c r="A30" s="104">
        <v>20</v>
      </c>
      <c r="B30" s="105">
        <v>3.89</v>
      </c>
      <c r="C30" s="105">
        <v>3.63</v>
      </c>
      <c r="D30" s="105">
        <v>3.39</v>
      </c>
      <c r="E30" s="105">
        <v>3.15</v>
      </c>
      <c r="H30" s="104">
        <v>20</v>
      </c>
      <c r="I30" s="105">
        <v>3.89</v>
      </c>
      <c r="J30" s="105">
        <v>3.63</v>
      </c>
      <c r="K30" s="105">
        <v>3.39</v>
      </c>
      <c r="L30" s="105">
        <v>3.15</v>
      </c>
    </row>
    <row r="31" spans="1:12" x14ac:dyDescent="0.25">
      <c r="A31" s="104">
        <v>21</v>
      </c>
      <c r="B31" s="105">
        <v>4.0199999999999996</v>
      </c>
      <c r="C31" s="105">
        <v>3.76</v>
      </c>
      <c r="D31" s="105">
        <v>3.5</v>
      </c>
      <c r="E31" s="105">
        <v>3.26</v>
      </c>
      <c r="H31" s="104">
        <v>21</v>
      </c>
      <c r="I31" s="105">
        <v>4.0199999999999996</v>
      </c>
      <c r="J31" s="105">
        <v>3.76</v>
      </c>
      <c r="K31" s="105">
        <v>3.5</v>
      </c>
      <c r="L31" s="105">
        <v>3.26</v>
      </c>
    </row>
    <row r="32" spans="1:12" x14ac:dyDescent="0.25">
      <c r="A32" s="104">
        <v>22</v>
      </c>
      <c r="B32" s="105">
        <v>4.16</v>
      </c>
      <c r="C32" s="105">
        <v>3.88</v>
      </c>
      <c r="D32" s="105">
        <v>3.62</v>
      </c>
      <c r="E32" s="105">
        <v>3.37</v>
      </c>
      <c r="H32" s="104">
        <v>22</v>
      </c>
      <c r="I32" s="105">
        <v>4.16</v>
      </c>
      <c r="J32" s="105">
        <v>3.88</v>
      </c>
      <c r="K32" s="105">
        <v>3.62</v>
      </c>
      <c r="L32" s="105">
        <v>3.37</v>
      </c>
    </row>
    <row r="33" spans="1:12" x14ac:dyDescent="0.25">
      <c r="A33" s="104">
        <v>23</v>
      </c>
      <c r="B33" s="105">
        <v>4.3</v>
      </c>
      <c r="C33" s="105">
        <v>4.0199999999999996</v>
      </c>
      <c r="D33" s="105">
        <v>3.75</v>
      </c>
      <c r="E33" s="105">
        <v>3.49</v>
      </c>
      <c r="H33" s="104">
        <v>23</v>
      </c>
      <c r="I33" s="105">
        <v>4.3</v>
      </c>
      <c r="J33" s="105">
        <v>4.0199999999999996</v>
      </c>
      <c r="K33" s="105">
        <v>3.75</v>
      </c>
      <c r="L33" s="105">
        <v>3.49</v>
      </c>
    </row>
    <row r="34" spans="1:12" x14ac:dyDescent="0.25">
      <c r="A34" s="104">
        <v>24</v>
      </c>
      <c r="B34" s="105">
        <v>4.45</v>
      </c>
      <c r="C34" s="105">
        <v>4.16</v>
      </c>
      <c r="D34" s="105">
        <v>3.87</v>
      </c>
      <c r="E34" s="105">
        <v>3.61</v>
      </c>
      <c r="H34" s="104">
        <v>24</v>
      </c>
      <c r="I34" s="105">
        <v>4.45</v>
      </c>
      <c r="J34" s="105">
        <v>4.16</v>
      </c>
      <c r="K34" s="105">
        <v>3.87</v>
      </c>
      <c r="L34" s="105">
        <v>3.61</v>
      </c>
    </row>
    <row r="35" spans="1:12" x14ac:dyDescent="0.25">
      <c r="A35" s="104">
        <v>25</v>
      </c>
      <c r="B35" s="105">
        <v>4.6100000000000003</v>
      </c>
      <c r="C35" s="105">
        <v>4.3</v>
      </c>
      <c r="D35" s="105">
        <v>4.01</v>
      </c>
      <c r="E35" s="105">
        <v>3.73</v>
      </c>
      <c r="H35" s="104">
        <v>25</v>
      </c>
      <c r="I35" s="105">
        <v>4.6100000000000003</v>
      </c>
      <c r="J35" s="105">
        <v>4.3</v>
      </c>
      <c r="K35" s="105">
        <v>4.01</v>
      </c>
      <c r="L35" s="105">
        <v>3.73</v>
      </c>
    </row>
    <row r="36" spans="1:12" x14ac:dyDescent="0.25">
      <c r="A36" s="104">
        <v>26</v>
      </c>
      <c r="B36" s="105">
        <v>4.76</v>
      </c>
      <c r="C36" s="105">
        <v>4.45</v>
      </c>
      <c r="D36" s="105">
        <v>4.1399999999999997</v>
      </c>
      <c r="E36" s="105">
        <v>3.86</v>
      </c>
      <c r="H36" s="104">
        <v>26</v>
      </c>
      <c r="I36" s="105">
        <v>4.76</v>
      </c>
      <c r="J36" s="105">
        <v>4.45</v>
      </c>
      <c r="K36" s="105">
        <v>4.1399999999999997</v>
      </c>
      <c r="L36" s="105">
        <v>3.86</v>
      </c>
    </row>
    <row r="37" spans="1:12" x14ac:dyDescent="0.25">
      <c r="A37" s="104">
        <v>27</v>
      </c>
      <c r="B37" s="105">
        <v>4.93</v>
      </c>
      <c r="C37" s="105">
        <v>4.5999999999999996</v>
      </c>
      <c r="D37" s="105">
        <v>4.29</v>
      </c>
      <c r="E37" s="105">
        <v>3.99</v>
      </c>
      <c r="H37" s="104">
        <v>27</v>
      </c>
      <c r="I37" s="105">
        <v>4.93</v>
      </c>
      <c r="J37" s="105">
        <v>4.5999999999999996</v>
      </c>
      <c r="K37" s="105">
        <v>4.29</v>
      </c>
      <c r="L37" s="105">
        <v>3.99</v>
      </c>
    </row>
    <row r="38" spans="1:12" x14ac:dyDescent="0.25">
      <c r="A38" s="104">
        <v>28</v>
      </c>
      <c r="B38" s="105">
        <v>5.0999999999999996</v>
      </c>
      <c r="C38" s="105">
        <v>4.76</v>
      </c>
      <c r="D38" s="105">
        <v>4.43</v>
      </c>
      <c r="E38" s="105">
        <v>4.12</v>
      </c>
      <c r="H38" s="104">
        <v>28</v>
      </c>
      <c r="I38" s="105">
        <v>5.0999999999999996</v>
      </c>
      <c r="J38" s="105">
        <v>4.76</v>
      </c>
      <c r="K38" s="105">
        <v>4.43</v>
      </c>
      <c r="L38" s="105">
        <v>4.12</v>
      </c>
    </row>
    <row r="39" spans="1:12" x14ac:dyDescent="0.25">
      <c r="A39" s="104">
        <v>29</v>
      </c>
      <c r="B39" s="105">
        <v>5.27</v>
      </c>
      <c r="C39" s="105">
        <v>4.92</v>
      </c>
      <c r="D39" s="105">
        <v>4.58</v>
      </c>
      <c r="E39" s="105">
        <v>4.26</v>
      </c>
      <c r="H39" s="104">
        <v>29</v>
      </c>
      <c r="I39" s="105">
        <v>5.27</v>
      </c>
      <c r="J39" s="105">
        <v>4.92</v>
      </c>
      <c r="K39" s="105">
        <v>4.58</v>
      </c>
      <c r="L39" s="105">
        <v>4.26</v>
      </c>
    </row>
    <row r="40" spans="1:12" x14ac:dyDescent="0.25">
      <c r="A40" s="104">
        <v>30</v>
      </c>
      <c r="B40" s="105">
        <v>5.46</v>
      </c>
      <c r="C40" s="105">
        <v>5.09</v>
      </c>
      <c r="D40" s="105">
        <v>4.74</v>
      </c>
      <c r="E40" s="105">
        <v>4.41</v>
      </c>
      <c r="H40" s="104">
        <v>30</v>
      </c>
      <c r="I40" s="105">
        <v>5.46</v>
      </c>
      <c r="J40" s="105">
        <v>5.09</v>
      </c>
      <c r="K40" s="105">
        <v>4.74</v>
      </c>
      <c r="L40" s="105">
        <v>4.41</v>
      </c>
    </row>
    <row r="41" spans="1:12" x14ac:dyDescent="0.25">
      <c r="A41" s="104">
        <v>31</v>
      </c>
      <c r="B41" s="105">
        <v>5.64</v>
      </c>
      <c r="C41" s="105">
        <v>5.26</v>
      </c>
      <c r="D41" s="105">
        <v>4.9000000000000004</v>
      </c>
      <c r="E41" s="105">
        <v>4.5599999999999996</v>
      </c>
      <c r="H41" s="104">
        <v>31</v>
      </c>
      <c r="I41" s="105">
        <v>5.64</v>
      </c>
      <c r="J41" s="105">
        <v>5.26</v>
      </c>
      <c r="K41" s="105">
        <v>4.9000000000000004</v>
      </c>
      <c r="L41" s="105">
        <v>4.5599999999999996</v>
      </c>
    </row>
    <row r="42" spans="1:12" x14ac:dyDescent="0.25">
      <c r="A42" s="104">
        <v>32</v>
      </c>
      <c r="B42" s="105">
        <v>5.84</v>
      </c>
      <c r="C42" s="105">
        <v>5.45</v>
      </c>
      <c r="D42" s="105">
        <v>5.07</v>
      </c>
      <c r="E42" s="105">
        <v>4.71</v>
      </c>
      <c r="H42" s="104">
        <v>32</v>
      </c>
      <c r="I42" s="105">
        <v>5.84</v>
      </c>
      <c r="J42" s="105">
        <v>5.45</v>
      </c>
      <c r="K42" s="105">
        <v>5.07</v>
      </c>
      <c r="L42" s="105">
        <v>4.71</v>
      </c>
    </row>
    <row r="43" spans="1:12" x14ac:dyDescent="0.25">
      <c r="A43" s="104">
        <v>33</v>
      </c>
      <c r="B43" s="105">
        <v>6.04</v>
      </c>
      <c r="C43" s="105">
        <v>5.63</v>
      </c>
      <c r="D43" s="105">
        <v>5.24</v>
      </c>
      <c r="E43" s="105">
        <v>4.88</v>
      </c>
      <c r="H43" s="104">
        <v>33</v>
      </c>
      <c r="I43" s="105">
        <v>6.04</v>
      </c>
      <c r="J43" s="105">
        <v>5.63</v>
      </c>
      <c r="K43" s="105">
        <v>5.24</v>
      </c>
      <c r="L43" s="105">
        <v>4.88</v>
      </c>
    </row>
    <row r="44" spans="1:12" x14ac:dyDescent="0.25">
      <c r="A44" s="104">
        <v>34</v>
      </c>
      <c r="B44" s="105">
        <v>6.25</v>
      </c>
      <c r="C44" s="105">
        <v>5.83</v>
      </c>
      <c r="D44" s="105">
        <v>5.42</v>
      </c>
      <c r="E44" s="105">
        <v>5.04</v>
      </c>
      <c r="H44" s="104">
        <v>34</v>
      </c>
      <c r="I44" s="105">
        <v>6.25</v>
      </c>
      <c r="J44" s="105">
        <v>5.83</v>
      </c>
      <c r="K44" s="105">
        <v>5.42</v>
      </c>
      <c r="L44" s="105">
        <v>5.04</v>
      </c>
    </row>
    <row r="45" spans="1:12" x14ac:dyDescent="0.25">
      <c r="A45" s="104">
        <v>35</v>
      </c>
      <c r="B45" s="105">
        <v>6.47</v>
      </c>
      <c r="C45" s="105">
        <v>6.03</v>
      </c>
      <c r="D45" s="105">
        <v>5.61</v>
      </c>
      <c r="E45" s="105">
        <v>5.21</v>
      </c>
      <c r="H45" s="104">
        <v>35</v>
      </c>
      <c r="I45" s="105">
        <v>6.47</v>
      </c>
      <c r="J45" s="105">
        <v>6.03</v>
      </c>
      <c r="K45" s="105">
        <v>5.61</v>
      </c>
      <c r="L45" s="105">
        <v>5.21</v>
      </c>
    </row>
    <row r="46" spans="1:12" x14ac:dyDescent="0.25">
      <c r="A46" s="104">
        <v>36</v>
      </c>
      <c r="B46" s="105">
        <v>6.69</v>
      </c>
      <c r="C46" s="105">
        <v>6.24</v>
      </c>
      <c r="D46" s="105">
        <v>5.8</v>
      </c>
      <c r="E46" s="105">
        <v>5.39</v>
      </c>
      <c r="H46" s="104">
        <v>36</v>
      </c>
      <c r="I46" s="105">
        <v>6.69</v>
      </c>
      <c r="J46" s="105">
        <v>6.24</v>
      </c>
      <c r="K46" s="105">
        <v>5.8</v>
      </c>
      <c r="L46" s="105">
        <v>5.39</v>
      </c>
    </row>
    <row r="47" spans="1:12" x14ac:dyDescent="0.25">
      <c r="A47" s="104">
        <v>37</v>
      </c>
      <c r="B47" s="105">
        <v>6.92</v>
      </c>
      <c r="C47" s="105">
        <v>6.45</v>
      </c>
      <c r="D47" s="105">
        <v>6</v>
      </c>
      <c r="E47" s="105">
        <v>5.58</v>
      </c>
      <c r="H47" s="104">
        <v>37</v>
      </c>
      <c r="I47" s="105">
        <v>6.92</v>
      </c>
      <c r="J47" s="105">
        <v>6.45</v>
      </c>
      <c r="K47" s="105">
        <v>6</v>
      </c>
      <c r="L47" s="105">
        <v>5.58</v>
      </c>
    </row>
    <row r="48" spans="1:12" x14ac:dyDescent="0.25">
      <c r="A48" s="104">
        <v>38</v>
      </c>
      <c r="B48" s="105">
        <v>7.16</v>
      </c>
      <c r="C48" s="105">
        <v>6.67</v>
      </c>
      <c r="D48" s="105">
        <v>6.21</v>
      </c>
      <c r="E48" s="105">
        <v>5.77</v>
      </c>
      <c r="H48" s="104">
        <v>38</v>
      </c>
      <c r="I48" s="105">
        <v>7.16</v>
      </c>
      <c r="J48" s="105">
        <v>6.67</v>
      </c>
      <c r="K48" s="105">
        <v>6.21</v>
      </c>
      <c r="L48" s="105">
        <v>5.77</v>
      </c>
    </row>
    <row r="49" spans="1:12" x14ac:dyDescent="0.25">
      <c r="A49" s="104">
        <v>39</v>
      </c>
      <c r="B49" s="105">
        <v>7.41</v>
      </c>
      <c r="C49" s="105">
        <v>6.9</v>
      </c>
      <c r="D49" s="105">
        <v>6.42</v>
      </c>
      <c r="E49" s="105">
        <v>5.97</v>
      </c>
      <c r="H49" s="104">
        <v>39</v>
      </c>
      <c r="I49" s="105">
        <v>7.41</v>
      </c>
      <c r="J49" s="105">
        <v>6.9</v>
      </c>
      <c r="K49" s="105">
        <v>6.42</v>
      </c>
      <c r="L49" s="105">
        <v>5.97</v>
      </c>
    </row>
    <row r="50" spans="1:12" x14ac:dyDescent="0.25">
      <c r="A50" s="104">
        <v>40</v>
      </c>
      <c r="B50" s="105">
        <v>7.67</v>
      </c>
      <c r="C50" s="105">
        <v>7.14</v>
      </c>
      <c r="D50" s="105">
        <v>6.64</v>
      </c>
      <c r="E50" s="105">
        <v>6.17</v>
      </c>
      <c r="H50" s="104">
        <v>40</v>
      </c>
      <c r="I50" s="105">
        <v>7.67</v>
      </c>
      <c r="J50" s="105">
        <v>7.14</v>
      </c>
      <c r="K50" s="105">
        <v>6.64</v>
      </c>
      <c r="L50" s="105">
        <v>6.17</v>
      </c>
    </row>
    <row r="51" spans="1:12" x14ac:dyDescent="0.25">
      <c r="A51" s="104">
        <v>41</v>
      </c>
      <c r="B51" s="105">
        <v>7.93</v>
      </c>
      <c r="C51" s="105">
        <v>7.39</v>
      </c>
      <c r="D51" s="105">
        <v>6.87</v>
      </c>
      <c r="E51" s="105">
        <v>6.38</v>
      </c>
      <c r="H51" s="104">
        <v>41</v>
      </c>
      <c r="I51" s="105">
        <v>7.93</v>
      </c>
      <c r="J51" s="105">
        <v>7.39</v>
      </c>
      <c r="K51" s="105">
        <v>6.87</v>
      </c>
      <c r="L51" s="105">
        <v>6.38</v>
      </c>
    </row>
    <row r="52" spans="1:12" x14ac:dyDescent="0.25">
      <c r="A52" s="104">
        <v>42</v>
      </c>
      <c r="B52" s="105">
        <v>8.2100000000000009</v>
      </c>
      <c r="C52" s="105">
        <v>7.65</v>
      </c>
      <c r="D52" s="105">
        <v>7.11</v>
      </c>
      <c r="E52" s="105">
        <v>6.6</v>
      </c>
      <c r="H52" s="104">
        <v>42</v>
      </c>
      <c r="I52" s="105">
        <v>8.2100000000000009</v>
      </c>
      <c r="J52" s="105">
        <v>7.65</v>
      </c>
      <c r="K52" s="105">
        <v>7.11</v>
      </c>
      <c r="L52" s="105">
        <v>6.6</v>
      </c>
    </row>
    <row r="53" spans="1:12" x14ac:dyDescent="0.25">
      <c r="A53" s="104">
        <v>43</v>
      </c>
      <c r="B53" s="105">
        <v>8.5</v>
      </c>
      <c r="C53" s="105">
        <v>7.91</v>
      </c>
      <c r="D53" s="105">
        <v>7.36</v>
      </c>
      <c r="E53" s="105">
        <v>6.83</v>
      </c>
      <c r="H53" s="104">
        <v>43</v>
      </c>
      <c r="I53" s="105">
        <v>8.5</v>
      </c>
      <c r="J53" s="105">
        <v>7.91</v>
      </c>
      <c r="K53" s="105">
        <v>7.36</v>
      </c>
      <c r="L53" s="105">
        <v>6.83</v>
      </c>
    </row>
    <row r="54" spans="1:12" x14ac:dyDescent="0.25">
      <c r="A54" s="104">
        <v>44</v>
      </c>
      <c r="B54" s="105">
        <v>8.8000000000000007</v>
      </c>
      <c r="C54" s="105">
        <v>8.19</v>
      </c>
      <c r="D54" s="105">
        <v>7.61</v>
      </c>
      <c r="E54" s="105">
        <v>7.06</v>
      </c>
      <c r="H54" s="104">
        <v>44</v>
      </c>
      <c r="I54" s="105">
        <v>8.8000000000000007</v>
      </c>
      <c r="J54" s="105">
        <v>8.19</v>
      </c>
      <c r="K54" s="105">
        <v>7.61</v>
      </c>
      <c r="L54" s="105">
        <v>7.06</v>
      </c>
    </row>
    <row r="55" spans="1:12" x14ac:dyDescent="0.25">
      <c r="A55" s="104">
        <v>45</v>
      </c>
      <c r="B55" s="105">
        <v>9.1</v>
      </c>
      <c r="C55" s="105">
        <v>8.4700000000000006</v>
      </c>
      <c r="D55" s="105">
        <v>7.88</v>
      </c>
      <c r="E55" s="105">
        <v>7.31</v>
      </c>
      <c r="H55" s="104">
        <v>45</v>
      </c>
      <c r="I55" s="105">
        <v>9.1</v>
      </c>
      <c r="J55" s="105">
        <v>8.4700000000000006</v>
      </c>
      <c r="K55" s="105">
        <v>7.88</v>
      </c>
      <c r="L55" s="105">
        <v>7.31</v>
      </c>
    </row>
    <row r="56" spans="1:12" x14ac:dyDescent="0.25">
      <c r="A56" s="104">
        <v>46</v>
      </c>
      <c r="B56" s="105">
        <v>9.42</v>
      </c>
      <c r="C56" s="105">
        <v>8.77</v>
      </c>
      <c r="D56" s="105">
        <v>8.15</v>
      </c>
      <c r="E56" s="105">
        <v>7.56</v>
      </c>
      <c r="H56" s="104">
        <v>46</v>
      </c>
      <c r="I56" s="105">
        <v>9.42</v>
      </c>
      <c r="J56" s="105">
        <v>8.77</v>
      </c>
      <c r="K56" s="105">
        <v>8.15</v>
      </c>
      <c r="L56" s="105">
        <v>7.56</v>
      </c>
    </row>
    <row r="57" spans="1:12" x14ac:dyDescent="0.25">
      <c r="A57" s="104">
        <v>47</v>
      </c>
      <c r="B57" s="105">
        <v>9.76</v>
      </c>
      <c r="C57" s="105">
        <v>9.08</v>
      </c>
      <c r="D57" s="105">
        <v>8.44</v>
      </c>
      <c r="E57" s="105">
        <v>7.83</v>
      </c>
      <c r="H57" s="104">
        <v>47</v>
      </c>
      <c r="I57" s="105">
        <v>9.76</v>
      </c>
      <c r="J57" s="105">
        <v>9.08</v>
      </c>
      <c r="K57" s="105">
        <v>8.44</v>
      </c>
      <c r="L57" s="105">
        <v>7.83</v>
      </c>
    </row>
    <row r="58" spans="1:12" x14ac:dyDescent="0.25">
      <c r="A58" s="104">
        <v>48</v>
      </c>
      <c r="B58" s="105">
        <v>10.1</v>
      </c>
      <c r="C58" s="105">
        <v>9.4</v>
      </c>
      <c r="D58" s="105">
        <v>8.73</v>
      </c>
      <c r="E58" s="105">
        <v>8.1</v>
      </c>
      <c r="H58" s="104">
        <v>48</v>
      </c>
      <c r="I58" s="105">
        <v>10.1</v>
      </c>
      <c r="J58" s="105">
        <v>9.4</v>
      </c>
      <c r="K58" s="105">
        <v>8.73</v>
      </c>
      <c r="L58" s="105">
        <v>8.1</v>
      </c>
    </row>
    <row r="59" spans="1:12" x14ac:dyDescent="0.25">
      <c r="A59" s="104">
        <v>49</v>
      </c>
      <c r="B59" s="105">
        <v>10.46</v>
      </c>
      <c r="C59" s="105">
        <v>9.73</v>
      </c>
      <c r="D59" s="105">
        <v>9.0399999999999991</v>
      </c>
      <c r="E59" s="105">
        <v>8.3800000000000008</v>
      </c>
      <c r="H59" s="104">
        <v>49</v>
      </c>
      <c r="I59" s="105">
        <v>10.46</v>
      </c>
      <c r="J59" s="105">
        <v>9.73</v>
      </c>
      <c r="K59" s="105">
        <v>9.0399999999999991</v>
      </c>
      <c r="L59" s="105">
        <v>8.3800000000000008</v>
      </c>
    </row>
    <row r="60" spans="1:12" x14ac:dyDescent="0.25">
      <c r="A60" s="104">
        <v>50</v>
      </c>
      <c r="B60" s="105">
        <v>10.83</v>
      </c>
      <c r="C60" s="105">
        <v>10.07</v>
      </c>
      <c r="D60" s="105">
        <v>9.36</v>
      </c>
      <c r="E60" s="105">
        <v>8.67</v>
      </c>
      <c r="H60" s="104">
        <v>50</v>
      </c>
      <c r="I60" s="105">
        <v>10.83</v>
      </c>
      <c r="J60" s="105">
        <v>10.07</v>
      </c>
      <c r="K60" s="105">
        <v>9.36</v>
      </c>
      <c r="L60" s="105">
        <v>8.67</v>
      </c>
    </row>
    <row r="61" spans="1:12" x14ac:dyDescent="0.25">
      <c r="A61" s="104">
        <v>51</v>
      </c>
      <c r="B61" s="105">
        <v>11.22</v>
      </c>
      <c r="C61" s="105">
        <v>10.43</v>
      </c>
      <c r="D61" s="105">
        <v>9.69</v>
      </c>
      <c r="E61" s="105">
        <v>8.98</v>
      </c>
      <c r="H61" s="104">
        <v>51</v>
      </c>
      <c r="I61" s="105">
        <v>11.22</v>
      </c>
      <c r="J61" s="105">
        <v>10.43</v>
      </c>
      <c r="K61" s="105">
        <v>9.69</v>
      </c>
      <c r="L61" s="105">
        <v>8.98</v>
      </c>
    </row>
    <row r="62" spans="1:12" x14ac:dyDescent="0.25">
      <c r="A62" s="104">
        <v>52</v>
      </c>
      <c r="B62" s="105">
        <v>11.62</v>
      </c>
      <c r="C62" s="105">
        <v>10.8</v>
      </c>
      <c r="D62" s="105">
        <v>10.029999999999999</v>
      </c>
      <c r="E62" s="105">
        <v>9.3000000000000007</v>
      </c>
      <c r="H62" s="104">
        <v>52</v>
      </c>
      <c r="I62" s="105">
        <v>11.62</v>
      </c>
      <c r="J62" s="105">
        <v>10.8</v>
      </c>
      <c r="K62" s="105">
        <v>10.029999999999999</v>
      </c>
      <c r="L62" s="105">
        <v>9.3000000000000007</v>
      </c>
    </row>
    <row r="63" spans="1:12" x14ac:dyDescent="0.25">
      <c r="A63" s="104">
        <v>53</v>
      </c>
      <c r="B63" s="105">
        <v>12.04</v>
      </c>
      <c r="C63" s="105">
        <v>11.19</v>
      </c>
      <c r="D63" s="105">
        <v>10.39</v>
      </c>
      <c r="E63" s="105">
        <v>9.6300000000000008</v>
      </c>
      <c r="H63" s="104">
        <v>53</v>
      </c>
      <c r="I63" s="105">
        <v>12.04</v>
      </c>
      <c r="J63" s="105">
        <v>11.19</v>
      </c>
      <c r="K63" s="105">
        <v>10.39</v>
      </c>
      <c r="L63" s="105">
        <v>9.6300000000000008</v>
      </c>
    </row>
    <row r="64" spans="1:12" x14ac:dyDescent="0.25">
      <c r="A64" s="104">
        <v>54</v>
      </c>
      <c r="B64" s="105">
        <v>12.47</v>
      </c>
      <c r="C64" s="105">
        <v>11.59</v>
      </c>
      <c r="D64" s="105">
        <v>10.76</v>
      </c>
      <c r="E64" s="105">
        <v>9.9700000000000006</v>
      </c>
      <c r="H64" s="104">
        <v>54</v>
      </c>
      <c r="I64" s="105">
        <v>12.47</v>
      </c>
      <c r="J64" s="105">
        <v>11.59</v>
      </c>
      <c r="K64" s="105">
        <v>10.76</v>
      </c>
      <c r="L64" s="105">
        <v>9.9700000000000006</v>
      </c>
    </row>
    <row r="65" spans="1:12" x14ac:dyDescent="0.25">
      <c r="A65" s="104">
        <v>55</v>
      </c>
      <c r="B65" s="105">
        <v>12.92</v>
      </c>
      <c r="C65" s="105">
        <v>12.01</v>
      </c>
      <c r="D65" s="105">
        <v>11.15</v>
      </c>
      <c r="E65" s="105">
        <v>10.33</v>
      </c>
      <c r="H65" s="104">
        <v>55</v>
      </c>
      <c r="I65" s="105">
        <v>12.92</v>
      </c>
      <c r="J65" s="105">
        <v>12.01</v>
      </c>
      <c r="K65" s="105">
        <v>11.15</v>
      </c>
      <c r="L65" s="105">
        <v>10.33</v>
      </c>
    </row>
    <row r="66" spans="1:12" x14ac:dyDescent="0.25">
      <c r="A66" s="104">
        <v>56</v>
      </c>
      <c r="B66" s="105">
        <v>13.4</v>
      </c>
      <c r="C66" s="105">
        <v>12.45</v>
      </c>
      <c r="D66" s="105">
        <v>11.55</v>
      </c>
      <c r="E66" s="105">
        <v>10.7</v>
      </c>
      <c r="H66" s="104">
        <v>56</v>
      </c>
      <c r="I66" s="105">
        <v>13.4</v>
      </c>
      <c r="J66" s="105">
        <v>12.45</v>
      </c>
      <c r="K66" s="105">
        <v>11.55</v>
      </c>
      <c r="L66" s="105">
        <v>10.7</v>
      </c>
    </row>
    <row r="67" spans="1:12" x14ac:dyDescent="0.25">
      <c r="A67" s="104">
        <v>57</v>
      </c>
      <c r="B67" s="105">
        <v>13.89</v>
      </c>
      <c r="C67" s="105">
        <v>12.91</v>
      </c>
      <c r="D67" s="105">
        <v>11.97</v>
      </c>
      <c r="E67" s="105">
        <v>11.09</v>
      </c>
      <c r="H67" s="104">
        <v>57</v>
      </c>
      <c r="I67" s="105">
        <v>13.89</v>
      </c>
      <c r="J67" s="105">
        <v>12.91</v>
      </c>
      <c r="K67" s="105">
        <v>11.97</v>
      </c>
      <c r="L67" s="105">
        <v>11.09</v>
      </c>
    </row>
    <row r="68" spans="1:12" x14ac:dyDescent="0.25">
      <c r="A68" s="104">
        <v>58</v>
      </c>
      <c r="B68" s="105">
        <v>14.41</v>
      </c>
      <c r="C68" s="105">
        <v>13.38</v>
      </c>
      <c r="D68" s="105">
        <v>12.41</v>
      </c>
      <c r="E68" s="105">
        <v>11.49</v>
      </c>
      <c r="H68" s="104">
        <v>58</v>
      </c>
      <c r="I68" s="105">
        <v>14.41</v>
      </c>
      <c r="J68" s="105">
        <v>13.38</v>
      </c>
      <c r="K68" s="105">
        <v>12.41</v>
      </c>
      <c r="L68" s="105">
        <v>11.49</v>
      </c>
    </row>
    <row r="69" spans="1:12" x14ac:dyDescent="0.25">
      <c r="A69" s="104">
        <v>59</v>
      </c>
      <c r="B69" s="105">
        <v>14.94</v>
      </c>
      <c r="C69" s="105">
        <v>13.88</v>
      </c>
      <c r="D69" s="105">
        <v>12.87</v>
      </c>
      <c r="E69" s="105">
        <v>11.92</v>
      </c>
      <c r="H69" s="104">
        <v>59</v>
      </c>
      <c r="I69" s="105">
        <v>14.94</v>
      </c>
      <c r="J69" s="105">
        <v>13.88</v>
      </c>
      <c r="K69" s="105">
        <v>12.87</v>
      </c>
      <c r="L69" s="105">
        <v>11.92</v>
      </c>
    </row>
    <row r="70" spans="1:12" x14ac:dyDescent="0.25">
      <c r="A70" s="104">
        <v>60</v>
      </c>
      <c r="B70" s="105">
        <v>15.51</v>
      </c>
      <c r="C70" s="105">
        <v>14.41</v>
      </c>
      <c r="D70" s="105">
        <v>13.36</v>
      </c>
      <c r="E70" s="105">
        <v>12.36</v>
      </c>
      <c r="H70" s="104">
        <v>60</v>
      </c>
      <c r="I70" s="105">
        <v>15.51</v>
      </c>
      <c r="J70" s="105">
        <v>14.41</v>
      </c>
      <c r="K70" s="105">
        <v>13.36</v>
      </c>
      <c r="L70" s="105">
        <v>12.36</v>
      </c>
    </row>
    <row r="71" spans="1:12" x14ac:dyDescent="0.25">
      <c r="A71" s="104">
        <v>61</v>
      </c>
      <c r="B71" s="105">
        <v>16.100000000000001</v>
      </c>
      <c r="C71" s="105">
        <v>14.95</v>
      </c>
      <c r="D71" s="105">
        <v>13.86</v>
      </c>
      <c r="E71" s="105">
        <v>12.83</v>
      </c>
      <c r="H71" s="104">
        <v>61</v>
      </c>
      <c r="I71" s="105">
        <v>16.100000000000001</v>
      </c>
      <c r="J71" s="105">
        <v>14.95</v>
      </c>
      <c r="K71" s="105">
        <v>13.86</v>
      </c>
      <c r="L71" s="105">
        <v>12.83</v>
      </c>
    </row>
    <row r="72" spans="1:12" x14ac:dyDescent="0.25">
      <c r="A72" s="104">
        <v>62</v>
      </c>
      <c r="B72" s="105">
        <v>16.73</v>
      </c>
      <c r="C72" s="105">
        <v>15.53</v>
      </c>
      <c r="D72" s="105">
        <v>14.4</v>
      </c>
      <c r="E72" s="105">
        <v>13.32</v>
      </c>
      <c r="H72" s="104">
        <v>62</v>
      </c>
      <c r="I72" s="105">
        <v>16.73</v>
      </c>
      <c r="J72" s="105">
        <v>15.53</v>
      </c>
      <c r="K72" s="105">
        <v>14.4</v>
      </c>
      <c r="L72" s="105">
        <v>13.32</v>
      </c>
    </row>
    <row r="73" spans="1:12" x14ac:dyDescent="0.25">
      <c r="A73" s="104">
        <v>63</v>
      </c>
      <c r="B73" s="105">
        <v>17.38</v>
      </c>
      <c r="C73" s="105">
        <v>16.14</v>
      </c>
      <c r="D73" s="105">
        <v>14.96</v>
      </c>
      <c r="E73" s="105">
        <v>13.83</v>
      </c>
      <c r="H73" s="104">
        <v>63</v>
      </c>
      <c r="I73" s="105">
        <v>17.38</v>
      </c>
      <c r="J73" s="105">
        <v>16.14</v>
      </c>
      <c r="K73" s="105">
        <v>14.96</v>
      </c>
      <c r="L73" s="105">
        <v>13.83</v>
      </c>
    </row>
    <row r="74" spans="1:12" x14ac:dyDescent="0.25">
      <c r="A74" s="104">
        <v>64</v>
      </c>
      <c r="B74" s="105">
        <v>18.079999999999998</v>
      </c>
      <c r="C74" s="105">
        <v>16.78</v>
      </c>
      <c r="D74" s="105">
        <v>15.55</v>
      </c>
      <c r="E74" s="105">
        <v>14.38</v>
      </c>
      <c r="H74" s="104">
        <v>64</v>
      </c>
      <c r="I74" s="105">
        <v>18.079999999999998</v>
      </c>
      <c r="J74" s="105">
        <v>16.78</v>
      </c>
      <c r="K74" s="105">
        <v>15.55</v>
      </c>
      <c r="L74" s="105">
        <v>14.38</v>
      </c>
    </row>
    <row r="75" spans="1:12" x14ac:dyDescent="0.25">
      <c r="A75" s="104">
        <v>65</v>
      </c>
      <c r="B75" s="105">
        <v>18.11</v>
      </c>
      <c r="C75" s="105">
        <v>17.46</v>
      </c>
      <c r="D75" s="105">
        <v>16.18</v>
      </c>
      <c r="E75" s="105">
        <v>14.96</v>
      </c>
      <c r="H75" s="104">
        <v>65</v>
      </c>
      <c r="I75" s="105">
        <v>18.11</v>
      </c>
      <c r="J75" s="105">
        <v>17.46</v>
      </c>
      <c r="K75" s="105">
        <v>16.18</v>
      </c>
      <c r="L75" s="105">
        <v>14.96</v>
      </c>
    </row>
    <row r="76" spans="1:12" x14ac:dyDescent="0.25">
      <c r="A76" s="104">
        <v>66</v>
      </c>
      <c r="B76" s="105">
        <v>17.45</v>
      </c>
      <c r="C76" s="105">
        <v>17.48</v>
      </c>
      <c r="D76" s="105">
        <v>16.84</v>
      </c>
      <c r="E76" s="105">
        <v>15.57</v>
      </c>
      <c r="H76" s="104">
        <v>66</v>
      </c>
      <c r="I76" s="105">
        <v>17.45</v>
      </c>
      <c r="J76" s="105">
        <v>17.48</v>
      </c>
      <c r="K76" s="105">
        <v>16.84</v>
      </c>
      <c r="L76" s="105">
        <v>15.57</v>
      </c>
    </row>
    <row r="77" spans="1:12" x14ac:dyDescent="0.25">
      <c r="A77" s="104">
        <v>67</v>
      </c>
      <c r="B77" s="105">
        <v>16.79</v>
      </c>
      <c r="C77" s="105">
        <v>16.809999999999999</v>
      </c>
      <c r="D77" s="105">
        <v>16.850000000000001</v>
      </c>
      <c r="E77" s="105">
        <v>16.22</v>
      </c>
      <c r="H77" s="104">
        <v>67</v>
      </c>
      <c r="I77" s="105">
        <v>16.79</v>
      </c>
      <c r="J77" s="105">
        <v>16.809999999999999</v>
      </c>
      <c r="K77" s="105">
        <v>16.850000000000001</v>
      </c>
      <c r="L77" s="105">
        <v>16.22</v>
      </c>
    </row>
    <row r="78" spans="1:12" x14ac:dyDescent="0.25">
      <c r="A78" s="104">
        <v>68</v>
      </c>
      <c r="B78" s="105">
        <v>16.13</v>
      </c>
      <c r="C78" s="105">
        <v>16.149999999999999</v>
      </c>
      <c r="D78" s="105">
        <v>16.18</v>
      </c>
      <c r="E78" s="105">
        <v>16.22</v>
      </c>
      <c r="H78" s="104">
        <v>68</v>
      </c>
      <c r="I78" s="105">
        <v>16.13</v>
      </c>
      <c r="J78" s="105">
        <v>16.149999999999999</v>
      </c>
      <c r="K78" s="105">
        <v>16.18</v>
      </c>
      <c r="L78" s="105">
        <v>16.22</v>
      </c>
    </row>
    <row r="79" spans="1:12" x14ac:dyDescent="0.25">
      <c r="A79" s="104">
        <v>69</v>
      </c>
      <c r="B79" s="105">
        <v>15.48</v>
      </c>
      <c r="C79" s="105">
        <v>15.49</v>
      </c>
      <c r="D79" s="105">
        <v>15.51</v>
      </c>
      <c r="E79" s="105">
        <v>15.54</v>
      </c>
      <c r="H79" s="104">
        <v>69</v>
      </c>
      <c r="I79" s="105">
        <v>15.48</v>
      </c>
      <c r="J79" s="105">
        <v>15.49</v>
      </c>
      <c r="K79" s="105">
        <v>15.51</v>
      </c>
      <c r="L79" s="105">
        <v>15.54</v>
      </c>
    </row>
    <row r="80" spans="1:12" x14ac:dyDescent="0.25">
      <c r="A80" s="104">
        <v>70</v>
      </c>
      <c r="B80" s="105">
        <v>14.84</v>
      </c>
      <c r="C80" s="105">
        <v>14.84</v>
      </c>
      <c r="D80" s="105">
        <v>14.85</v>
      </c>
      <c r="E80" s="105">
        <v>14.88</v>
      </c>
      <c r="H80" s="104">
        <v>70</v>
      </c>
      <c r="I80" s="105">
        <v>14.84</v>
      </c>
      <c r="J80" s="105">
        <v>14.84</v>
      </c>
      <c r="K80" s="105">
        <v>14.85</v>
      </c>
      <c r="L80" s="105">
        <v>14.88</v>
      </c>
    </row>
    <row r="81" spans="1:12" x14ac:dyDescent="0.25">
      <c r="A81" s="104">
        <v>71</v>
      </c>
      <c r="B81" s="105">
        <v>14.2</v>
      </c>
      <c r="C81" s="105">
        <v>14.2</v>
      </c>
      <c r="D81" s="105">
        <v>14.2</v>
      </c>
      <c r="E81" s="105">
        <v>14.22</v>
      </c>
      <c r="H81" s="104">
        <v>71</v>
      </c>
      <c r="I81" s="105">
        <v>14.2</v>
      </c>
      <c r="J81" s="105">
        <v>14.2</v>
      </c>
      <c r="K81" s="105">
        <v>14.2</v>
      </c>
      <c r="L81" s="105">
        <v>14.22</v>
      </c>
    </row>
    <row r="82" spans="1:12" x14ac:dyDescent="0.25">
      <c r="A82" s="104">
        <v>72</v>
      </c>
      <c r="B82" s="105">
        <v>13.57</v>
      </c>
      <c r="C82" s="105">
        <v>13.57</v>
      </c>
      <c r="D82" s="105">
        <v>13.57</v>
      </c>
      <c r="E82" s="105">
        <v>13.57</v>
      </c>
      <c r="H82" s="104">
        <v>72</v>
      </c>
      <c r="I82" s="105">
        <v>13.57</v>
      </c>
      <c r="J82" s="105">
        <v>13.57</v>
      </c>
      <c r="K82" s="105">
        <v>13.57</v>
      </c>
      <c r="L82" s="105">
        <v>13.57</v>
      </c>
    </row>
    <row r="83" spans="1:12" x14ac:dyDescent="0.25">
      <c r="A83" s="104">
        <v>73</v>
      </c>
      <c r="B83" s="105">
        <v>12.94</v>
      </c>
      <c r="C83" s="105">
        <v>12.94</v>
      </c>
      <c r="D83" s="105">
        <v>12.94</v>
      </c>
      <c r="E83" s="105">
        <v>12.94</v>
      </c>
      <c r="H83" s="104">
        <v>73</v>
      </c>
      <c r="I83" s="105">
        <v>12.94</v>
      </c>
      <c r="J83" s="105">
        <v>12.94</v>
      </c>
      <c r="K83" s="105">
        <v>12.94</v>
      </c>
      <c r="L83" s="105">
        <v>12.94</v>
      </c>
    </row>
    <row r="84" spans="1:12" x14ac:dyDescent="0.25">
      <c r="A84" s="104">
        <v>74</v>
      </c>
      <c r="B84" s="105">
        <v>12.31</v>
      </c>
      <c r="C84" s="105">
        <v>12.31</v>
      </c>
      <c r="D84" s="105">
        <v>12.31</v>
      </c>
      <c r="E84" s="105">
        <v>12.31</v>
      </c>
      <c r="H84" s="104">
        <v>74</v>
      </c>
      <c r="I84" s="105">
        <v>12.31</v>
      </c>
      <c r="J84" s="105">
        <v>12.31</v>
      </c>
      <c r="K84" s="105">
        <v>12.31</v>
      </c>
      <c r="L84" s="105">
        <v>12.31</v>
      </c>
    </row>
    <row r="85" spans="1:12" x14ac:dyDescent="0.25">
      <c r="A85" s="104">
        <v>75</v>
      </c>
      <c r="B85" s="105">
        <v>11.69</v>
      </c>
      <c r="C85" s="105">
        <v>11.69</v>
      </c>
      <c r="D85" s="105">
        <v>11.69</v>
      </c>
      <c r="E85" s="105">
        <v>11.69</v>
      </c>
      <c r="H85" s="104">
        <v>75</v>
      </c>
      <c r="I85" s="105">
        <v>11.69</v>
      </c>
      <c r="J85" s="105">
        <v>11.69</v>
      </c>
      <c r="K85" s="105">
        <v>11.69</v>
      </c>
      <c r="L85" s="105">
        <v>11.69</v>
      </c>
    </row>
    <row r="86" spans="1:12" x14ac:dyDescent="0.25">
      <c r="A86" s="104">
        <v>76</v>
      </c>
      <c r="B86" s="105">
        <v>11.09</v>
      </c>
      <c r="C86" s="105">
        <v>11.09</v>
      </c>
      <c r="D86" s="105">
        <v>11.09</v>
      </c>
      <c r="E86" s="105">
        <v>11.09</v>
      </c>
      <c r="H86" s="104">
        <v>76</v>
      </c>
      <c r="I86" s="105">
        <v>11.09</v>
      </c>
      <c r="J86" s="105">
        <v>11.09</v>
      </c>
      <c r="K86" s="105">
        <v>11.09</v>
      </c>
      <c r="L86" s="105">
        <v>11.09</v>
      </c>
    </row>
    <row r="87" spans="1:12" x14ac:dyDescent="0.25">
      <c r="A87" s="104">
        <v>77</v>
      </c>
      <c r="B87" s="105">
        <v>10.49</v>
      </c>
      <c r="C87" s="105">
        <v>10.49</v>
      </c>
      <c r="D87" s="105">
        <v>10.49</v>
      </c>
      <c r="E87" s="105">
        <v>10.49</v>
      </c>
      <c r="H87" s="104">
        <v>77</v>
      </c>
      <c r="I87" s="105">
        <v>10.49</v>
      </c>
      <c r="J87" s="105">
        <v>10.49</v>
      </c>
      <c r="K87" s="105">
        <v>10.49</v>
      </c>
      <c r="L87" s="105">
        <v>10.49</v>
      </c>
    </row>
    <row r="88" spans="1:12" x14ac:dyDescent="0.25">
      <c r="A88" s="104">
        <v>78</v>
      </c>
      <c r="B88" s="105">
        <v>9.9</v>
      </c>
      <c r="C88" s="105">
        <v>9.9</v>
      </c>
      <c r="D88" s="105">
        <v>9.9</v>
      </c>
      <c r="E88" s="105">
        <v>9.9</v>
      </c>
      <c r="H88" s="104">
        <v>78</v>
      </c>
      <c r="I88" s="105">
        <v>9.9</v>
      </c>
      <c r="J88" s="105">
        <v>9.9</v>
      </c>
      <c r="K88" s="105">
        <v>9.9</v>
      </c>
      <c r="L88" s="105">
        <v>9.9</v>
      </c>
    </row>
    <row r="89" spans="1:12" x14ac:dyDescent="0.25">
      <c r="A89" s="104">
        <v>79</v>
      </c>
      <c r="B89" s="105">
        <v>9.33</v>
      </c>
      <c r="C89" s="105">
        <v>9.33</v>
      </c>
      <c r="D89" s="105">
        <v>9.33</v>
      </c>
      <c r="E89" s="105">
        <v>9.33</v>
      </c>
      <c r="H89" s="104">
        <v>79</v>
      </c>
      <c r="I89" s="105">
        <v>9.33</v>
      </c>
      <c r="J89" s="105">
        <v>9.33</v>
      </c>
      <c r="K89" s="105">
        <v>9.33</v>
      </c>
      <c r="L89" s="105">
        <v>9.33</v>
      </c>
    </row>
    <row r="90" spans="1:12" x14ac:dyDescent="0.25">
      <c r="A90" s="104">
        <v>80</v>
      </c>
      <c r="B90" s="105">
        <v>8.77</v>
      </c>
      <c r="C90" s="105">
        <v>8.77</v>
      </c>
      <c r="D90" s="105">
        <v>8.77</v>
      </c>
      <c r="E90" s="105">
        <v>8.77</v>
      </c>
      <c r="H90" s="104">
        <v>80</v>
      </c>
      <c r="I90" s="105">
        <v>8.77</v>
      </c>
      <c r="J90" s="105">
        <v>8.77</v>
      </c>
      <c r="K90" s="105">
        <v>8.77</v>
      </c>
      <c r="L90" s="105">
        <v>8.77</v>
      </c>
    </row>
    <row r="91" spans="1:12" x14ac:dyDescent="0.25">
      <c r="A91" s="104">
        <v>81</v>
      </c>
      <c r="B91" s="105">
        <v>8.23</v>
      </c>
      <c r="C91" s="105">
        <v>8.23</v>
      </c>
      <c r="D91" s="105">
        <v>8.23</v>
      </c>
      <c r="E91" s="105">
        <v>8.23</v>
      </c>
      <c r="H91" s="104">
        <v>81</v>
      </c>
      <c r="I91" s="105">
        <v>8.23</v>
      </c>
      <c r="J91" s="105">
        <v>8.23</v>
      </c>
      <c r="K91" s="105">
        <v>8.23</v>
      </c>
      <c r="L91" s="105">
        <v>8.23</v>
      </c>
    </row>
    <row r="92" spans="1:12" x14ac:dyDescent="0.25">
      <c r="A92" s="104">
        <v>82</v>
      </c>
      <c r="B92" s="105">
        <v>7.71</v>
      </c>
      <c r="C92" s="105">
        <v>7.71</v>
      </c>
      <c r="D92" s="105">
        <v>7.71</v>
      </c>
      <c r="E92" s="105">
        <v>7.71</v>
      </c>
      <c r="H92" s="104">
        <v>82</v>
      </c>
      <c r="I92" s="105">
        <v>7.71</v>
      </c>
      <c r="J92" s="105">
        <v>7.71</v>
      </c>
      <c r="K92" s="105">
        <v>7.71</v>
      </c>
      <c r="L92" s="105">
        <v>7.71</v>
      </c>
    </row>
    <row r="93" spans="1:12" x14ac:dyDescent="0.25">
      <c r="A93" s="104">
        <v>83</v>
      </c>
      <c r="B93" s="105">
        <v>7.2</v>
      </c>
      <c r="C93" s="105">
        <v>7.2</v>
      </c>
      <c r="D93" s="105">
        <v>7.2</v>
      </c>
      <c r="E93" s="105">
        <v>7.2</v>
      </c>
      <c r="H93" s="104">
        <v>83</v>
      </c>
      <c r="I93" s="105">
        <v>7.2</v>
      </c>
      <c r="J93" s="105">
        <v>7.2</v>
      </c>
      <c r="K93" s="105">
        <v>7.2</v>
      </c>
      <c r="L93" s="105">
        <v>7.2</v>
      </c>
    </row>
    <row r="94" spans="1:12" x14ac:dyDescent="0.25">
      <c r="A94" s="104">
        <v>84</v>
      </c>
      <c r="B94" s="105">
        <v>6.72</v>
      </c>
      <c r="C94" s="105">
        <v>6.72</v>
      </c>
      <c r="D94" s="105">
        <v>6.72</v>
      </c>
      <c r="E94" s="105">
        <v>6.72</v>
      </c>
      <c r="H94" s="104">
        <v>84</v>
      </c>
      <c r="I94" s="105">
        <v>6.72</v>
      </c>
      <c r="J94" s="105">
        <v>6.72</v>
      </c>
      <c r="K94" s="105">
        <v>6.72</v>
      </c>
      <c r="L94" s="105">
        <v>6.72</v>
      </c>
    </row>
    <row r="95" spans="1:12" x14ac:dyDescent="0.25">
      <c r="A95" s="104">
        <v>85</v>
      </c>
      <c r="B95" s="105">
        <v>6.26</v>
      </c>
      <c r="C95" s="105">
        <v>6.26</v>
      </c>
      <c r="D95" s="105">
        <v>6.26</v>
      </c>
      <c r="E95" s="105">
        <v>6.26</v>
      </c>
      <c r="H95" s="104">
        <v>85</v>
      </c>
      <c r="I95" s="105">
        <v>6.26</v>
      </c>
      <c r="J95" s="105">
        <v>6.26</v>
      </c>
      <c r="K95" s="105">
        <v>6.26</v>
      </c>
      <c r="L95" s="105">
        <v>6.26</v>
      </c>
    </row>
    <row r="96" spans="1:12" x14ac:dyDescent="0.25">
      <c r="A96" s="104">
        <v>86</v>
      </c>
      <c r="B96" s="105">
        <v>5.82</v>
      </c>
      <c r="C96" s="105">
        <v>5.82</v>
      </c>
      <c r="D96" s="105">
        <v>5.82</v>
      </c>
      <c r="E96" s="105">
        <v>5.82</v>
      </c>
      <c r="H96" s="104">
        <v>86</v>
      </c>
      <c r="I96" s="105">
        <v>5.82</v>
      </c>
      <c r="J96" s="105">
        <v>5.82</v>
      </c>
      <c r="K96" s="105">
        <v>5.82</v>
      </c>
      <c r="L96" s="105">
        <v>5.82</v>
      </c>
    </row>
    <row r="97" spans="1:12" x14ac:dyDescent="0.25">
      <c r="A97" s="104">
        <v>87</v>
      </c>
      <c r="B97" s="105">
        <v>5.4</v>
      </c>
      <c r="C97" s="105">
        <v>5.4</v>
      </c>
      <c r="D97" s="105">
        <v>5.4</v>
      </c>
      <c r="E97" s="105">
        <v>5.4</v>
      </c>
      <c r="H97" s="104">
        <v>87</v>
      </c>
      <c r="I97" s="105">
        <v>5.4</v>
      </c>
      <c r="J97" s="105">
        <v>5.4</v>
      </c>
      <c r="K97" s="105">
        <v>5.4</v>
      </c>
      <c r="L97" s="105">
        <v>5.4</v>
      </c>
    </row>
    <row r="98" spans="1:12" x14ac:dyDescent="0.25">
      <c r="A98" s="104">
        <v>88</v>
      </c>
      <c r="B98" s="105">
        <v>5</v>
      </c>
      <c r="C98" s="105">
        <v>5</v>
      </c>
      <c r="D98" s="105">
        <v>5</v>
      </c>
      <c r="E98" s="105">
        <v>5</v>
      </c>
      <c r="H98" s="104">
        <v>88</v>
      </c>
      <c r="I98" s="105">
        <v>5</v>
      </c>
      <c r="J98" s="105">
        <v>5</v>
      </c>
      <c r="K98" s="105">
        <v>5</v>
      </c>
      <c r="L98" s="105">
        <v>5</v>
      </c>
    </row>
    <row r="99" spans="1:12" x14ac:dyDescent="0.25">
      <c r="A99" s="104">
        <v>89</v>
      </c>
      <c r="B99" s="105">
        <v>4.63</v>
      </c>
      <c r="C99" s="105">
        <v>4.63</v>
      </c>
      <c r="D99" s="105">
        <v>4.63</v>
      </c>
      <c r="E99" s="105">
        <v>4.63</v>
      </c>
      <c r="H99" s="104">
        <v>89</v>
      </c>
      <c r="I99" s="105">
        <v>4.63</v>
      </c>
      <c r="J99" s="105">
        <v>4.63</v>
      </c>
      <c r="K99" s="105">
        <v>4.63</v>
      </c>
      <c r="L99" s="105">
        <v>4.63</v>
      </c>
    </row>
    <row r="100" spans="1:12" x14ac:dyDescent="0.25">
      <c r="A100" s="104">
        <v>90</v>
      </c>
      <c r="B100" s="105">
        <v>4.2699999999999996</v>
      </c>
      <c r="C100" s="105">
        <v>4.2699999999999996</v>
      </c>
      <c r="D100" s="105">
        <v>4.2699999999999996</v>
      </c>
      <c r="E100" s="105">
        <v>4.2699999999999996</v>
      </c>
      <c r="H100" s="104">
        <v>90</v>
      </c>
      <c r="I100" s="105">
        <v>4.2699999999999996</v>
      </c>
      <c r="J100" s="105">
        <v>4.2699999999999996</v>
      </c>
      <c r="K100" s="105">
        <v>4.2699999999999996</v>
      </c>
      <c r="L100" s="105">
        <v>4.2699999999999996</v>
      </c>
    </row>
    <row r="101" spans="1:12" x14ac:dyDescent="0.25">
      <c r="A101" s="104">
        <v>91</v>
      </c>
      <c r="B101" s="105">
        <v>3.95</v>
      </c>
      <c r="C101" s="105">
        <v>3.95</v>
      </c>
      <c r="D101" s="105">
        <v>3.95</v>
      </c>
      <c r="E101" s="105">
        <v>3.95</v>
      </c>
      <c r="H101" s="104">
        <v>91</v>
      </c>
      <c r="I101" s="105">
        <v>3.95</v>
      </c>
      <c r="J101" s="105">
        <v>3.95</v>
      </c>
      <c r="K101" s="105">
        <v>3.95</v>
      </c>
      <c r="L101" s="105">
        <v>3.95</v>
      </c>
    </row>
    <row r="102" spans="1:12" x14ac:dyDescent="0.25">
      <c r="A102" s="104">
        <v>92</v>
      </c>
      <c r="B102" s="105">
        <v>3.65</v>
      </c>
      <c r="C102" s="105">
        <v>3.65</v>
      </c>
      <c r="D102" s="105">
        <v>3.65</v>
      </c>
      <c r="E102" s="105">
        <v>3.65</v>
      </c>
      <c r="H102" s="104">
        <v>92</v>
      </c>
      <c r="I102" s="105">
        <v>3.65</v>
      </c>
      <c r="J102" s="105">
        <v>3.65</v>
      </c>
      <c r="K102" s="105">
        <v>3.65</v>
      </c>
      <c r="L102" s="105">
        <v>3.65</v>
      </c>
    </row>
    <row r="103" spans="1:12" x14ac:dyDescent="0.25">
      <c r="A103" s="104">
        <v>93</v>
      </c>
      <c r="B103" s="105">
        <v>3.37</v>
      </c>
      <c r="C103" s="105">
        <v>3.37</v>
      </c>
      <c r="D103" s="105">
        <v>3.37</v>
      </c>
      <c r="E103" s="105">
        <v>3.37</v>
      </c>
      <c r="H103" s="104">
        <v>93</v>
      </c>
      <c r="I103" s="105">
        <v>3.37</v>
      </c>
      <c r="J103" s="105">
        <v>3.37</v>
      </c>
      <c r="K103" s="105">
        <v>3.37</v>
      </c>
      <c r="L103" s="105">
        <v>3.37</v>
      </c>
    </row>
    <row r="104" spans="1:12" x14ac:dyDescent="0.25">
      <c r="A104" s="104">
        <v>94</v>
      </c>
      <c r="B104" s="105">
        <v>3.13</v>
      </c>
      <c r="C104" s="105">
        <v>3.13</v>
      </c>
      <c r="D104" s="105">
        <v>3.13</v>
      </c>
      <c r="E104" s="105">
        <v>3.13</v>
      </c>
      <c r="H104" s="104">
        <v>94</v>
      </c>
      <c r="I104" s="105">
        <v>3.13</v>
      </c>
      <c r="J104" s="105">
        <v>3.13</v>
      </c>
      <c r="K104" s="105">
        <v>3.13</v>
      </c>
      <c r="L104" s="105">
        <v>3.13</v>
      </c>
    </row>
    <row r="105" spans="1:12" x14ac:dyDescent="0.25">
      <c r="A105" s="104">
        <v>95</v>
      </c>
      <c r="B105" s="105">
        <v>2.9</v>
      </c>
      <c r="C105" s="105">
        <v>2.9</v>
      </c>
      <c r="D105" s="105">
        <v>2.9</v>
      </c>
      <c r="E105" s="105">
        <v>2.9</v>
      </c>
      <c r="H105" s="104">
        <v>95</v>
      </c>
      <c r="I105" s="105">
        <v>2.9</v>
      </c>
      <c r="J105" s="105">
        <v>2.9</v>
      </c>
      <c r="K105" s="105">
        <v>2.9</v>
      </c>
      <c r="L105" s="105">
        <v>2.9</v>
      </c>
    </row>
    <row r="106" spans="1:12" x14ac:dyDescent="0.25">
      <c r="A106" s="104">
        <v>96</v>
      </c>
      <c r="B106" s="105">
        <v>2.7</v>
      </c>
      <c r="C106" s="105">
        <v>2.7</v>
      </c>
      <c r="D106" s="105">
        <v>2.7</v>
      </c>
      <c r="E106" s="105">
        <v>2.7</v>
      </c>
      <c r="H106" s="104">
        <v>96</v>
      </c>
      <c r="I106" s="105">
        <v>2.7</v>
      </c>
      <c r="J106" s="105">
        <v>2.7</v>
      </c>
      <c r="K106" s="105">
        <v>2.7</v>
      </c>
      <c r="L106" s="105">
        <v>2.7</v>
      </c>
    </row>
    <row r="107" spans="1:12" x14ac:dyDescent="0.25">
      <c r="A107" s="104">
        <v>97</v>
      </c>
      <c r="B107" s="105">
        <v>2.5299999999999998</v>
      </c>
      <c r="C107" s="105">
        <v>2.5299999999999998</v>
      </c>
      <c r="D107" s="105">
        <v>2.5299999999999998</v>
      </c>
      <c r="E107" s="105">
        <v>2.5299999999999998</v>
      </c>
      <c r="H107" s="104">
        <v>97</v>
      </c>
      <c r="I107" s="105">
        <v>2.5299999999999998</v>
      </c>
      <c r="J107" s="105">
        <v>2.5299999999999998</v>
      </c>
      <c r="K107" s="105">
        <v>2.5299999999999998</v>
      </c>
      <c r="L107" s="105">
        <v>2.5299999999999998</v>
      </c>
    </row>
    <row r="108" spans="1:12" x14ac:dyDescent="0.25">
      <c r="A108" s="104">
        <v>98</v>
      </c>
      <c r="B108" s="105">
        <v>2.37</v>
      </c>
      <c r="C108" s="105">
        <v>2.37</v>
      </c>
      <c r="D108" s="105">
        <v>2.37</v>
      </c>
      <c r="E108" s="105">
        <v>2.37</v>
      </c>
      <c r="H108" s="104">
        <v>98</v>
      </c>
      <c r="I108" s="105">
        <v>2.37</v>
      </c>
      <c r="J108" s="105">
        <v>2.37</v>
      </c>
      <c r="K108" s="105">
        <v>2.37</v>
      </c>
      <c r="L108" s="105">
        <v>2.37</v>
      </c>
    </row>
  </sheetData>
  <sheetProtection algorithmName="SHA-512" hashValue="a/ldhBJmulm7O8VbX4OD3LngPglrSxCLKC+fWCCGIvHpbCIBJMrpbhOM/q46EST5xDzZ+PRX4GkevQ42gHJkyg==" saltValue="c3vXHBTqS9guo0gAl6RL4g==" spinCount="100000" sheet="1" objects="1" scenarios="1"/>
  <conditionalFormatting sqref="A6:A21">
    <cfRule type="expression" dxfId="1175" priority="1" stopIfTrue="1">
      <formula>MOD(ROW(),2)=0</formula>
    </cfRule>
    <cfRule type="expression" dxfId="1174" priority="2" stopIfTrue="1">
      <formula>MOD(ROW(),2)&lt;&gt;0</formula>
    </cfRule>
  </conditionalFormatting>
  <conditionalFormatting sqref="A26:A108">
    <cfRule type="expression" dxfId="1173" priority="11" stopIfTrue="1">
      <formula>MOD(ROW(),2)=0</formula>
    </cfRule>
    <cfRule type="expression" dxfId="1172" priority="12" stopIfTrue="1">
      <formula>MOD(ROW(),2)&lt;&gt;0</formula>
    </cfRule>
  </conditionalFormatting>
  <conditionalFormatting sqref="B18:B21">
    <cfRule type="expression" dxfId="1171" priority="21" stopIfTrue="1">
      <formula>MOD(ROW(),2)=0</formula>
    </cfRule>
    <cfRule type="expression" dxfId="1170" priority="22" stopIfTrue="1">
      <formula>MOD(ROW(),2)&lt;&gt;0</formula>
    </cfRule>
  </conditionalFormatting>
  <conditionalFormatting sqref="B6:E21">
    <cfRule type="expression" dxfId="1169" priority="33" stopIfTrue="1">
      <formula>MOD(ROW(),2)=0</formula>
    </cfRule>
    <cfRule type="expression" dxfId="1168" priority="34" stopIfTrue="1">
      <formula>MOD(ROW(),2)&lt;&gt;0</formula>
    </cfRule>
  </conditionalFormatting>
  <conditionalFormatting sqref="B26:E108">
    <cfRule type="expression" dxfId="1167" priority="13" stopIfTrue="1">
      <formula>MOD(ROW(),2)=0</formula>
    </cfRule>
    <cfRule type="expression" dxfId="1166" priority="14" stopIfTrue="1">
      <formula>MOD(ROW(),2)&lt;&gt;0</formula>
    </cfRule>
  </conditionalFormatting>
  <conditionalFormatting sqref="H6:H21">
    <cfRule type="expression" dxfId="1165" priority="39" stopIfTrue="1">
      <formula>MOD(ROW(),2)=0</formula>
    </cfRule>
    <cfRule type="expression" dxfId="1164" priority="40" stopIfTrue="1">
      <formula>MOD(ROW(),2)&lt;&gt;0</formula>
    </cfRule>
  </conditionalFormatting>
  <conditionalFormatting sqref="H26:H108">
    <cfRule type="expression" dxfId="1163" priority="7" stopIfTrue="1">
      <formula>MOD(ROW(),2)=0</formula>
    </cfRule>
    <cfRule type="expression" dxfId="1162" priority="8" stopIfTrue="1">
      <formula>MOD(ROW(),2)&lt;&gt;0</formula>
    </cfRule>
  </conditionalFormatting>
  <conditionalFormatting sqref="I18:I19">
    <cfRule type="expression" dxfId="1161" priority="5" stopIfTrue="1">
      <formula>MOD(ROW(),2)=0</formula>
    </cfRule>
    <cfRule type="expression" dxfId="1160" priority="6" stopIfTrue="1">
      <formula>MOD(ROW(),2)&lt;&gt;0</formula>
    </cfRule>
  </conditionalFormatting>
  <conditionalFormatting sqref="I19:I21">
    <cfRule type="expression" dxfId="1159" priority="19" stopIfTrue="1">
      <formula>MOD(ROW(),2)=0</formula>
    </cfRule>
    <cfRule type="expression" dxfId="1158" priority="20" stopIfTrue="1">
      <formula>MOD(ROW(),2)&lt;&gt;0</formula>
    </cfRule>
  </conditionalFormatting>
  <conditionalFormatting sqref="I6:L6 J7:L7 I8:L17 J18:L21">
    <cfRule type="expression" dxfId="1157" priority="41" stopIfTrue="1">
      <formula>MOD(ROW(),2)=0</formula>
    </cfRule>
    <cfRule type="expression" dxfId="1156" priority="42" stopIfTrue="1">
      <formula>MOD(ROW(),2)&lt;&gt;0</formula>
    </cfRule>
  </conditionalFormatting>
  <conditionalFormatting sqref="I6:L21">
    <cfRule type="expression" dxfId="1155" priority="25" stopIfTrue="1">
      <formula>MOD(ROW(),2)=0</formula>
    </cfRule>
    <cfRule type="expression" dxfId="1154" priority="26" stopIfTrue="1">
      <formula>MOD(ROW(),2)&lt;&gt;0</formula>
    </cfRule>
  </conditionalFormatting>
  <conditionalFormatting sqref="I26:L108">
    <cfRule type="expression" dxfId="1153" priority="9" stopIfTrue="1">
      <formula>MOD(ROW(),2)=0</formula>
    </cfRule>
    <cfRule type="expression" dxfId="1152" priority="10" stopIfTrue="1">
      <formula>MOD(ROW(),2)&lt;&gt;0</formula>
    </cfRule>
  </conditionalFormatting>
  <hyperlinks>
    <hyperlink ref="B24" location="Sheet1!A1" display="Assumptions" xr:uid="{8D38865B-9D0A-418F-8310-976412764D3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9"/>
  <dimension ref="A1:I108"/>
  <sheetViews>
    <sheetView showGridLines="0" topLeftCell="A54" zoomScale="85" zoomScaleNormal="85" workbookViewId="0">
      <selection activeCell="A4" sqref="A4"/>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Pension Credit - x-306</v>
      </c>
      <c r="B3" s="42"/>
      <c r="C3" s="42"/>
      <c r="D3" s="42"/>
      <c r="E3" s="42"/>
      <c r="F3" s="42"/>
      <c r="G3" s="42"/>
      <c r="H3" s="42"/>
      <c r="I3" s="42"/>
    </row>
    <row r="4" spans="1:9" x14ac:dyDescent="0.25">
      <c r="A4" s="44"/>
    </row>
    <row r="6" spans="1:9" x14ac:dyDescent="0.25">
      <c r="A6" s="87" t="s">
        <v>290</v>
      </c>
      <c r="B6" s="185" t="s">
        <v>291</v>
      </c>
      <c r="C6" s="185"/>
      <c r="D6" s="185"/>
      <c r="E6" s="185"/>
    </row>
    <row r="7" spans="1:9" x14ac:dyDescent="0.25">
      <c r="A7" s="81" t="s">
        <v>804</v>
      </c>
      <c r="B7" s="185" t="s">
        <v>345</v>
      </c>
      <c r="C7" s="185"/>
      <c r="D7" s="185"/>
      <c r="E7" s="185"/>
    </row>
    <row r="8" spans="1:9" x14ac:dyDescent="0.25">
      <c r="A8" s="81" t="s">
        <v>805</v>
      </c>
      <c r="B8" s="185" t="s">
        <v>346</v>
      </c>
      <c r="C8" s="185"/>
      <c r="D8" s="185"/>
      <c r="E8" s="185"/>
    </row>
    <row r="9" spans="1:9" x14ac:dyDescent="0.25">
      <c r="A9" s="81" t="s">
        <v>296</v>
      </c>
      <c r="B9" s="185" t="s">
        <v>402</v>
      </c>
      <c r="C9" s="185"/>
      <c r="D9" s="185"/>
      <c r="E9" s="185"/>
    </row>
    <row r="10" spans="1:9" x14ac:dyDescent="0.25">
      <c r="A10" s="81" t="s">
        <v>6</v>
      </c>
      <c r="B10" s="185" t="s">
        <v>412</v>
      </c>
      <c r="C10" s="185"/>
      <c r="D10" s="185"/>
      <c r="E10" s="185"/>
    </row>
    <row r="11" spans="1:9" x14ac:dyDescent="0.25">
      <c r="A11" s="81" t="s">
        <v>299</v>
      </c>
      <c r="B11" s="185" t="s">
        <v>327</v>
      </c>
      <c r="C11" s="185"/>
      <c r="D11" s="185"/>
      <c r="E11" s="185"/>
    </row>
    <row r="12" spans="1:9" x14ac:dyDescent="0.25">
      <c r="A12" s="81" t="s">
        <v>301</v>
      </c>
      <c r="B12" s="185" t="s">
        <v>405</v>
      </c>
      <c r="C12" s="185"/>
      <c r="D12" s="185"/>
      <c r="E12" s="185"/>
    </row>
    <row r="13" spans="1:9" x14ac:dyDescent="0.25">
      <c r="A13" s="81" t="s">
        <v>806</v>
      </c>
      <c r="B13" s="185">
        <v>1</v>
      </c>
      <c r="C13" s="185"/>
      <c r="D13" s="185"/>
      <c r="E13" s="185"/>
    </row>
    <row r="14" spans="1:9" x14ac:dyDescent="0.25">
      <c r="A14" s="81" t="s">
        <v>305</v>
      </c>
      <c r="B14" s="185">
        <v>306</v>
      </c>
      <c r="C14" s="185"/>
      <c r="D14" s="185"/>
      <c r="E14" s="185"/>
    </row>
    <row r="15" spans="1:9" x14ac:dyDescent="0.25">
      <c r="A15" s="81" t="s">
        <v>307</v>
      </c>
      <c r="B15" s="185" t="s">
        <v>413</v>
      </c>
      <c r="C15" s="185"/>
      <c r="D15" s="185"/>
      <c r="E15" s="185"/>
    </row>
    <row r="16" spans="1:9" x14ac:dyDescent="0.25">
      <c r="A16" s="81" t="s">
        <v>825</v>
      </c>
      <c r="B16" s="185" t="s">
        <v>414</v>
      </c>
      <c r="C16" s="185"/>
      <c r="D16" s="185"/>
      <c r="E16" s="185"/>
    </row>
    <row r="17" spans="1:5" x14ac:dyDescent="0.25">
      <c r="A17" s="81" t="s">
        <v>803</v>
      </c>
      <c r="B17" s="185"/>
      <c r="C17" s="185"/>
      <c r="D17" s="185"/>
      <c r="E17" s="185"/>
    </row>
    <row r="18" spans="1:5" x14ac:dyDescent="0.25">
      <c r="A18" s="81" t="s">
        <v>313</v>
      </c>
      <c r="B18" s="188">
        <v>45071</v>
      </c>
      <c r="C18" s="185"/>
      <c r="D18" s="185"/>
      <c r="E18" s="185"/>
    </row>
    <row r="19" spans="1:5" x14ac:dyDescent="0.25">
      <c r="A19" s="81" t="s">
        <v>315</v>
      </c>
      <c r="B19" s="188"/>
      <c r="C19" s="185"/>
      <c r="D19" s="185"/>
      <c r="E19" s="185"/>
    </row>
    <row r="20" spans="1:5" x14ac:dyDescent="0.25">
      <c r="A20" s="81" t="s">
        <v>317</v>
      </c>
      <c r="B20" s="185" t="s">
        <v>331</v>
      </c>
      <c r="C20" s="185"/>
      <c r="D20" s="185"/>
      <c r="E20" s="185"/>
    </row>
    <row r="21" spans="1:5" x14ac:dyDescent="0.25">
      <c r="A21" s="77" t="s">
        <v>323</v>
      </c>
      <c r="B21" s="185" t="s">
        <v>332</v>
      </c>
      <c r="C21" s="185"/>
      <c r="D21" s="185"/>
      <c r="E21" s="185"/>
    </row>
    <row r="23" spans="1:5" x14ac:dyDescent="0.25">
      <c r="B23" s="102" t="str">
        <f>HYPERLINK("#'Factor List'!A1","Back to Factor List")</f>
        <v>Back to Factor List</v>
      </c>
    </row>
    <row r="24" spans="1:5" x14ac:dyDescent="0.25">
      <c r="B24" s="102" t="s">
        <v>13</v>
      </c>
    </row>
    <row r="25" spans="1:5" x14ac:dyDescent="0.25">
      <c r="B25" s="102"/>
    </row>
    <row r="26" spans="1:5" ht="78.599999999999994" customHeight="1" x14ac:dyDescent="0.25">
      <c r="A26" s="103" t="s">
        <v>373</v>
      </c>
      <c r="B26" s="103" t="s">
        <v>849</v>
      </c>
      <c r="C26" s="103" t="s">
        <v>850</v>
      </c>
      <c r="D26" s="103" t="s">
        <v>851</v>
      </c>
      <c r="E26" s="103" t="s">
        <v>852</v>
      </c>
    </row>
    <row r="27" spans="1:5" x14ac:dyDescent="0.25">
      <c r="A27" s="104">
        <v>17</v>
      </c>
      <c r="B27" s="105">
        <v>11.24</v>
      </c>
      <c r="C27" s="105">
        <v>0.49</v>
      </c>
      <c r="D27" s="105">
        <v>11.24</v>
      </c>
      <c r="E27" s="105">
        <v>0.49</v>
      </c>
    </row>
    <row r="28" spans="1:5" x14ac:dyDescent="0.25">
      <c r="A28" s="104">
        <v>18</v>
      </c>
      <c r="B28" s="105">
        <v>11.41</v>
      </c>
      <c r="C28" s="105">
        <v>0.5</v>
      </c>
      <c r="D28" s="105">
        <v>11.41</v>
      </c>
      <c r="E28" s="105">
        <v>0.5</v>
      </c>
    </row>
    <row r="29" spans="1:5" x14ac:dyDescent="0.25">
      <c r="A29" s="104">
        <v>19</v>
      </c>
      <c r="B29" s="105">
        <v>11.57</v>
      </c>
      <c r="C29" s="105">
        <v>0.51</v>
      </c>
      <c r="D29" s="105">
        <v>11.57</v>
      </c>
      <c r="E29" s="105">
        <v>0.51</v>
      </c>
    </row>
    <row r="30" spans="1:5" x14ac:dyDescent="0.25">
      <c r="A30" s="104">
        <v>20</v>
      </c>
      <c r="B30" s="105">
        <v>11.74</v>
      </c>
      <c r="C30" s="105">
        <v>0.51</v>
      </c>
      <c r="D30" s="105">
        <v>11.74</v>
      </c>
      <c r="E30" s="105">
        <v>0.51</v>
      </c>
    </row>
    <row r="31" spans="1:5" x14ac:dyDescent="0.25">
      <c r="A31" s="104">
        <v>21</v>
      </c>
      <c r="B31" s="105">
        <v>11.92</v>
      </c>
      <c r="C31" s="105">
        <v>0.52</v>
      </c>
      <c r="D31" s="105">
        <v>11.92</v>
      </c>
      <c r="E31" s="105">
        <v>0.52</v>
      </c>
    </row>
    <row r="32" spans="1:5" x14ac:dyDescent="0.25">
      <c r="A32" s="104">
        <v>22</v>
      </c>
      <c r="B32" s="105">
        <v>12.09</v>
      </c>
      <c r="C32" s="105">
        <v>0.53</v>
      </c>
      <c r="D32" s="105">
        <v>12.09</v>
      </c>
      <c r="E32" s="105">
        <v>0.53</v>
      </c>
    </row>
    <row r="33" spans="1:5" x14ac:dyDescent="0.25">
      <c r="A33" s="104">
        <v>23</v>
      </c>
      <c r="B33" s="105">
        <v>12.27</v>
      </c>
      <c r="C33" s="105">
        <v>0.54</v>
      </c>
      <c r="D33" s="105">
        <v>12.27</v>
      </c>
      <c r="E33" s="105">
        <v>0.54</v>
      </c>
    </row>
    <row r="34" spans="1:5" x14ac:dyDescent="0.25">
      <c r="A34" s="104">
        <v>24</v>
      </c>
      <c r="B34" s="105">
        <v>12.45</v>
      </c>
      <c r="C34" s="105">
        <v>0.55000000000000004</v>
      </c>
      <c r="D34" s="105">
        <v>12.45</v>
      </c>
      <c r="E34" s="105">
        <v>0.55000000000000004</v>
      </c>
    </row>
    <row r="35" spans="1:5" x14ac:dyDescent="0.25">
      <c r="A35" s="104">
        <v>25</v>
      </c>
      <c r="B35" s="105">
        <v>12.63</v>
      </c>
      <c r="C35" s="105">
        <v>0.56000000000000005</v>
      </c>
      <c r="D35" s="105">
        <v>12.63</v>
      </c>
      <c r="E35" s="105">
        <v>0.56000000000000005</v>
      </c>
    </row>
    <row r="36" spans="1:5" x14ac:dyDescent="0.25">
      <c r="A36" s="104">
        <v>26</v>
      </c>
      <c r="B36" s="105">
        <v>12.82</v>
      </c>
      <c r="C36" s="105">
        <v>0.56999999999999995</v>
      </c>
      <c r="D36" s="105">
        <v>12.82</v>
      </c>
      <c r="E36" s="105">
        <v>0.56999999999999995</v>
      </c>
    </row>
    <row r="37" spans="1:5" x14ac:dyDescent="0.25">
      <c r="A37" s="104">
        <v>27</v>
      </c>
      <c r="B37" s="105">
        <v>13.01</v>
      </c>
      <c r="C37" s="105">
        <v>0.57999999999999996</v>
      </c>
      <c r="D37" s="105">
        <v>13.01</v>
      </c>
      <c r="E37" s="105">
        <v>0.57999999999999996</v>
      </c>
    </row>
    <row r="38" spans="1:5" x14ac:dyDescent="0.25">
      <c r="A38" s="104">
        <v>28</v>
      </c>
      <c r="B38" s="105">
        <v>13.2</v>
      </c>
      <c r="C38" s="105">
        <v>0.59</v>
      </c>
      <c r="D38" s="105">
        <v>13.2</v>
      </c>
      <c r="E38" s="105">
        <v>0.59</v>
      </c>
    </row>
    <row r="39" spans="1:5" x14ac:dyDescent="0.25">
      <c r="A39" s="104">
        <v>29</v>
      </c>
      <c r="B39" s="105">
        <v>13.39</v>
      </c>
      <c r="C39" s="105">
        <v>0.6</v>
      </c>
      <c r="D39" s="105">
        <v>13.39</v>
      </c>
      <c r="E39" s="105">
        <v>0.6</v>
      </c>
    </row>
    <row r="40" spans="1:5" x14ac:dyDescent="0.25">
      <c r="A40" s="104">
        <v>30</v>
      </c>
      <c r="B40" s="105">
        <v>13.59</v>
      </c>
      <c r="C40" s="105">
        <v>0.61</v>
      </c>
      <c r="D40" s="105">
        <v>13.59</v>
      </c>
      <c r="E40" s="105">
        <v>0.61</v>
      </c>
    </row>
    <row r="41" spans="1:5" x14ac:dyDescent="0.25">
      <c r="A41" s="104">
        <v>31</v>
      </c>
      <c r="B41" s="105">
        <v>13.79</v>
      </c>
      <c r="C41" s="105">
        <v>0.62</v>
      </c>
      <c r="D41" s="105">
        <v>13.79</v>
      </c>
      <c r="E41" s="105">
        <v>0.62</v>
      </c>
    </row>
    <row r="42" spans="1:5" x14ac:dyDescent="0.25">
      <c r="A42" s="104">
        <v>32</v>
      </c>
      <c r="B42" s="105">
        <v>14</v>
      </c>
      <c r="C42" s="105">
        <v>0.63</v>
      </c>
      <c r="D42" s="105">
        <v>14</v>
      </c>
      <c r="E42" s="105">
        <v>0.63</v>
      </c>
    </row>
    <row r="43" spans="1:5" x14ac:dyDescent="0.25">
      <c r="A43" s="104">
        <v>33</v>
      </c>
      <c r="B43" s="105">
        <v>14.2</v>
      </c>
      <c r="C43" s="105">
        <v>0.64</v>
      </c>
      <c r="D43" s="105">
        <v>14.2</v>
      </c>
      <c r="E43" s="105">
        <v>0.64</v>
      </c>
    </row>
    <row r="44" spans="1:5" x14ac:dyDescent="0.25">
      <c r="A44" s="104">
        <v>34</v>
      </c>
      <c r="B44" s="105">
        <v>14.42</v>
      </c>
      <c r="C44" s="105">
        <v>0.65</v>
      </c>
      <c r="D44" s="105">
        <v>14.42</v>
      </c>
      <c r="E44" s="105">
        <v>0.65</v>
      </c>
    </row>
    <row r="45" spans="1:5" x14ac:dyDescent="0.25">
      <c r="A45" s="104">
        <v>35</v>
      </c>
      <c r="B45" s="105">
        <v>14.63</v>
      </c>
      <c r="C45" s="105">
        <v>0.66</v>
      </c>
      <c r="D45" s="105">
        <v>14.63</v>
      </c>
      <c r="E45" s="105">
        <v>0.66</v>
      </c>
    </row>
    <row r="46" spans="1:5" x14ac:dyDescent="0.25">
      <c r="A46" s="104">
        <v>36</v>
      </c>
      <c r="B46" s="105">
        <v>14.85</v>
      </c>
      <c r="C46" s="105">
        <v>0.67</v>
      </c>
      <c r="D46" s="105">
        <v>14.85</v>
      </c>
      <c r="E46" s="105">
        <v>0.67</v>
      </c>
    </row>
    <row r="47" spans="1:5" x14ac:dyDescent="0.25">
      <c r="A47" s="104">
        <v>37</v>
      </c>
      <c r="B47" s="105">
        <v>15.07</v>
      </c>
      <c r="C47" s="105">
        <v>0.68</v>
      </c>
      <c r="D47" s="105">
        <v>15.07</v>
      </c>
      <c r="E47" s="105">
        <v>0.68</v>
      </c>
    </row>
    <row r="48" spans="1:5" x14ac:dyDescent="0.25">
      <c r="A48" s="104">
        <v>38</v>
      </c>
      <c r="B48" s="105">
        <v>15.3</v>
      </c>
      <c r="C48" s="105">
        <v>0.7</v>
      </c>
      <c r="D48" s="105">
        <v>15.3</v>
      </c>
      <c r="E48" s="105">
        <v>0.7</v>
      </c>
    </row>
    <row r="49" spans="1:5" x14ac:dyDescent="0.25">
      <c r="A49" s="104">
        <v>39</v>
      </c>
      <c r="B49" s="105">
        <v>15.53</v>
      </c>
      <c r="C49" s="105">
        <v>0.71</v>
      </c>
      <c r="D49" s="105">
        <v>15.53</v>
      </c>
      <c r="E49" s="105">
        <v>0.71</v>
      </c>
    </row>
    <row r="50" spans="1:5" x14ac:dyDescent="0.25">
      <c r="A50" s="104">
        <v>40</v>
      </c>
      <c r="B50" s="105">
        <v>15.76</v>
      </c>
      <c r="C50" s="105">
        <v>0.72</v>
      </c>
      <c r="D50" s="105">
        <v>15.76</v>
      </c>
      <c r="E50" s="105">
        <v>0.72</v>
      </c>
    </row>
    <row r="51" spans="1:5" x14ac:dyDescent="0.25">
      <c r="A51" s="104">
        <v>41</v>
      </c>
      <c r="B51" s="105">
        <v>16</v>
      </c>
      <c r="C51" s="105">
        <v>0.73</v>
      </c>
      <c r="D51" s="105">
        <v>16</v>
      </c>
      <c r="E51" s="105">
        <v>0.73</v>
      </c>
    </row>
    <row r="52" spans="1:5" x14ac:dyDescent="0.25">
      <c r="A52" s="104">
        <v>42</v>
      </c>
      <c r="B52" s="105">
        <v>16.239999999999998</v>
      </c>
      <c r="C52" s="105">
        <v>0.74</v>
      </c>
      <c r="D52" s="105">
        <v>16.239999999999998</v>
      </c>
      <c r="E52" s="105">
        <v>0.74</v>
      </c>
    </row>
    <row r="53" spans="1:5" x14ac:dyDescent="0.25">
      <c r="A53" s="104">
        <v>43</v>
      </c>
      <c r="B53" s="105">
        <v>16.489999999999998</v>
      </c>
      <c r="C53" s="105">
        <v>0.76</v>
      </c>
      <c r="D53" s="105">
        <v>16.489999999999998</v>
      </c>
      <c r="E53" s="105">
        <v>0.76</v>
      </c>
    </row>
    <row r="54" spans="1:5" x14ac:dyDescent="0.25">
      <c r="A54" s="104">
        <v>44</v>
      </c>
      <c r="B54" s="105">
        <v>16.739999999999998</v>
      </c>
      <c r="C54" s="105">
        <v>0.77</v>
      </c>
      <c r="D54" s="105">
        <v>16.739999999999998</v>
      </c>
      <c r="E54" s="105">
        <v>0.77</v>
      </c>
    </row>
    <row r="55" spans="1:5" x14ac:dyDescent="0.25">
      <c r="A55" s="104">
        <v>45</v>
      </c>
      <c r="B55" s="105">
        <v>17</v>
      </c>
      <c r="C55" s="105">
        <v>0.78</v>
      </c>
      <c r="D55" s="105">
        <v>17</v>
      </c>
      <c r="E55" s="105">
        <v>0.78</v>
      </c>
    </row>
    <row r="56" spans="1:5" x14ac:dyDescent="0.25">
      <c r="A56" s="104">
        <v>46</v>
      </c>
      <c r="B56" s="105">
        <v>17.260000000000002</v>
      </c>
      <c r="C56" s="105">
        <v>0.8</v>
      </c>
      <c r="D56" s="105">
        <v>17.260000000000002</v>
      </c>
      <c r="E56" s="105">
        <v>0.8</v>
      </c>
    </row>
    <row r="57" spans="1:5" x14ac:dyDescent="0.25">
      <c r="A57" s="104">
        <v>47</v>
      </c>
      <c r="B57" s="105">
        <v>17.53</v>
      </c>
      <c r="C57" s="105">
        <v>0.81</v>
      </c>
      <c r="D57" s="105">
        <v>17.53</v>
      </c>
      <c r="E57" s="105">
        <v>0.81</v>
      </c>
    </row>
    <row r="58" spans="1:5" x14ac:dyDescent="0.25">
      <c r="A58" s="104">
        <v>48</v>
      </c>
      <c r="B58" s="105">
        <v>17.809999999999999</v>
      </c>
      <c r="C58" s="105">
        <v>0.82</v>
      </c>
      <c r="D58" s="105">
        <v>17.809999999999999</v>
      </c>
      <c r="E58" s="105">
        <v>0.82</v>
      </c>
    </row>
    <row r="59" spans="1:5" x14ac:dyDescent="0.25">
      <c r="A59" s="104">
        <v>49</v>
      </c>
      <c r="B59" s="105">
        <v>18.09</v>
      </c>
      <c r="C59" s="105">
        <v>0.84</v>
      </c>
      <c r="D59" s="105">
        <v>18.09</v>
      </c>
      <c r="E59" s="105">
        <v>0.84</v>
      </c>
    </row>
    <row r="60" spans="1:5" x14ac:dyDescent="0.25">
      <c r="A60" s="104">
        <v>50</v>
      </c>
      <c r="B60" s="105">
        <v>18.37</v>
      </c>
      <c r="C60" s="105">
        <v>0.85</v>
      </c>
      <c r="D60" s="105">
        <v>18.37</v>
      </c>
      <c r="E60" s="105">
        <v>0.85</v>
      </c>
    </row>
    <row r="61" spans="1:5" x14ac:dyDescent="0.25">
      <c r="A61" s="104">
        <v>51</v>
      </c>
      <c r="B61" s="105">
        <v>18.670000000000002</v>
      </c>
      <c r="C61" s="105">
        <v>0.87</v>
      </c>
      <c r="D61" s="105">
        <v>18.670000000000002</v>
      </c>
      <c r="E61" s="105">
        <v>0.87</v>
      </c>
    </row>
    <row r="62" spans="1:5" x14ac:dyDescent="0.25">
      <c r="A62" s="104">
        <v>52</v>
      </c>
      <c r="B62" s="105">
        <v>18.97</v>
      </c>
      <c r="C62" s="105">
        <v>0.88</v>
      </c>
      <c r="D62" s="105">
        <v>18.97</v>
      </c>
      <c r="E62" s="105">
        <v>0.88</v>
      </c>
    </row>
    <row r="63" spans="1:5" x14ac:dyDescent="0.25">
      <c r="A63" s="104">
        <v>53</v>
      </c>
      <c r="B63" s="105">
        <v>19.28</v>
      </c>
      <c r="C63" s="105">
        <v>0.9</v>
      </c>
      <c r="D63" s="105">
        <v>19.28</v>
      </c>
      <c r="E63" s="105">
        <v>0.9</v>
      </c>
    </row>
    <row r="64" spans="1:5" x14ac:dyDescent="0.25">
      <c r="A64" s="104">
        <v>54</v>
      </c>
      <c r="B64" s="105">
        <v>19.600000000000001</v>
      </c>
      <c r="C64" s="105">
        <v>0.91</v>
      </c>
      <c r="D64" s="105">
        <v>19.600000000000001</v>
      </c>
      <c r="E64" s="105">
        <v>0.91</v>
      </c>
    </row>
    <row r="65" spans="1:5" x14ac:dyDescent="0.25">
      <c r="A65" s="104">
        <v>55</v>
      </c>
      <c r="B65" s="105">
        <v>19.920000000000002</v>
      </c>
      <c r="C65" s="105">
        <v>0.93</v>
      </c>
      <c r="D65" s="105">
        <v>19.920000000000002</v>
      </c>
      <c r="E65" s="105">
        <v>0.93</v>
      </c>
    </row>
    <row r="66" spans="1:5" x14ac:dyDescent="0.25">
      <c r="A66" s="104">
        <v>56</v>
      </c>
      <c r="B66" s="105">
        <v>20.260000000000002</v>
      </c>
      <c r="C66" s="105">
        <v>0.94</v>
      </c>
      <c r="D66" s="105">
        <v>20.260000000000002</v>
      </c>
      <c r="E66" s="105">
        <v>0.94</v>
      </c>
    </row>
    <row r="67" spans="1:5" x14ac:dyDescent="0.25">
      <c r="A67" s="104">
        <v>57</v>
      </c>
      <c r="B67" s="105">
        <v>20.61</v>
      </c>
      <c r="C67" s="105">
        <v>0.96</v>
      </c>
      <c r="D67" s="105">
        <v>20.61</v>
      </c>
      <c r="E67" s="105">
        <v>0.96</v>
      </c>
    </row>
    <row r="68" spans="1:5" x14ac:dyDescent="0.25">
      <c r="A68" s="104">
        <v>58</v>
      </c>
      <c r="B68" s="105">
        <v>20.97</v>
      </c>
      <c r="C68" s="105">
        <v>0.98</v>
      </c>
      <c r="D68" s="105">
        <v>20.97</v>
      </c>
      <c r="E68" s="105">
        <v>0.98</v>
      </c>
    </row>
    <row r="69" spans="1:5" x14ac:dyDescent="0.25">
      <c r="A69" s="104">
        <v>59</v>
      </c>
      <c r="B69" s="105">
        <v>21.34</v>
      </c>
      <c r="C69" s="105">
        <v>0.99</v>
      </c>
      <c r="D69" s="105">
        <v>21.34</v>
      </c>
      <c r="E69" s="105">
        <v>0.99</v>
      </c>
    </row>
    <row r="70" spans="1:5" x14ac:dyDescent="0.25">
      <c r="A70" s="104">
        <v>60</v>
      </c>
      <c r="B70" s="105">
        <v>21.21</v>
      </c>
      <c r="C70" s="105">
        <v>1</v>
      </c>
      <c r="D70" s="105">
        <v>21.21</v>
      </c>
      <c r="E70" s="105">
        <v>1</v>
      </c>
    </row>
    <row r="71" spans="1:5" x14ac:dyDescent="0.25">
      <c r="A71" s="104">
        <v>61</v>
      </c>
      <c r="B71" s="105">
        <v>20.58</v>
      </c>
      <c r="C71" s="105">
        <v>1</v>
      </c>
      <c r="D71" s="105">
        <v>20.58</v>
      </c>
      <c r="E71" s="105">
        <v>1</v>
      </c>
    </row>
    <row r="72" spans="1:5" x14ac:dyDescent="0.25">
      <c r="A72" s="104">
        <v>62</v>
      </c>
      <c r="B72" s="105">
        <v>19.940000000000001</v>
      </c>
      <c r="C72" s="105">
        <v>1</v>
      </c>
      <c r="D72" s="105">
        <v>19.940000000000001</v>
      </c>
      <c r="E72" s="105">
        <v>1</v>
      </c>
    </row>
    <row r="73" spans="1:5" x14ac:dyDescent="0.25">
      <c r="A73" s="104">
        <v>63</v>
      </c>
      <c r="B73" s="105">
        <v>19.309999999999999</v>
      </c>
      <c r="C73" s="105">
        <v>1</v>
      </c>
      <c r="D73" s="105">
        <v>19.309999999999999</v>
      </c>
      <c r="E73" s="105">
        <v>1</v>
      </c>
    </row>
    <row r="74" spans="1:5" x14ac:dyDescent="0.25">
      <c r="A74" s="104">
        <v>64</v>
      </c>
      <c r="B74" s="105">
        <v>18.670000000000002</v>
      </c>
      <c r="C74" s="105">
        <v>1</v>
      </c>
      <c r="D74" s="105">
        <v>18.670000000000002</v>
      </c>
      <c r="E74" s="105">
        <v>1</v>
      </c>
    </row>
    <row r="75" spans="1:5" x14ac:dyDescent="0.25">
      <c r="A75" s="104">
        <v>65</v>
      </c>
      <c r="B75" s="105">
        <v>18.04</v>
      </c>
      <c r="C75" s="105">
        <v>1</v>
      </c>
      <c r="D75" s="105">
        <v>18.04</v>
      </c>
      <c r="E75" s="105">
        <v>1</v>
      </c>
    </row>
    <row r="76" spans="1:5" x14ac:dyDescent="0.25">
      <c r="A76" s="104">
        <v>66</v>
      </c>
      <c r="B76" s="105">
        <v>17.399999999999999</v>
      </c>
      <c r="C76" s="105">
        <v>1</v>
      </c>
      <c r="D76" s="105">
        <v>17.399999999999999</v>
      </c>
      <c r="E76" s="105">
        <v>1</v>
      </c>
    </row>
    <row r="77" spans="1:5" x14ac:dyDescent="0.25">
      <c r="A77" s="104">
        <v>67</v>
      </c>
      <c r="B77" s="105">
        <v>16.760000000000002</v>
      </c>
      <c r="C77" s="105">
        <v>1</v>
      </c>
      <c r="D77" s="105">
        <v>16.760000000000002</v>
      </c>
      <c r="E77" s="105">
        <v>1</v>
      </c>
    </row>
    <row r="78" spans="1:5" x14ac:dyDescent="0.25">
      <c r="A78" s="104">
        <v>68</v>
      </c>
      <c r="B78" s="105">
        <v>16.12</v>
      </c>
      <c r="C78" s="105">
        <v>1</v>
      </c>
      <c r="D78" s="105">
        <v>16.12</v>
      </c>
      <c r="E78" s="105">
        <v>1</v>
      </c>
    </row>
    <row r="79" spans="1:5" x14ac:dyDescent="0.25">
      <c r="A79" s="104">
        <v>69</v>
      </c>
      <c r="B79" s="105">
        <v>15.48</v>
      </c>
      <c r="C79" s="105">
        <v>1</v>
      </c>
      <c r="D79" s="105">
        <v>15.48</v>
      </c>
      <c r="E79" s="105">
        <v>1</v>
      </c>
    </row>
    <row r="80" spans="1:5" x14ac:dyDescent="0.25">
      <c r="A80" s="104">
        <v>70</v>
      </c>
      <c r="B80" s="105">
        <v>14.84</v>
      </c>
      <c r="C80" s="105">
        <v>1</v>
      </c>
      <c r="D80" s="105">
        <v>14.84</v>
      </c>
      <c r="E80" s="105">
        <v>1</v>
      </c>
    </row>
    <row r="81" spans="1:5" x14ac:dyDescent="0.25">
      <c r="A81" s="104">
        <v>71</v>
      </c>
      <c r="B81" s="105">
        <v>14.2</v>
      </c>
      <c r="C81" s="105">
        <v>1</v>
      </c>
      <c r="D81" s="105">
        <v>14.2</v>
      </c>
      <c r="E81" s="105">
        <v>1</v>
      </c>
    </row>
    <row r="82" spans="1:5" x14ac:dyDescent="0.25">
      <c r="A82" s="104">
        <v>72</v>
      </c>
      <c r="B82" s="105">
        <v>13.57</v>
      </c>
      <c r="C82" s="105">
        <v>1</v>
      </c>
      <c r="D82" s="105">
        <v>13.57</v>
      </c>
      <c r="E82" s="105">
        <v>1</v>
      </c>
    </row>
    <row r="83" spans="1:5" x14ac:dyDescent="0.25">
      <c r="A83" s="104">
        <v>73</v>
      </c>
      <c r="B83" s="105">
        <v>12.94</v>
      </c>
      <c r="C83" s="105">
        <v>1</v>
      </c>
      <c r="D83" s="105">
        <v>12.94</v>
      </c>
      <c r="E83" s="105">
        <v>1</v>
      </c>
    </row>
    <row r="84" spans="1:5" x14ac:dyDescent="0.25">
      <c r="A84" s="104">
        <v>74</v>
      </c>
      <c r="B84" s="105">
        <v>12.31</v>
      </c>
      <c r="C84" s="105">
        <v>1</v>
      </c>
      <c r="D84" s="105">
        <v>12.31</v>
      </c>
      <c r="E84" s="105">
        <v>1</v>
      </c>
    </row>
    <row r="85" spans="1:5" x14ac:dyDescent="0.25">
      <c r="A85" s="104">
        <v>75</v>
      </c>
      <c r="B85" s="105">
        <v>11.69</v>
      </c>
      <c r="C85" s="105">
        <v>1</v>
      </c>
      <c r="D85" s="105">
        <v>11.69</v>
      </c>
      <c r="E85" s="105">
        <v>1</v>
      </c>
    </row>
    <row r="86" spans="1:5" x14ac:dyDescent="0.25">
      <c r="A86" s="104">
        <v>76</v>
      </c>
      <c r="B86" s="105">
        <v>11.09</v>
      </c>
      <c r="C86" s="105">
        <v>1</v>
      </c>
      <c r="D86" s="105">
        <v>11.09</v>
      </c>
      <c r="E86" s="105">
        <v>1</v>
      </c>
    </row>
    <row r="87" spans="1:5" x14ac:dyDescent="0.25">
      <c r="A87" s="104">
        <v>77</v>
      </c>
      <c r="B87" s="105">
        <v>10.49</v>
      </c>
      <c r="C87" s="105">
        <v>1</v>
      </c>
      <c r="D87" s="105">
        <v>10.49</v>
      </c>
      <c r="E87" s="105">
        <v>1</v>
      </c>
    </row>
    <row r="88" spans="1:5" x14ac:dyDescent="0.25">
      <c r="A88" s="104">
        <v>78</v>
      </c>
      <c r="B88" s="105">
        <v>9.9</v>
      </c>
      <c r="C88" s="105">
        <v>1</v>
      </c>
      <c r="D88" s="105">
        <v>9.9</v>
      </c>
      <c r="E88" s="105">
        <v>1</v>
      </c>
    </row>
    <row r="89" spans="1:5" x14ac:dyDescent="0.25">
      <c r="A89" s="104">
        <v>79</v>
      </c>
      <c r="B89" s="105">
        <v>9.33</v>
      </c>
      <c r="C89" s="105">
        <v>1</v>
      </c>
      <c r="D89" s="105">
        <v>9.33</v>
      </c>
      <c r="E89" s="105">
        <v>1</v>
      </c>
    </row>
    <row r="90" spans="1:5" x14ac:dyDescent="0.25">
      <c r="A90" s="104">
        <v>80</v>
      </c>
      <c r="B90" s="105">
        <v>8.77</v>
      </c>
      <c r="C90" s="105">
        <v>1</v>
      </c>
      <c r="D90" s="105">
        <v>8.77</v>
      </c>
      <c r="E90" s="105">
        <v>1</v>
      </c>
    </row>
    <row r="91" spans="1:5" x14ac:dyDescent="0.25">
      <c r="A91" s="104">
        <v>81</v>
      </c>
      <c r="B91" s="105">
        <v>8.23</v>
      </c>
      <c r="C91" s="105">
        <v>1</v>
      </c>
      <c r="D91" s="105">
        <v>8.23</v>
      </c>
      <c r="E91" s="105">
        <v>1</v>
      </c>
    </row>
    <row r="92" spans="1:5" x14ac:dyDescent="0.25">
      <c r="A92" s="104">
        <v>82</v>
      </c>
      <c r="B92" s="105">
        <v>7.71</v>
      </c>
      <c r="C92" s="105">
        <v>1</v>
      </c>
      <c r="D92" s="105">
        <v>7.71</v>
      </c>
      <c r="E92" s="105">
        <v>1</v>
      </c>
    </row>
    <row r="93" spans="1:5" x14ac:dyDescent="0.25">
      <c r="A93" s="104">
        <v>83</v>
      </c>
      <c r="B93" s="105">
        <v>7.2</v>
      </c>
      <c r="C93" s="105">
        <v>1</v>
      </c>
      <c r="D93" s="105">
        <v>7.2</v>
      </c>
      <c r="E93" s="105">
        <v>1</v>
      </c>
    </row>
    <row r="94" spans="1:5" x14ac:dyDescent="0.25">
      <c r="A94" s="104">
        <v>84</v>
      </c>
      <c r="B94" s="105">
        <v>6.72</v>
      </c>
      <c r="C94" s="105">
        <v>1</v>
      </c>
      <c r="D94" s="105">
        <v>6.72</v>
      </c>
      <c r="E94" s="105">
        <v>1</v>
      </c>
    </row>
    <row r="95" spans="1:5" x14ac:dyDescent="0.25">
      <c r="A95" s="104">
        <v>85</v>
      </c>
      <c r="B95" s="105">
        <v>6.26</v>
      </c>
      <c r="C95" s="105">
        <v>1</v>
      </c>
      <c r="D95" s="105">
        <v>6.26</v>
      </c>
      <c r="E95" s="105">
        <v>1</v>
      </c>
    </row>
    <row r="96" spans="1:5" x14ac:dyDescent="0.25">
      <c r="A96" s="104">
        <v>86</v>
      </c>
      <c r="B96" s="105">
        <v>5.82</v>
      </c>
      <c r="C96" s="105">
        <v>1</v>
      </c>
      <c r="D96" s="105">
        <v>5.82</v>
      </c>
      <c r="E96" s="105">
        <v>1</v>
      </c>
    </row>
    <row r="97" spans="1:5" x14ac:dyDescent="0.25">
      <c r="A97" s="104">
        <v>87</v>
      </c>
      <c r="B97" s="105">
        <v>5.4</v>
      </c>
      <c r="C97" s="105">
        <v>1</v>
      </c>
      <c r="D97" s="105">
        <v>5.4</v>
      </c>
      <c r="E97" s="105">
        <v>1</v>
      </c>
    </row>
    <row r="98" spans="1:5" x14ac:dyDescent="0.25">
      <c r="A98" s="104">
        <v>88</v>
      </c>
      <c r="B98" s="105">
        <v>5</v>
      </c>
      <c r="C98" s="105">
        <v>1</v>
      </c>
      <c r="D98" s="105">
        <v>5</v>
      </c>
      <c r="E98" s="105">
        <v>1</v>
      </c>
    </row>
    <row r="99" spans="1:5" x14ac:dyDescent="0.25">
      <c r="A99" s="104">
        <v>89</v>
      </c>
      <c r="B99" s="105">
        <v>4.63</v>
      </c>
      <c r="C99" s="105">
        <v>1</v>
      </c>
      <c r="D99" s="105">
        <v>4.63</v>
      </c>
      <c r="E99" s="105">
        <v>1</v>
      </c>
    </row>
    <row r="100" spans="1:5" x14ac:dyDescent="0.25">
      <c r="A100" s="104">
        <v>90</v>
      </c>
      <c r="B100" s="105">
        <v>4.2699999999999996</v>
      </c>
      <c r="C100" s="105">
        <v>1</v>
      </c>
      <c r="D100" s="105">
        <v>4.2699999999999996</v>
      </c>
      <c r="E100" s="105">
        <v>1</v>
      </c>
    </row>
    <row r="101" spans="1:5" x14ac:dyDescent="0.25">
      <c r="A101" s="104">
        <v>91</v>
      </c>
      <c r="B101" s="105">
        <v>3.95</v>
      </c>
      <c r="C101" s="105">
        <v>1</v>
      </c>
      <c r="D101" s="105">
        <v>3.95</v>
      </c>
      <c r="E101" s="105">
        <v>1</v>
      </c>
    </row>
    <row r="102" spans="1:5" x14ac:dyDescent="0.25">
      <c r="A102" s="104">
        <v>92</v>
      </c>
      <c r="B102" s="105">
        <v>3.65</v>
      </c>
      <c r="C102" s="105">
        <v>1</v>
      </c>
      <c r="D102" s="105">
        <v>3.65</v>
      </c>
      <c r="E102" s="105">
        <v>1</v>
      </c>
    </row>
    <row r="103" spans="1:5" x14ac:dyDescent="0.25">
      <c r="A103" s="104">
        <v>93</v>
      </c>
      <c r="B103" s="105">
        <v>3.37</v>
      </c>
      <c r="C103" s="105">
        <v>1</v>
      </c>
      <c r="D103" s="105">
        <v>3.37</v>
      </c>
      <c r="E103" s="105">
        <v>1</v>
      </c>
    </row>
    <row r="104" spans="1:5" x14ac:dyDescent="0.25">
      <c r="A104" s="104">
        <v>94</v>
      </c>
      <c r="B104" s="105">
        <v>3.13</v>
      </c>
      <c r="C104" s="105">
        <v>1</v>
      </c>
      <c r="D104" s="105">
        <v>3.13</v>
      </c>
      <c r="E104" s="105">
        <v>1</v>
      </c>
    </row>
    <row r="105" spans="1:5" x14ac:dyDescent="0.25">
      <c r="A105" s="104">
        <v>95</v>
      </c>
      <c r="B105" s="105">
        <v>2.9</v>
      </c>
      <c r="C105" s="105">
        <v>1</v>
      </c>
      <c r="D105" s="105">
        <v>2.9</v>
      </c>
      <c r="E105" s="105">
        <v>1</v>
      </c>
    </row>
    <row r="106" spans="1:5" x14ac:dyDescent="0.25">
      <c r="A106" s="104">
        <v>96</v>
      </c>
      <c r="B106" s="105">
        <v>2.7</v>
      </c>
      <c r="C106" s="105">
        <v>1</v>
      </c>
      <c r="D106" s="105">
        <v>2.7</v>
      </c>
      <c r="E106" s="105">
        <v>1</v>
      </c>
    </row>
    <row r="107" spans="1:5" x14ac:dyDescent="0.25">
      <c r="A107" s="104">
        <v>97</v>
      </c>
      <c r="B107" s="105">
        <v>2.5299999999999998</v>
      </c>
      <c r="C107" s="105">
        <v>1</v>
      </c>
      <c r="D107" s="105">
        <v>2.5299999999999998</v>
      </c>
      <c r="E107" s="105">
        <v>1</v>
      </c>
    </row>
    <row r="108" spans="1:5" x14ac:dyDescent="0.25">
      <c r="A108" s="104">
        <v>98</v>
      </c>
      <c r="B108" s="105">
        <v>2.37</v>
      </c>
      <c r="C108" s="105">
        <v>1</v>
      </c>
      <c r="D108" s="105">
        <v>2.37</v>
      </c>
      <c r="E108" s="105">
        <v>1</v>
      </c>
    </row>
  </sheetData>
  <sheetProtection algorithmName="SHA-512" hashValue="/XzhTd14gfs+OP4ygWSNsSZjF9hh2FAGd8dZQY4RzMDCOfsX78OPjHUSlqdtgmaRcb+GmNUzsep6zqm6r/CR7g==" saltValue="e6pG3EKZSoA8qJKmwZCmDg==" spinCount="100000" sheet="1" objects="1" scenarios="1"/>
  <conditionalFormatting sqref="A6:A21">
    <cfRule type="expression" dxfId="1151" priority="1" stopIfTrue="1">
      <formula>MOD(ROW(),2)=0</formula>
    </cfRule>
    <cfRule type="expression" dxfId="1150" priority="2" stopIfTrue="1">
      <formula>MOD(ROW(),2)&lt;&gt;0</formula>
    </cfRule>
  </conditionalFormatting>
  <conditionalFormatting sqref="A26:A108">
    <cfRule type="expression" dxfId="1149" priority="5" stopIfTrue="1">
      <formula>MOD(ROW(),2)=0</formula>
    </cfRule>
    <cfRule type="expression" dxfId="1148" priority="6" stopIfTrue="1">
      <formula>MOD(ROW(),2)&lt;&gt;0</formula>
    </cfRule>
  </conditionalFormatting>
  <conditionalFormatting sqref="B18:B21">
    <cfRule type="expression" dxfId="1147" priority="9" stopIfTrue="1">
      <formula>MOD(ROW(),2)=0</formula>
    </cfRule>
    <cfRule type="expression" dxfId="1146" priority="10" stopIfTrue="1">
      <formula>MOD(ROW(),2)&lt;&gt;0</formula>
    </cfRule>
  </conditionalFormatting>
  <conditionalFormatting sqref="B6:E21">
    <cfRule type="expression" dxfId="1145" priority="23" stopIfTrue="1">
      <formula>MOD(ROW(),2)=0</formula>
    </cfRule>
    <cfRule type="expression" dxfId="1144" priority="24" stopIfTrue="1">
      <formula>MOD(ROW(),2)&lt;&gt;0</formula>
    </cfRule>
  </conditionalFormatting>
  <conditionalFormatting sqref="B26:E108">
    <cfRule type="expression" dxfId="1143" priority="7" stopIfTrue="1">
      <formula>MOD(ROW(),2)=0</formula>
    </cfRule>
    <cfRule type="expression" dxfId="1142" priority="8" stopIfTrue="1">
      <formula>MOD(ROW(),2)&lt;&gt;0</formula>
    </cfRule>
  </conditionalFormatting>
  <hyperlinks>
    <hyperlink ref="B24" location="Sheet1!A1" display="Assumptions" xr:uid="{ED1DDAAF-B0C1-4BDD-BAE0-8977A49C301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70"/>
  <dimension ref="A1:I108"/>
  <sheetViews>
    <sheetView showGridLines="0" zoomScale="85" zoomScaleNormal="85" workbookViewId="0">
      <selection activeCell="A4" sqref="A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Pension Credit - x-307</v>
      </c>
      <c r="B3" s="42"/>
      <c r="C3" s="42"/>
      <c r="D3" s="42"/>
      <c r="E3" s="42"/>
      <c r="F3" s="42"/>
      <c r="G3" s="42"/>
      <c r="H3" s="42"/>
      <c r="I3" s="42"/>
    </row>
    <row r="4" spans="1:9" x14ac:dyDescent="0.25">
      <c r="A4" s="44"/>
    </row>
    <row r="6" spans="1:9" x14ac:dyDescent="0.25">
      <c r="A6" s="87" t="s">
        <v>290</v>
      </c>
      <c r="B6" s="185" t="s">
        <v>291</v>
      </c>
      <c r="C6" s="185"/>
    </row>
    <row r="7" spans="1:9" x14ac:dyDescent="0.25">
      <c r="A7" s="81" t="s">
        <v>804</v>
      </c>
      <c r="B7" s="185" t="s">
        <v>345</v>
      </c>
      <c r="C7" s="185"/>
    </row>
    <row r="8" spans="1:9" x14ac:dyDescent="0.25">
      <c r="A8" s="81" t="s">
        <v>805</v>
      </c>
      <c r="B8" s="185" t="s">
        <v>89</v>
      </c>
      <c r="C8" s="185"/>
    </row>
    <row r="9" spans="1:9" x14ac:dyDescent="0.25">
      <c r="A9" s="81" t="s">
        <v>296</v>
      </c>
      <c r="B9" s="185" t="s">
        <v>402</v>
      </c>
      <c r="C9" s="185"/>
    </row>
    <row r="10" spans="1:9" x14ac:dyDescent="0.25">
      <c r="A10" s="81" t="s">
        <v>6</v>
      </c>
      <c r="B10" s="185" t="s">
        <v>415</v>
      </c>
      <c r="C10" s="185"/>
    </row>
    <row r="11" spans="1:9" x14ac:dyDescent="0.25">
      <c r="A11" s="81" t="s">
        <v>299</v>
      </c>
      <c r="B11" s="185" t="s">
        <v>327</v>
      </c>
      <c r="C11" s="185"/>
    </row>
    <row r="12" spans="1:9" x14ac:dyDescent="0.25">
      <c r="A12" s="81" t="s">
        <v>301</v>
      </c>
      <c r="B12" s="185" t="s">
        <v>405</v>
      </c>
      <c r="C12" s="185"/>
    </row>
    <row r="13" spans="1:9" x14ac:dyDescent="0.25">
      <c r="A13" s="81" t="s">
        <v>806</v>
      </c>
      <c r="B13" s="185">
        <v>1</v>
      </c>
      <c r="C13" s="185"/>
    </row>
    <row r="14" spans="1:9" x14ac:dyDescent="0.25">
      <c r="A14" s="81" t="s">
        <v>305</v>
      </c>
      <c r="B14" s="185">
        <v>307</v>
      </c>
      <c r="C14" s="185"/>
    </row>
    <row r="15" spans="1:9" x14ac:dyDescent="0.25">
      <c r="A15" s="81" t="s">
        <v>307</v>
      </c>
      <c r="B15" s="185" t="s">
        <v>416</v>
      </c>
      <c r="C15" s="185"/>
    </row>
    <row r="16" spans="1:9" x14ac:dyDescent="0.25">
      <c r="A16" s="81" t="s">
        <v>825</v>
      </c>
      <c r="B16" s="185" t="s">
        <v>417</v>
      </c>
      <c r="C16" s="185"/>
    </row>
    <row r="17" spans="1:3" x14ac:dyDescent="0.25">
      <c r="A17" s="81" t="s">
        <v>803</v>
      </c>
      <c r="B17" s="185"/>
      <c r="C17" s="185"/>
    </row>
    <row r="18" spans="1:3" x14ac:dyDescent="0.25">
      <c r="A18" s="81" t="s">
        <v>313</v>
      </c>
      <c r="B18" s="188">
        <v>45071</v>
      </c>
      <c r="C18" s="185"/>
    </row>
    <row r="19" spans="1:3" x14ac:dyDescent="0.25">
      <c r="A19" s="81" t="s">
        <v>315</v>
      </c>
      <c r="B19" s="188"/>
      <c r="C19" s="185"/>
    </row>
    <row r="20" spans="1:3" x14ac:dyDescent="0.25">
      <c r="A20" s="81" t="s">
        <v>317</v>
      </c>
      <c r="B20" s="185" t="s">
        <v>331</v>
      </c>
      <c r="C20" s="185"/>
    </row>
    <row r="21" spans="1:3" x14ac:dyDescent="0.25">
      <c r="A21" s="77" t="s">
        <v>323</v>
      </c>
      <c r="B21" s="185" t="s">
        <v>332</v>
      </c>
      <c r="C21" s="185"/>
    </row>
    <row r="23" spans="1:3" x14ac:dyDescent="0.25">
      <c r="B23" s="102" t="str">
        <f>HYPERLINK("#'Factor List'!A1","Back to Factor List")</f>
        <v>Back to Factor List</v>
      </c>
    </row>
    <row r="24" spans="1:3" x14ac:dyDescent="0.25">
      <c r="B24" s="102" t="s">
        <v>13</v>
      </c>
    </row>
    <row r="25" spans="1:3" x14ac:dyDescent="0.25">
      <c r="B25" s="102"/>
    </row>
    <row r="26" spans="1:3" ht="54.6" customHeight="1" x14ac:dyDescent="0.25">
      <c r="A26" s="103" t="s">
        <v>373</v>
      </c>
      <c r="B26" s="103" t="s">
        <v>853</v>
      </c>
      <c r="C26" s="103" t="s">
        <v>854</v>
      </c>
    </row>
    <row r="27" spans="1:3" x14ac:dyDescent="0.25">
      <c r="A27" s="104">
        <v>17</v>
      </c>
      <c r="B27" s="105">
        <v>4.8499999999999996</v>
      </c>
      <c r="C27" s="105">
        <v>4.8499999999999996</v>
      </c>
    </row>
    <row r="28" spans="1:3" x14ac:dyDescent="0.25">
      <c r="A28" s="104">
        <v>18</v>
      </c>
      <c r="B28" s="105">
        <v>5.0199999999999996</v>
      </c>
      <c r="C28" s="105">
        <v>5.0199999999999996</v>
      </c>
    </row>
    <row r="29" spans="1:3" x14ac:dyDescent="0.25">
      <c r="A29" s="104">
        <v>19</v>
      </c>
      <c r="B29" s="105">
        <v>5.19</v>
      </c>
      <c r="C29" s="105">
        <v>5.19</v>
      </c>
    </row>
    <row r="30" spans="1:3" x14ac:dyDescent="0.25">
      <c r="A30" s="104">
        <v>20</v>
      </c>
      <c r="B30" s="105">
        <v>5.37</v>
      </c>
      <c r="C30" s="105">
        <v>5.37</v>
      </c>
    </row>
    <row r="31" spans="1:3" x14ac:dyDescent="0.25">
      <c r="A31" s="104">
        <v>21</v>
      </c>
      <c r="B31" s="105">
        <v>5.56</v>
      </c>
      <c r="C31" s="105">
        <v>5.56</v>
      </c>
    </row>
    <row r="32" spans="1:3" x14ac:dyDescent="0.25">
      <c r="A32" s="104">
        <v>22</v>
      </c>
      <c r="B32" s="105">
        <v>5.75</v>
      </c>
      <c r="C32" s="105">
        <v>5.75</v>
      </c>
    </row>
    <row r="33" spans="1:3" x14ac:dyDescent="0.25">
      <c r="A33" s="104">
        <v>23</v>
      </c>
      <c r="B33" s="105">
        <v>5.96</v>
      </c>
      <c r="C33" s="105">
        <v>5.96</v>
      </c>
    </row>
    <row r="34" spans="1:3" x14ac:dyDescent="0.25">
      <c r="A34" s="104">
        <v>24</v>
      </c>
      <c r="B34" s="105">
        <v>6.16</v>
      </c>
      <c r="C34" s="105">
        <v>6.16</v>
      </c>
    </row>
    <row r="35" spans="1:3" x14ac:dyDescent="0.25">
      <c r="A35" s="104">
        <v>25</v>
      </c>
      <c r="B35" s="105">
        <v>6.38</v>
      </c>
      <c r="C35" s="105">
        <v>6.38</v>
      </c>
    </row>
    <row r="36" spans="1:3" x14ac:dyDescent="0.25">
      <c r="A36" s="104">
        <v>26</v>
      </c>
      <c r="B36" s="105">
        <v>6.6</v>
      </c>
      <c r="C36" s="105">
        <v>6.6</v>
      </c>
    </row>
    <row r="37" spans="1:3" x14ac:dyDescent="0.25">
      <c r="A37" s="104">
        <v>27</v>
      </c>
      <c r="B37" s="105">
        <v>6.83</v>
      </c>
      <c r="C37" s="105">
        <v>6.83</v>
      </c>
    </row>
    <row r="38" spans="1:3" x14ac:dyDescent="0.25">
      <c r="A38" s="104">
        <v>28</v>
      </c>
      <c r="B38" s="105">
        <v>7.07</v>
      </c>
      <c r="C38" s="105">
        <v>7.07</v>
      </c>
    </row>
    <row r="39" spans="1:3" x14ac:dyDescent="0.25">
      <c r="A39" s="104">
        <v>29</v>
      </c>
      <c r="B39" s="105">
        <v>7.32</v>
      </c>
      <c r="C39" s="105">
        <v>7.32</v>
      </c>
    </row>
    <row r="40" spans="1:3" x14ac:dyDescent="0.25">
      <c r="A40" s="104">
        <v>30</v>
      </c>
      <c r="B40" s="105">
        <v>7.58</v>
      </c>
      <c r="C40" s="105">
        <v>7.58</v>
      </c>
    </row>
    <row r="41" spans="1:3" x14ac:dyDescent="0.25">
      <c r="A41" s="104">
        <v>31</v>
      </c>
      <c r="B41" s="105">
        <v>7.84</v>
      </c>
      <c r="C41" s="105">
        <v>7.84</v>
      </c>
    </row>
    <row r="42" spans="1:3" x14ac:dyDescent="0.25">
      <c r="A42" s="104">
        <v>32</v>
      </c>
      <c r="B42" s="105">
        <v>8.1199999999999992</v>
      </c>
      <c r="C42" s="105">
        <v>8.1199999999999992</v>
      </c>
    </row>
    <row r="43" spans="1:3" x14ac:dyDescent="0.25">
      <c r="A43" s="104">
        <v>33</v>
      </c>
      <c r="B43" s="105">
        <v>8.41</v>
      </c>
      <c r="C43" s="105">
        <v>8.41</v>
      </c>
    </row>
    <row r="44" spans="1:3" x14ac:dyDescent="0.25">
      <c r="A44" s="104">
        <v>34</v>
      </c>
      <c r="B44" s="105">
        <v>8.6999999999999993</v>
      </c>
      <c r="C44" s="105">
        <v>8.6999999999999993</v>
      </c>
    </row>
    <row r="45" spans="1:3" x14ac:dyDescent="0.25">
      <c r="A45" s="104">
        <v>35</v>
      </c>
      <c r="B45" s="105">
        <v>9.01</v>
      </c>
      <c r="C45" s="105">
        <v>9.01</v>
      </c>
    </row>
    <row r="46" spans="1:3" x14ac:dyDescent="0.25">
      <c r="A46" s="104">
        <v>36</v>
      </c>
      <c r="B46" s="105">
        <v>9.32</v>
      </c>
      <c r="C46" s="105">
        <v>9.32</v>
      </c>
    </row>
    <row r="47" spans="1:3" x14ac:dyDescent="0.25">
      <c r="A47" s="104">
        <v>37</v>
      </c>
      <c r="B47" s="105">
        <v>9.65</v>
      </c>
      <c r="C47" s="105">
        <v>9.65</v>
      </c>
    </row>
    <row r="48" spans="1:3" x14ac:dyDescent="0.25">
      <c r="A48" s="104">
        <v>38</v>
      </c>
      <c r="B48" s="105">
        <v>9.99</v>
      </c>
      <c r="C48" s="105">
        <v>9.99</v>
      </c>
    </row>
    <row r="49" spans="1:3" x14ac:dyDescent="0.25">
      <c r="A49" s="104">
        <v>39</v>
      </c>
      <c r="B49" s="105">
        <v>10.35</v>
      </c>
      <c r="C49" s="105">
        <v>10.35</v>
      </c>
    </row>
    <row r="50" spans="1:3" x14ac:dyDescent="0.25">
      <c r="A50" s="104">
        <v>40</v>
      </c>
      <c r="B50" s="105">
        <v>10.71</v>
      </c>
      <c r="C50" s="105">
        <v>10.71</v>
      </c>
    </row>
    <row r="51" spans="1:3" x14ac:dyDescent="0.25">
      <c r="A51" s="104">
        <v>41</v>
      </c>
      <c r="B51" s="105">
        <v>11.09</v>
      </c>
      <c r="C51" s="105">
        <v>11.09</v>
      </c>
    </row>
    <row r="52" spans="1:3" x14ac:dyDescent="0.25">
      <c r="A52" s="104">
        <v>42</v>
      </c>
      <c r="B52" s="105">
        <v>11.49</v>
      </c>
      <c r="C52" s="105">
        <v>11.49</v>
      </c>
    </row>
    <row r="53" spans="1:3" x14ac:dyDescent="0.25">
      <c r="A53" s="104">
        <v>43</v>
      </c>
      <c r="B53" s="105">
        <v>11.89</v>
      </c>
      <c r="C53" s="105">
        <v>11.89</v>
      </c>
    </row>
    <row r="54" spans="1:3" x14ac:dyDescent="0.25">
      <c r="A54" s="104">
        <v>44</v>
      </c>
      <c r="B54" s="105">
        <v>12.32</v>
      </c>
      <c r="C54" s="105">
        <v>12.32</v>
      </c>
    </row>
    <row r="55" spans="1:3" x14ac:dyDescent="0.25">
      <c r="A55" s="104">
        <v>45</v>
      </c>
      <c r="B55" s="105">
        <v>12.76</v>
      </c>
      <c r="C55" s="105">
        <v>12.76</v>
      </c>
    </row>
    <row r="56" spans="1:3" x14ac:dyDescent="0.25">
      <c r="A56" s="104">
        <v>46</v>
      </c>
      <c r="B56" s="105">
        <v>13.21</v>
      </c>
      <c r="C56" s="105">
        <v>13.21</v>
      </c>
    </row>
    <row r="57" spans="1:3" x14ac:dyDescent="0.25">
      <c r="A57" s="104">
        <v>47</v>
      </c>
      <c r="B57" s="105">
        <v>13.69</v>
      </c>
      <c r="C57" s="105">
        <v>13.69</v>
      </c>
    </row>
    <row r="58" spans="1:3" x14ac:dyDescent="0.25">
      <c r="A58" s="104">
        <v>48</v>
      </c>
      <c r="B58" s="105">
        <v>14.18</v>
      </c>
      <c r="C58" s="105">
        <v>14.18</v>
      </c>
    </row>
    <row r="59" spans="1:3" x14ac:dyDescent="0.25">
      <c r="A59" s="104">
        <v>49</v>
      </c>
      <c r="B59" s="105">
        <v>14.69</v>
      </c>
      <c r="C59" s="105">
        <v>14.69</v>
      </c>
    </row>
    <row r="60" spans="1:3" x14ac:dyDescent="0.25">
      <c r="A60" s="104">
        <v>50</v>
      </c>
      <c r="B60" s="105">
        <v>15.22</v>
      </c>
      <c r="C60" s="105">
        <v>15.22</v>
      </c>
    </row>
    <row r="61" spans="1:3" x14ac:dyDescent="0.25">
      <c r="A61" s="104">
        <v>51</v>
      </c>
      <c r="B61" s="105">
        <v>15.78</v>
      </c>
      <c r="C61" s="105">
        <v>15.78</v>
      </c>
    </row>
    <row r="62" spans="1:3" x14ac:dyDescent="0.25">
      <c r="A62" s="104">
        <v>52</v>
      </c>
      <c r="B62" s="105">
        <v>16.350000000000001</v>
      </c>
      <c r="C62" s="105">
        <v>16.350000000000001</v>
      </c>
    </row>
    <row r="63" spans="1:3" x14ac:dyDescent="0.25">
      <c r="A63" s="104">
        <v>53</v>
      </c>
      <c r="B63" s="105">
        <v>16.95</v>
      </c>
      <c r="C63" s="105">
        <v>16.95</v>
      </c>
    </row>
    <row r="64" spans="1:3" x14ac:dyDescent="0.25">
      <c r="A64" s="104">
        <v>54</v>
      </c>
      <c r="B64" s="105">
        <v>17.579999999999998</v>
      </c>
      <c r="C64" s="105">
        <v>17.579999999999998</v>
      </c>
    </row>
    <row r="65" spans="1:3" x14ac:dyDescent="0.25">
      <c r="A65" s="104">
        <v>55</v>
      </c>
      <c r="B65" s="105">
        <v>18.23</v>
      </c>
      <c r="C65" s="105">
        <v>18.23</v>
      </c>
    </row>
    <row r="66" spans="1:3" x14ac:dyDescent="0.25">
      <c r="A66" s="104">
        <v>56</v>
      </c>
      <c r="B66" s="105">
        <v>18.91</v>
      </c>
      <c r="C66" s="105">
        <v>18.91</v>
      </c>
    </row>
    <row r="67" spans="1:3" x14ac:dyDescent="0.25">
      <c r="A67" s="104">
        <v>57</v>
      </c>
      <c r="B67" s="105">
        <v>19.61</v>
      </c>
      <c r="C67" s="105">
        <v>19.61</v>
      </c>
    </row>
    <row r="68" spans="1:3" x14ac:dyDescent="0.25">
      <c r="A68" s="104">
        <v>58</v>
      </c>
      <c r="B68" s="105">
        <v>20.36</v>
      </c>
      <c r="C68" s="105">
        <v>20.36</v>
      </c>
    </row>
    <row r="69" spans="1:3" x14ac:dyDescent="0.25">
      <c r="A69" s="104">
        <v>59</v>
      </c>
      <c r="B69" s="105">
        <v>21.13</v>
      </c>
      <c r="C69" s="105">
        <v>21.13</v>
      </c>
    </row>
    <row r="70" spans="1:3" x14ac:dyDescent="0.25">
      <c r="A70" s="104">
        <v>60</v>
      </c>
      <c r="B70" s="105">
        <v>21.21</v>
      </c>
      <c r="C70" s="105">
        <v>21.21</v>
      </c>
    </row>
    <row r="71" spans="1:3" x14ac:dyDescent="0.25">
      <c r="A71" s="104">
        <v>61</v>
      </c>
      <c r="B71" s="105">
        <v>20.58</v>
      </c>
      <c r="C71" s="105">
        <v>20.58</v>
      </c>
    </row>
    <row r="72" spans="1:3" x14ac:dyDescent="0.25">
      <c r="A72" s="104">
        <v>62</v>
      </c>
      <c r="B72" s="105">
        <v>19.940000000000001</v>
      </c>
      <c r="C72" s="105">
        <v>19.940000000000001</v>
      </c>
    </row>
    <row r="73" spans="1:3" x14ac:dyDescent="0.25">
      <c r="A73" s="104">
        <v>63</v>
      </c>
      <c r="B73" s="105">
        <v>19.309999999999999</v>
      </c>
      <c r="C73" s="105">
        <v>19.309999999999999</v>
      </c>
    </row>
    <row r="74" spans="1:3" x14ac:dyDescent="0.25">
      <c r="A74" s="104">
        <v>64</v>
      </c>
      <c r="B74" s="105">
        <v>18.670000000000002</v>
      </c>
      <c r="C74" s="105">
        <v>18.670000000000002</v>
      </c>
    </row>
    <row r="75" spans="1:3" x14ac:dyDescent="0.25">
      <c r="A75" s="104">
        <v>65</v>
      </c>
      <c r="B75" s="105">
        <v>18.04</v>
      </c>
      <c r="C75" s="105">
        <v>18.04</v>
      </c>
    </row>
    <row r="76" spans="1:3" x14ac:dyDescent="0.25">
      <c r="A76" s="104">
        <v>66</v>
      </c>
      <c r="B76" s="105">
        <v>17.399999999999999</v>
      </c>
      <c r="C76" s="105">
        <v>17.399999999999999</v>
      </c>
    </row>
    <row r="77" spans="1:3" x14ac:dyDescent="0.25">
      <c r="A77" s="104">
        <v>67</v>
      </c>
      <c r="B77" s="105">
        <v>16.760000000000002</v>
      </c>
      <c r="C77" s="105">
        <v>16.760000000000002</v>
      </c>
    </row>
    <row r="78" spans="1:3" x14ac:dyDescent="0.25">
      <c r="A78" s="104">
        <v>68</v>
      </c>
      <c r="B78" s="105">
        <v>16.12</v>
      </c>
      <c r="C78" s="105">
        <v>16.12</v>
      </c>
    </row>
    <row r="79" spans="1:3" x14ac:dyDescent="0.25">
      <c r="A79" s="104">
        <v>69</v>
      </c>
      <c r="B79" s="105">
        <v>15.48</v>
      </c>
      <c r="C79" s="105">
        <v>15.48</v>
      </c>
    </row>
    <row r="80" spans="1:3" x14ac:dyDescent="0.25">
      <c r="A80" s="104">
        <v>70</v>
      </c>
      <c r="B80" s="105">
        <v>14.84</v>
      </c>
      <c r="C80" s="105">
        <v>14.84</v>
      </c>
    </row>
    <row r="81" spans="1:3" x14ac:dyDescent="0.25">
      <c r="A81" s="104">
        <v>71</v>
      </c>
      <c r="B81" s="105">
        <v>14.2</v>
      </c>
      <c r="C81" s="105">
        <v>14.2</v>
      </c>
    </row>
    <row r="82" spans="1:3" x14ac:dyDescent="0.25">
      <c r="A82" s="104">
        <v>72</v>
      </c>
      <c r="B82" s="105">
        <v>13.57</v>
      </c>
      <c r="C82" s="105">
        <v>13.57</v>
      </c>
    </row>
    <row r="83" spans="1:3" x14ac:dyDescent="0.25">
      <c r="A83" s="104">
        <v>73</v>
      </c>
      <c r="B83" s="105">
        <v>12.94</v>
      </c>
      <c r="C83" s="105">
        <v>12.94</v>
      </c>
    </row>
    <row r="84" spans="1:3" x14ac:dyDescent="0.25">
      <c r="A84" s="104">
        <v>74</v>
      </c>
      <c r="B84" s="105">
        <v>12.31</v>
      </c>
      <c r="C84" s="105">
        <v>12.31</v>
      </c>
    </row>
    <row r="85" spans="1:3" x14ac:dyDescent="0.25">
      <c r="A85" s="104">
        <v>75</v>
      </c>
      <c r="B85" s="105">
        <v>11.69</v>
      </c>
      <c r="C85" s="105">
        <v>11.69</v>
      </c>
    </row>
    <row r="86" spans="1:3" x14ac:dyDescent="0.25">
      <c r="A86" s="104">
        <v>76</v>
      </c>
      <c r="B86" s="105">
        <v>11.09</v>
      </c>
      <c r="C86" s="105">
        <v>11.09</v>
      </c>
    </row>
    <row r="87" spans="1:3" x14ac:dyDescent="0.25">
      <c r="A87" s="104">
        <v>77</v>
      </c>
      <c r="B87" s="105">
        <v>10.49</v>
      </c>
      <c r="C87" s="105">
        <v>10.49</v>
      </c>
    </row>
    <row r="88" spans="1:3" x14ac:dyDescent="0.25">
      <c r="A88" s="104">
        <v>78</v>
      </c>
      <c r="B88" s="105">
        <v>9.9</v>
      </c>
      <c r="C88" s="105">
        <v>9.9</v>
      </c>
    </row>
    <row r="89" spans="1:3" x14ac:dyDescent="0.25">
      <c r="A89" s="104">
        <v>79</v>
      </c>
      <c r="B89" s="105">
        <v>9.33</v>
      </c>
      <c r="C89" s="105">
        <v>9.33</v>
      </c>
    </row>
    <row r="90" spans="1:3" x14ac:dyDescent="0.25">
      <c r="A90" s="104">
        <v>80</v>
      </c>
      <c r="B90" s="105">
        <v>8.77</v>
      </c>
      <c r="C90" s="105">
        <v>8.77</v>
      </c>
    </row>
    <row r="91" spans="1:3" x14ac:dyDescent="0.25">
      <c r="A91" s="104">
        <v>81</v>
      </c>
      <c r="B91" s="105">
        <v>8.23</v>
      </c>
      <c r="C91" s="105">
        <v>8.23</v>
      </c>
    </row>
    <row r="92" spans="1:3" x14ac:dyDescent="0.25">
      <c r="A92" s="104">
        <v>82</v>
      </c>
      <c r="B92" s="105">
        <v>7.71</v>
      </c>
      <c r="C92" s="105">
        <v>7.71</v>
      </c>
    </row>
    <row r="93" spans="1:3" x14ac:dyDescent="0.25">
      <c r="A93" s="104">
        <v>83</v>
      </c>
      <c r="B93" s="105">
        <v>7.2</v>
      </c>
      <c r="C93" s="105">
        <v>7.2</v>
      </c>
    </row>
    <row r="94" spans="1:3" x14ac:dyDescent="0.25">
      <c r="A94" s="104">
        <v>84</v>
      </c>
      <c r="B94" s="105">
        <v>6.72</v>
      </c>
      <c r="C94" s="105">
        <v>6.72</v>
      </c>
    </row>
    <row r="95" spans="1:3" x14ac:dyDescent="0.25">
      <c r="A95" s="104">
        <v>85</v>
      </c>
      <c r="B95" s="105">
        <v>6.26</v>
      </c>
      <c r="C95" s="105">
        <v>6.26</v>
      </c>
    </row>
    <row r="96" spans="1:3" x14ac:dyDescent="0.25">
      <c r="A96" s="104">
        <v>86</v>
      </c>
      <c r="B96" s="105">
        <v>5.82</v>
      </c>
      <c r="C96" s="105">
        <v>5.82</v>
      </c>
    </row>
    <row r="97" spans="1:3" x14ac:dyDescent="0.25">
      <c r="A97" s="104">
        <v>87</v>
      </c>
      <c r="B97" s="105">
        <v>5.4</v>
      </c>
      <c r="C97" s="105">
        <v>5.4</v>
      </c>
    </row>
    <row r="98" spans="1:3" x14ac:dyDescent="0.25">
      <c r="A98" s="104">
        <v>88</v>
      </c>
      <c r="B98" s="105">
        <v>5</v>
      </c>
      <c r="C98" s="105">
        <v>5</v>
      </c>
    </row>
    <row r="99" spans="1:3" x14ac:dyDescent="0.25">
      <c r="A99" s="104">
        <v>89</v>
      </c>
      <c r="B99" s="105">
        <v>4.63</v>
      </c>
      <c r="C99" s="105">
        <v>4.63</v>
      </c>
    </row>
    <row r="100" spans="1:3" x14ac:dyDescent="0.25">
      <c r="A100" s="104">
        <v>90</v>
      </c>
      <c r="B100" s="105">
        <v>4.2699999999999996</v>
      </c>
      <c r="C100" s="105">
        <v>4.2699999999999996</v>
      </c>
    </row>
    <row r="101" spans="1:3" x14ac:dyDescent="0.25">
      <c r="A101" s="104">
        <v>91</v>
      </c>
      <c r="B101" s="105">
        <v>3.95</v>
      </c>
      <c r="C101" s="105">
        <v>3.95</v>
      </c>
    </row>
    <row r="102" spans="1:3" x14ac:dyDescent="0.25">
      <c r="A102" s="104">
        <v>92</v>
      </c>
      <c r="B102" s="105">
        <v>3.65</v>
      </c>
      <c r="C102" s="105">
        <v>3.65</v>
      </c>
    </row>
    <row r="103" spans="1:3" x14ac:dyDescent="0.25">
      <c r="A103" s="104">
        <v>93</v>
      </c>
      <c r="B103" s="105">
        <v>3.37</v>
      </c>
      <c r="C103" s="105">
        <v>3.37</v>
      </c>
    </row>
    <row r="104" spans="1:3" x14ac:dyDescent="0.25">
      <c r="A104" s="104">
        <v>94</v>
      </c>
      <c r="B104" s="105">
        <v>3.13</v>
      </c>
      <c r="C104" s="105">
        <v>3.13</v>
      </c>
    </row>
    <row r="105" spans="1:3" x14ac:dyDescent="0.25">
      <c r="A105" s="104">
        <v>95</v>
      </c>
      <c r="B105" s="105">
        <v>2.9</v>
      </c>
      <c r="C105" s="105">
        <v>2.9</v>
      </c>
    </row>
    <row r="106" spans="1:3" x14ac:dyDescent="0.25">
      <c r="A106" s="104">
        <v>96</v>
      </c>
      <c r="B106" s="105">
        <v>2.7</v>
      </c>
      <c r="C106" s="105">
        <v>2.7</v>
      </c>
    </row>
    <row r="107" spans="1:3" x14ac:dyDescent="0.25">
      <c r="A107" s="104">
        <v>97</v>
      </c>
      <c r="B107" s="105">
        <v>2.5299999999999998</v>
      </c>
      <c r="C107" s="105">
        <v>2.5299999999999998</v>
      </c>
    </row>
    <row r="108" spans="1:3" x14ac:dyDescent="0.25">
      <c r="A108" s="104">
        <v>98</v>
      </c>
      <c r="B108" s="105">
        <v>2.37</v>
      </c>
      <c r="C108" s="105">
        <v>2.37</v>
      </c>
    </row>
  </sheetData>
  <sheetProtection algorithmName="SHA-512" hashValue="CVe0uOF2ywRdMnJ6R/zYVTkyXM6X+rvEqdz/QY8HY+6YhjA55xyWr+zTYeKKFtgBfqO16uPmFon5jWdB+pYgHA==" saltValue="CdJrBSOmSbFkRedNtuWlfA==" spinCount="100000" sheet="1" objects="1" scenarios="1"/>
  <conditionalFormatting sqref="A6:A21">
    <cfRule type="expression" dxfId="1141" priority="1" stopIfTrue="1">
      <formula>MOD(ROW(),2)=0</formula>
    </cfRule>
    <cfRule type="expression" dxfId="1140" priority="2" stopIfTrue="1">
      <formula>MOD(ROW(),2)&lt;&gt;0</formula>
    </cfRule>
  </conditionalFormatting>
  <conditionalFormatting sqref="A26:A108">
    <cfRule type="expression" dxfId="1139" priority="5" stopIfTrue="1">
      <formula>MOD(ROW(),2)=0</formula>
    </cfRule>
    <cfRule type="expression" dxfId="1138" priority="6" stopIfTrue="1">
      <formula>MOD(ROW(),2)&lt;&gt;0</formula>
    </cfRule>
  </conditionalFormatting>
  <conditionalFormatting sqref="B17:B21">
    <cfRule type="expression" dxfId="1137" priority="9" stopIfTrue="1">
      <formula>MOD(ROW(),2)=0</formula>
    </cfRule>
    <cfRule type="expression" dxfId="1136" priority="10" stopIfTrue="1">
      <formula>MOD(ROW(),2)&lt;&gt;0</formula>
    </cfRule>
  </conditionalFormatting>
  <conditionalFormatting sqref="B6:C21">
    <cfRule type="expression" dxfId="1135" priority="25" stopIfTrue="1">
      <formula>MOD(ROW(),2)=0</formula>
    </cfRule>
    <cfRule type="expression" dxfId="1134" priority="26" stopIfTrue="1">
      <formula>MOD(ROW(),2)&lt;&gt;0</formula>
    </cfRule>
  </conditionalFormatting>
  <conditionalFormatting sqref="B26:C108">
    <cfRule type="expression" dxfId="1133" priority="7" stopIfTrue="1">
      <formula>MOD(ROW(),2)=0</formula>
    </cfRule>
    <cfRule type="expression" dxfId="1132" priority="8" stopIfTrue="1">
      <formula>MOD(ROW(),2)&lt;&gt;0</formula>
    </cfRule>
  </conditionalFormatting>
  <hyperlinks>
    <hyperlink ref="B24" location="Sheet1!A1" display="Assumptions" xr:uid="{46F934EA-FC34-4E2F-BEB2-644BB66EBD2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dimension ref="A1:I65"/>
  <sheetViews>
    <sheetView showGridLines="0" zoomScale="85" zoomScaleNormal="85" workbookViewId="0">
      <selection activeCell="A4" sqref="A4"/>
    </sheetView>
  </sheetViews>
  <sheetFormatPr defaultColWidth="10" defaultRowHeight="13.2" x14ac:dyDescent="0.25"/>
  <cols>
    <col min="1" max="1" width="31.5546875" style="27" customWidth="1"/>
    <col min="2" max="7" width="22.5546875" style="27" customWidth="1"/>
    <col min="8"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ERF - x-401</v>
      </c>
      <c r="B3" s="42"/>
      <c r="C3" s="42"/>
      <c r="D3" s="42"/>
      <c r="E3" s="42"/>
      <c r="F3" s="42"/>
      <c r="G3" s="42"/>
      <c r="H3" s="42"/>
      <c r="I3" s="42"/>
    </row>
    <row r="4" spans="1:9" x14ac:dyDescent="0.25">
      <c r="A4" s="44"/>
    </row>
    <row r="6" spans="1:9" x14ac:dyDescent="0.25">
      <c r="A6" s="76" t="s">
        <v>290</v>
      </c>
      <c r="B6" s="129" t="s">
        <v>291</v>
      </c>
      <c r="C6" s="129"/>
      <c r="D6" s="129"/>
      <c r="E6" s="129"/>
      <c r="F6" s="129"/>
      <c r="G6" s="129"/>
    </row>
    <row r="7" spans="1:9" x14ac:dyDescent="0.25">
      <c r="A7" s="77" t="s">
        <v>804</v>
      </c>
      <c r="B7" s="129" t="s">
        <v>324</v>
      </c>
      <c r="C7" s="129"/>
      <c r="D7" s="129"/>
      <c r="E7" s="129"/>
      <c r="F7" s="129"/>
      <c r="G7" s="129"/>
    </row>
    <row r="8" spans="1:9" x14ac:dyDescent="0.25">
      <c r="A8" s="77" t="s">
        <v>805</v>
      </c>
      <c r="B8" s="129" t="s">
        <v>85</v>
      </c>
      <c r="C8" s="129"/>
      <c r="D8" s="129"/>
      <c r="E8" s="129"/>
      <c r="F8" s="129"/>
      <c r="G8" s="129"/>
    </row>
    <row r="9" spans="1:9" x14ac:dyDescent="0.25">
      <c r="A9" s="77" t="s">
        <v>296</v>
      </c>
      <c r="B9" s="129" t="s">
        <v>418</v>
      </c>
      <c r="C9" s="129"/>
      <c r="D9" s="129"/>
      <c r="E9" s="129"/>
      <c r="F9" s="129"/>
      <c r="G9" s="129"/>
    </row>
    <row r="10" spans="1:9" x14ac:dyDescent="0.25">
      <c r="A10" s="77" t="s">
        <v>6</v>
      </c>
      <c r="B10" s="129" t="s">
        <v>419</v>
      </c>
      <c r="C10" s="129"/>
      <c r="D10" s="129"/>
      <c r="E10" s="129"/>
      <c r="F10" s="129"/>
      <c r="G10" s="129"/>
    </row>
    <row r="11" spans="1:9" x14ac:dyDescent="0.25">
      <c r="A11" s="77" t="s">
        <v>299</v>
      </c>
      <c r="B11" s="129" t="s">
        <v>364</v>
      </c>
      <c r="C11" s="129"/>
      <c r="D11" s="129"/>
      <c r="E11" s="129"/>
      <c r="F11" s="129"/>
      <c r="G11" s="129"/>
    </row>
    <row r="12" spans="1:9" x14ac:dyDescent="0.25">
      <c r="A12" s="77" t="s">
        <v>301</v>
      </c>
      <c r="B12" s="129" t="s">
        <v>420</v>
      </c>
      <c r="C12" s="129"/>
      <c r="D12" s="129"/>
      <c r="E12" s="129"/>
      <c r="F12" s="129"/>
      <c r="G12" s="129"/>
    </row>
    <row r="13" spans="1:9" x14ac:dyDescent="0.25">
      <c r="A13" s="77" t="s">
        <v>806</v>
      </c>
      <c r="B13" s="129">
        <v>0</v>
      </c>
      <c r="C13" s="129"/>
      <c r="D13" s="129"/>
      <c r="E13" s="129"/>
      <c r="F13" s="129"/>
      <c r="G13" s="129"/>
    </row>
    <row r="14" spans="1:9" x14ac:dyDescent="0.25">
      <c r="A14" s="77" t="s">
        <v>305</v>
      </c>
      <c r="B14" s="129">
        <v>401</v>
      </c>
      <c r="C14" s="129"/>
      <c r="D14" s="129"/>
      <c r="E14" s="129"/>
      <c r="F14" s="129"/>
      <c r="G14" s="129"/>
    </row>
    <row r="15" spans="1:9" x14ac:dyDescent="0.25">
      <c r="A15" s="77" t="s">
        <v>307</v>
      </c>
      <c r="B15" s="129" t="s">
        <v>421</v>
      </c>
      <c r="C15" s="129"/>
      <c r="D15" s="129"/>
      <c r="E15" s="129"/>
      <c r="F15" s="129"/>
      <c r="G15" s="129"/>
    </row>
    <row r="16" spans="1:9" x14ac:dyDescent="0.25">
      <c r="A16" s="77" t="s">
        <v>825</v>
      </c>
      <c r="B16" s="129" t="s">
        <v>422</v>
      </c>
      <c r="C16" s="129"/>
      <c r="D16" s="129"/>
      <c r="E16" s="129"/>
      <c r="F16" s="129"/>
      <c r="G16" s="129"/>
    </row>
    <row r="17" spans="1:7" x14ac:dyDescent="0.25">
      <c r="A17" s="77" t="s">
        <v>803</v>
      </c>
      <c r="B17" s="129"/>
      <c r="C17" s="129"/>
      <c r="D17" s="129"/>
      <c r="E17" s="129"/>
      <c r="F17" s="129"/>
      <c r="G17" s="129"/>
    </row>
    <row r="18" spans="1:7" x14ac:dyDescent="0.25">
      <c r="A18" s="77" t="s">
        <v>313</v>
      </c>
      <c r="B18" s="187">
        <v>45106</v>
      </c>
      <c r="C18" s="129"/>
      <c r="D18" s="129"/>
      <c r="E18" s="129"/>
      <c r="F18" s="129"/>
      <c r="G18" s="129"/>
    </row>
    <row r="19" spans="1:7" x14ac:dyDescent="0.25">
      <c r="A19" s="77" t="s">
        <v>315</v>
      </c>
      <c r="B19" s="187"/>
      <c r="C19" s="129"/>
      <c r="D19" s="129"/>
      <c r="E19" s="129"/>
      <c r="F19" s="129"/>
      <c r="G19" s="129"/>
    </row>
    <row r="20" spans="1:7" x14ac:dyDescent="0.25">
      <c r="A20" s="77" t="s">
        <v>317</v>
      </c>
      <c r="B20" s="129" t="s">
        <v>331</v>
      </c>
      <c r="C20" s="129"/>
      <c r="D20" s="129"/>
      <c r="E20" s="129"/>
      <c r="F20" s="129"/>
      <c r="G20" s="129"/>
    </row>
    <row r="21" spans="1:7" x14ac:dyDescent="0.25">
      <c r="A21" s="77" t="s">
        <v>323</v>
      </c>
      <c r="B21" s="129" t="s">
        <v>332</v>
      </c>
      <c r="C21" s="129"/>
      <c r="D21" s="129"/>
      <c r="E21" s="129"/>
      <c r="F21" s="129"/>
      <c r="G21" s="129"/>
    </row>
    <row r="23" spans="1:7" x14ac:dyDescent="0.25">
      <c r="B23" s="102" t="str">
        <f>HYPERLINK("#'Factor List'!A1","Back to Factor List")</f>
        <v>Back to Factor List</v>
      </c>
    </row>
    <row r="24" spans="1:7" x14ac:dyDescent="0.25">
      <c r="B24" s="102" t="s">
        <v>13</v>
      </c>
    </row>
    <row r="25" spans="1:7" x14ac:dyDescent="0.25">
      <c r="B25" s="102"/>
    </row>
    <row r="26" spans="1:7" x14ac:dyDescent="0.25">
      <c r="A26" s="103" t="s">
        <v>855</v>
      </c>
      <c r="B26" s="103">
        <v>55</v>
      </c>
      <c r="C26" s="103">
        <v>56</v>
      </c>
      <c r="D26" s="103">
        <v>57</v>
      </c>
      <c r="E26" s="103">
        <v>58</v>
      </c>
      <c r="F26" s="103">
        <v>59</v>
      </c>
      <c r="G26" s="103">
        <v>60</v>
      </c>
    </row>
    <row r="27" spans="1:7" x14ac:dyDescent="0.25">
      <c r="A27" s="104">
        <v>0</v>
      </c>
      <c r="B27" s="128">
        <v>0.80700000000000005</v>
      </c>
      <c r="C27" s="128">
        <v>0.84199999999999997</v>
      </c>
      <c r="D27" s="128">
        <v>0.878</v>
      </c>
      <c r="E27" s="128">
        <v>0.91600000000000004</v>
      </c>
      <c r="F27" s="128">
        <v>0.95699999999999996</v>
      </c>
      <c r="G27" s="128">
        <v>1</v>
      </c>
    </row>
    <row r="28" spans="1:7" x14ac:dyDescent="0.25">
      <c r="A28" s="104">
        <v>1</v>
      </c>
      <c r="B28" s="128">
        <v>0.81</v>
      </c>
      <c r="C28" s="128">
        <v>0.84499999999999997</v>
      </c>
      <c r="D28" s="128">
        <v>0.88100000000000001</v>
      </c>
      <c r="E28" s="128">
        <v>0.91900000000000004</v>
      </c>
      <c r="F28" s="128">
        <v>0.96099999999999997</v>
      </c>
      <c r="G28" s="128"/>
    </row>
    <row r="29" spans="1:7" x14ac:dyDescent="0.25">
      <c r="A29" s="104">
        <v>2</v>
      </c>
      <c r="B29" s="128">
        <v>0.81299999999999994</v>
      </c>
      <c r="C29" s="128">
        <v>0.84799999999999998</v>
      </c>
      <c r="D29" s="128">
        <v>0.88400000000000001</v>
      </c>
      <c r="E29" s="128">
        <v>0.92300000000000004</v>
      </c>
      <c r="F29" s="128">
        <v>0.96399999999999997</v>
      </c>
      <c r="G29" s="128"/>
    </row>
    <row r="30" spans="1:7" x14ac:dyDescent="0.25">
      <c r="A30" s="104">
        <v>3</v>
      </c>
      <c r="B30" s="128">
        <v>0.81599999999999995</v>
      </c>
      <c r="C30" s="128">
        <v>0.85099999999999998</v>
      </c>
      <c r="D30" s="128">
        <v>0.88700000000000001</v>
      </c>
      <c r="E30" s="128">
        <v>0.92600000000000005</v>
      </c>
      <c r="F30" s="128">
        <v>0.96799999999999997</v>
      </c>
      <c r="G30" s="128"/>
    </row>
    <row r="31" spans="1:7" x14ac:dyDescent="0.25">
      <c r="A31" s="104">
        <v>4</v>
      </c>
      <c r="B31" s="128">
        <v>0.81899999999999995</v>
      </c>
      <c r="C31" s="128">
        <v>0.85399999999999998</v>
      </c>
      <c r="D31" s="128">
        <v>0.89</v>
      </c>
      <c r="E31" s="128">
        <v>0.92900000000000005</v>
      </c>
      <c r="F31" s="128">
        <v>0.97199999999999998</v>
      </c>
      <c r="G31" s="128"/>
    </row>
    <row r="32" spans="1:7" x14ac:dyDescent="0.25">
      <c r="A32" s="104">
        <v>5</v>
      </c>
      <c r="B32" s="128">
        <v>0.82199999999999995</v>
      </c>
      <c r="C32" s="128">
        <v>0.85699999999999998</v>
      </c>
      <c r="D32" s="128">
        <v>0.89300000000000002</v>
      </c>
      <c r="E32" s="128">
        <v>0.93300000000000005</v>
      </c>
      <c r="F32" s="128">
        <v>0.97599999999999998</v>
      </c>
      <c r="G32" s="128"/>
    </row>
    <row r="33" spans="1:7" x14ac:dyDescent="0.25">
      <c r="A33" s="104">
        <v>6</v>
      </c>
      <c r="B33" s="128">
        <v>0.82399999999999995</v>
      </c>
      <c r="C33" s="128">
        <v>0.86</v>
      </c>
      <c r="D33" s="128">
        <v>0.89700000000000002</v>
      </c>
      <c r="E33" s="128">
        <v>0.93600000000000005</v>
      </c>
      <c r="F33" s="128">
        <v>0.97899999999999998</v>
      </c>
      <c r="G33" s="128"/>
    </row>
    <row r="34" spans="1:7" x14ac:dyDescent="0.25">
      <c r="A34" s="104">
        <v>7</v>
      </c>
      <c r="B34" s="128">
        <v>0.82699999999999996</v>
      </c>
      <c r="C34" s="128">
        <v>0.86299999999999999</v>
      </c>
      <c r="D34" s="128">
        <v>0.9</v>
      </c>
      <c r="E34" s="128">
        <v>0.94</v>
      </c>
      <c r="F34" s="128">
        <v>0.98299999999999998</v>
      </c>
      <c r="G34" s="128"/>
    </row>
    <row r="35" spans="1:7" x14ac:dyDescent="0.25">
      <c r="A35" s="104">
        <v>8</v>
      </c>
      <c r="B35" s="128">
        <v>0.83</v>
      </c>
      <c r="C35" s="128">
        <v>0.86599999999999999</v>
      </c>
      <c r="D35" s="128">
        <v>0.90300000000000002</v>
      </c>
      <c r="E35" s="128">
        <v>0.94299999999999995</v>
      </c>
      <c r="F35" s="128">
        <v>0.98699999999999999</v>
      </c>
      <c r="G35" s="128"/>
    </row>
    <row r="36" spans="1:7" x14ac:dyDescent="0.25">
      <c r="A36" s="104">
        <v>9</v>
      </c>
      <c r="B36" s="128">
        <v>0.83299999999999996</v>
      </c>
      <c r="C36" s="128">
        <v>0.86899999999999999</v>
      </c>
      <c r="D36" s="128">
        <v>0.90600000000000003</v>
      </c>
      <c r="E36" s="128">
        <v>0.94599999999999995</v>
      </c>
      <c r="F36" s="128">
        <v>0.99099999999999999</v>
      </c>
      <c r="G36" s="128"/>
    </row>
    <row r="37" spans="1:7" x14ac:dyDescent="0.25">
      <c r="A37" s="104">
        <v>10</v>
      </c>
      <c r="B37" s="128">
        <v>0.83599999999999997</v>
      </c>
      <c r="C37" s="128">
        <v>0.872</v>
      </c>
      <c r="D37" s="128">
        <v>0.90900000000000003</v>
      </c>
      <c r="E37" s="128">
        <v>0.95</v>
      </c>
      <c r="F37" s="128">
        <v>0.99399999999999999</v>
      </c>
      <c r="G37" s="128"/>
    </row>
    <row r="38" spans="1:7" x14ac:dyDescent="0.25">
      <c r="A38" s="104">
        <v>11</v>
      </c>
      <c r="B38" s="128">
        <v>0.83899999999999997</v>
      </c>
      <c r="C38" s="128">
        <v>0.875</v>
      </c>
      <c r="D38" s="128">
        <v>0.91200000000000003</v>
      </c>
      <c r="E38" s="128">
        <v>0.95299999999999996</v>
      </c>
      <c r="F38" s="128">
        <v>0.998</v>
      </c>
      <c r="G38" s="128"/>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 customHeight="1" x14ac:dyDescent="0.25">
      <c r="A44"/>
      <c r="B44"/>
    </row>
    <row r="45" spans="1:7" x14ac:dyDescent="0.25">
      <c r="A45"/>
      <c r="B45"/>
    </row>
    <row r="46" spans="1:7" ht="27.6"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4BZBdXP2x3fwUrrs5CioQdvv/9P/0Ogw/TXk6lgyJX6X3rYWFtZ0Bg6kZU03T+KKeGOcmUV/nskoey/SP0q/Ow==" saltValue="YLzwf5h6cxfqFrhUl33Rsg==" spinCount="100000" sheet="1" objects="1" scenarios="1"/>
  <conditionalFormatting sqref="A6:A21">
    <cfRule type="expression" dxfId="1131" priority="1" stopIfTrue="1">
      <formula>MOD(ROW(),2)=0</formula>
    </cfRule>
    <cfRule type="expression" dxfId="1130" priority="2" stopIfTrue="1">
      <formula>MOD(ROW(),2)&lt;&gt;0</formula>
    </cfRule>
  </conditionalFormatting>
  <conditionalFormatting sqref="A26:A38">
    <cfRule type="expression" dxfId="1129" priority="5" stopIfTrue="1">
      <formula>MOD(ROW(),2)=0</formula>
    </cfRule>
    <cfRule type="expression" dxfId="1128" priority="6" stopIfTrue="1">
      <formula>MOD(ROW(),2)&lt;&gt;0</formula>
    </cfRule>
  </conditionalFormatting>
  <conditionalFormatting sqref="B17:B21">
    <cfRule type="expression" dxfId="1127" priority="9" stopIfTrue="1">
      <formula>MOD(ROW(),2)=0</formula>
    </cfRule>
    <cfRule type="expression" dxfId="1126" priority="10" stopIfTrue="1">
      <formula>MOD(ROW(),2)&lt;&gt;0</formula>
    </cfRule>
  </conditionalFormatting>
  <conditionalFormatting sqref="B6:G21">
    <cfRule type="expression" dxfId="1125" priority="25" stopIfTrue="1">
      <formula>MOD(ROW(),2)=0</formula>
    </cfRule>
    <cfRule type="expression" dxfId="1124" priority="26" stopIfTrue="1">
      <formula>MOD(ROW(),2)&lt;&gt;0</formula>
    </cfRule>
  </conditionalFormatting>
  <conditionalFormatting sqref="B26:G38">
    <cfRule type="expression" dxfId="1123" priority="7" stopIfTrue="1">
      <formula>MOD(ROW(),2)=0</formula>
    </cfRule>
    <cfRule type="expression" dxfId="1122" priority="8" stopIfTrue="1">
      <formula>MOD(ROW(),2)&lt;&gt;0</formula>
    </cfRule>
  </conditionalFormatting>
  <hyperlinks>
    <hyperlink ref="B24" location="Sheet1!A1" display="Assumptions" xr:uid="{38A0360B-3083-4444-B5BB-330D295EBB8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8"/>
  <dimension ref="A1:M65"/>
  <sheetViews>
    <sheetView showGridLines="0" zoomScale="85" zoomScaleNormal="85" workbookViewId="0">
      <selection activeCell="A4" sqref="A4"/>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39" t="s">
        <v>0</v>
      </c>
      <c r="B1" s="40"/>
      <c r="C1" s="40"/>
      <c r="D1" s="40"/>
      <c r="E1" s="40"/>
      <c r="F1" s="40"/>
      <c r="G1" s="40"/>
      <c r="H1" s="40"/>
      <c r="I1" s="40"/>
    </row>
    <row r="2" spans="1:13"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3" ht="15.6" x14ac:dyDescent="0.3">
      <c r="A3" s="43" t="str">
        <f>TABLE_FACTOR_TYPE_1&amp;" - x-"&amp;TABLE_SERIES_NUMBER_1</f>
        <v>ERF - x-402</v>
      </c>
      <c r="B3" s="42"/>
      <c r="C3" s="42"/>
      <c r="D3" s="42"/>
      <c r="E3" s="42"/>
      <c r="F3" s="42"/>
      <c r="G3" s="42"/>
      <c r="H3" s="42"/>
      <c r="I3" s="42"/>
    </row>
    <row r="4" spans="1:13" x14ac:dyDescent="0.25">
      <c r="A4" s="44"/>
    </row>
    <row r="6" spans="1:13" x14ac:dyDescent="0.25">
      <c r="A6" s="76" t="s">
        <v>290</v>
      </c>
      <c r="B6" s="129" t="s">
        <v>291</v>
      </c>
      <c r="C6" s="129"/>
      <c r="D6" s="129"/>
      <c r="E6" s="129"/>
      <c r="F6" s="129"/>
      <c r="G6" s="129"/>
      <c r="H6" s="129"/>
      <c r="I6" s="129"/>
      <c r="J6" s="129"/>
      <c r="K6" s="129"/>
      <c r="L6" s="129"/>
      <c r="M6" s="129"/>
    </row>
    <row r="7" spans="1:13" x14ac:dyDescent="0.25">
      <c r="A7" s="77" t="s">
        <v>804</v>
      </c>
      <c r="B7" s="129" t="s">
        <v>324</v>
      </c>
      <c r="C7" s="129"/>
      <c r="D7" s="129"/>
      <c r="E7" s="129"/>
      <c r="F7" s="129"/>
      <c r="G7" s="129"/>
      <c r="H7" s="129"/>
      <c r="I7" s="129"/>
      <c r="J7" s="129"/>
      <c r="K7" s="129"/>
      <c r="L7" s="129"/>
      <c r="M7" s="129"/>
    </row>
    <row r="8" spans="1:13" x14ac:dyDescent="0.25">
      <c r="A8" s="77" t="s">
        <v>805</v>
      </c>
      <c r="B8" s="129" t="s">
        <v>85</v>
      </c>
      <c r="C8" s="129"/>
      <c r="D8" s="129"/>
      <c r="E8" s="129"/>
      <c r="F8" s="129"/>
      <c r="G8" s="129"/>
      <c r="H8" s="129"/>
      <c r="I8" s="129"/>
      <c r="J8" s="129"/>
      <c r="K8" s="129"/>
      <c r="L8" s="129"/>
      <c r="M8" s="129"/>
    </row>
    <row r="9" spans="1:13" x14ac:dyDescent="0.25">
      <c r="A9" s="77" t="s">
        <v>296</v>
      </c>
      <c r="B9" s="129" t="s">
        <v>418</v>
      </c>
      <c r="C9" s="129"/>
      <c r="D9" s="129"/>
      <c r="E9" s="129"/>
      <c r="F9" s="129"/>
      <c r="G9" s="129"/>
      <c r="H9" s="129"/>
      <c r="I9" s="129"/>
      <c r="J9" s="129"/>
      <c r="K9" s="129"/>
      <c r="L9" s="129"/>
      <c r="M9" s="129"/>
    </row>
    <row r="10" spans="1:13" x14ac:dyDescent="0.25">
      <c r="A10" s="77" t="s">
        <v>6</v>
      </c>
      <c r="B10" s="129" t="s">
        <v>423</v>
      </c>
      <c r="C10" s="129"/>
      <c r="D10" s="129"/>
      <c r="E10" s="129"/>
      <c r="F10" s="129"/>
      <c r="G10" s="129"/>
      <c r="H10" s="129"/>
      <c r="I10" s="129"/>
      <c r="J10" s="129"/>
      <c r="K10" s="129"/>
      <c r="L10" s="129"/>
      <c r="M10" s="129"/>
    </row>
    <row r="11" spans="1:13" x14ac:dyDescent="0.25">
      <c r="A11" s="77" t="s">
        <v>299</v>
      </c>
      <c r="B11" s="129" t="s">
        <v>364</v>
      </c>
      <c r="C11" s="129"/>
      <c r="D11" s="129"/>
      <c r="E11" s="129"/>
      <c r="F11" s="129"/>
      <c r="G11" s="129"/>
      <c r="H11" s="129"/>
      <c r="I11" s="129"/>
      <c r="J11" s="129"/>
      <c r="K11" s="129"/>
      <c r="L11" s="129"/>
      <c r="M11" s="129"/>
    </row>
    <row r="12" spans="1:13" x14ac:dyDescent="0.25">
      <c r="A12" s="77" t="s">
        <v>301</v>
      </c>
      <c r="B12" s="129" t="s">
        <v>420</v>
      </c>
      <c r="C12" s="129"/>
      <c r="D12" s="129"/>
      <c r="E12" s="129"/>
      <c r="F12" s="129"/>
      <c r="G12" s="129"/>
      <c r="H12" s="129"/>
      <c r="I12" s="129"/>
      <c r="J12" s="129"/>
      <c r="K12" s="129"/>
      <c r="L12" s="129"/>
      <c r="M12" s="129"/>
    </row>
    <row r="13" spans="1:13" x14ac:dyDescent="0.25">
      <c r="A13" s="77" t="s">
        <v>806</v>
      </c>
      <c r="B13" s="129">
        <v>0</v>
      </c>
      <c r="C13" s="129"/>
      <c r="D13" s="129"/>
      <c r="E13" s="129"/>
      <c r="F13" s="129"/>
      <c r="G13" s="129"/>
      <c r="H13" s="129"/>
      <c r="I13" s="129"/>
      <c r="J13" s="129"/>
      <c r="K13" s="129"/>
      <c r="L13" s="129"/>
      <c r="M13" s="129"/>
    </row>
    <row r="14" spans="1:13" x14ac:dyDescent="0.25">
      <c r="A14" s="77" t="s">
        <v>305</v>
      </c>
      <c r="B14" s="129">
        <v>402</v>
      </c>
      <c r="C14" s="129"/>
      <c r="D14" s="129"/>
      <c r="E14" s="129"/>
      <c r="F14" s="129"/>
      <c r="G14" s="129"/>
      <c r="H14" s="129"/>
      <c r="I14" s="129"/>
      <c r="J14" s="129"/>
      <c r="K14" s="129"/>
      <c r="L14" s="129"/>
      <c r="M14" s="129"/>
    </row>
    <row r="15" spans="1:13" x14ac:dyDescent="0.25">
      <c r="A15" s="77" t="s">
        <v>307</v>
      </c>
      <c r="B15" s="129" t="s">
        <v>424</v>
      </c>
      <c r="C15" s="129"/>
      <c r="D15" s="129"/>
      <c r="E15" s="129"/>
      <c r="F15" s="129"/>
      <c r="G15" s="129"/>
      <c r="H15" s="129"/>
      <c r="I15" s="129"/>
      <c r="J15" s="129"/>
      <c r="K15" s="129"/>
      <c r="L15" s="129"/>
      <c r="M15" s="129"/>
    </row>
    <row r="16" spans="1:13" x14ac:dyDescent="0.25">
      <c r="A16" s="77" t="s">
        <v>825</v>
      </c>
      <c r="B16" s="129" t="s">
        <v>425</v>
      </c>
      <c r="C16" s="129"/>
      <c r="D16" s="129"/>
      <c r="E16" s="129"/>
      <c r="F16" s="129"/>
      <c r="G16" s="129"/>
      <c r="H16" s="129"/>
      <c r="I16" s="129"/>
      <c r="J16" s="129"/>
      <c r="K16" s="129"/>
      <c r="L16" s="129"/>
      <c r="M16" s="129"/>
    </row>
    <row r="17" spans="1:13" x14ac:dyDescent="0.25">
      <c r="A17" s="77" t="s">
        <v>803</v>
      </c>
      <c r="B17" s="129"/>
      <c r="C17" s="129"/>
      <c r="D17" s="129"/>
      <c r="E17" s="129"/>
      <c r="F17" s="129"/>
      <c r="G17" s="129"/>
      <c r="H17" s="129"/>
      <c r="I17" s="129"/>
      <c r="J17" s="129"/>
      <c r="K17" s="129"/>
      <c r="L17" s="129"/>
      <c r="M17" s="129"/>
    </row>
    <row r="18" spans="1:13" x14ac:dyDescent="0.25">
      <c r="A18" s="77" t="s">
        <v>313</v>
      </c>
      <c r="B18" s="187">
        <v>45106</v>
      </c>
      <c r="C18" s="129"/>
      <c r="D18" s="129"/>
      <c r="E18" s="129"/>
      <c r="F18" s="129"/>
      <c r="G18" s="129"/>
      <c r="H18" s="129"/>
      <c r="I18" s="129"/>
      <c r="J18" s="129"/>
      <c r="K18" s="129"/>
      <c r="L18" s="129"/>
      <c r="M18" s="129"/>
    </row>
    <row r="19" spans="1:13" x14ac:dyDescent="0.25">
      <c r="A19" s="77" t="s">
        <v>315</v>
      </c>
      <c r="B19" s="187"/>
      <c r="C19" s="129"/>
      <c r="D19" s="129"/>
      <c r="E19" s="129"/>
      <c r="F19" s="129"/>
      <c r="G19" s="129"/>
      <c r="H19" s="129"/>
      <c r="I19" s="129"/>
      <c r="J19" s="129"/>
      <c r="K19" s="129"/>
      <c r="L19" s="129"/>
      <c r="M19" s="129"/>
    </row>
    <row r="20" spans="1:13" x14ac:dyDescent="0.25">
      <c r="A20" s="77" t="s">
        <v>317</v>
      </c>
      <c r="B20" s="129" t="s">
        <v>331</v>
      </c>
      <c r="C20" s="129"/>
      <c r="D20" s="129"/>
      <c r="E20" s="129"/>
      <c r="F20" s="129"/>
      <c r="G20" s="129"/>
      <c r="H20" s="129"/>
      <c r="I20" s="129"/>
      <c r="J20" s="129"/>
      <c r="K20" s="129"/>
      <c r="L20" s="129"/>
      <c r="M20" s="129"/>
    </row>
    <row r="21" spans="1:13" x14ac:dyDescent="0.25">
      <c r="A21" s="77" t="s">
        <v>323</v>
      </c>
      <c r="B21" s="129" t="s">
        <v>332</v>
      </c>
      <c r="C21" s="129"/>
      <c r="D21" s="129"/>
      <c r="E21" s="129"/>
      <c r="F21" s="129"/>
      <c r="G21" s="129"/>
      <c r="H21" s="129"/>
      <c r="I21" s="129"/>
      <c r="J21" s="129"/>
      <c r="K21" s="129"/>
      <c r="L21" s="129"/>
      <c r="M21" s="129"/>
    </row>
    <row r="23" spans="1:13" x14ac:dyDescent="0.25">
      <c r="B23" s="102" t="str">
        <f>HYPERLINK("#'Factor List'!A1","Back to Factor List")</f>
        <v>Back to Factor List</v>
      </c>
    </row>
    <row r="24" spans="1:13" x14ac:dyDescent="0.25">
      <c r="B24" s="102" t="s">
        <v>13</v>
      </c>
    </row>
    <row r="25" spans="1:13" x14ac:dyDescent="0.25">
      <c r="B25" s="102"/>
    </row>
    <row r="26" spans="1:13" x14ac:dyDescent="0.25">
      <c r="A26" s="103" t="s">
        <v>855</v>
      </c>
      <c r="B26" s="103">
        <v>54</v>
      </c>
      <c r="C26" s="103">
        <v>55</v>
      </c>
      <c r="D26" s="103">
        <v>56</v>
      </c>
      <c r="E26" s="103">
        <v>57</v>
      </c>
      <c r="F26" s="103">
        <v>58</v>
      </c>
      <c r="G26" s="103">
        <v>59</v>
      </c>
      <c r="H26" s="103">
        <v>60</v>
      </c>
      <c r="I26" s="103">
        <v>61</v>
      </c>
      <c r="J26" s="103">
        <v>62</v>
      </c>
      <c r="K26" s="103">
        <v>63</v>
      </c>
      <c r="L26" s="103">
        <v>64</v>
      </c>
      <c r="M26" s="103">
        <v>65</v>
      </c>
    </row>
    <row r="27" spans="1:13" x14ac:dyDescent="0.25">
      <c r="A27" s="104">
        <v>0</v>
      </c>
      <c r="B27" s="128">
        <v>0.60799999999999998</v>
      </c>
      <c r="C27" s="128">
        <v>0.63200000000000001</v>
      </c>
      <c r="D27" s="128">
        <v>0.65800000000000003</v>
      </c>
      <c r="E27" s="128">
        <v>0.68600000000000005</v>
      </c>
      <c r="F27" s="128">
        <v>0.71499999999999997</v>
      </c>
      <c r="G27" s="128">
        <v>0.747</v>
      </c>
      <c r="H27" s="128">
        <v>0.78300000000000003</v>
      </c>
      <c r="I27" s="128">
        <v>0.82</v>
      </c>
      <c r="J27" s="128">
        <v>0.86</v>
      </c>
      <c r="K27" s="128">
        <v>0.90300000000000002</v>
      </c>
      <c r="L27" s="128">
        <v>0.95</v>
      </c>
      <c r="M27" s="128">
        <v>1</v>
      </c>
    </row>
    <row r="28" spans="1:13" x14ac:dyDescent="0.25">
      <c r="A28" s="104">
        <v>1</v>
      </c>
      <c r="B28" s="128">
        <v>0.61</v>
      </c>
      <c r="C28" s="128">
        <v>0.63400000000000001</v>
      </c>
      <c r="D28" s="128">
        <v>0.66100000000000003</v>
      </c>
      <c r="E28" s="128">
        <v>0.68899999999999995</v>
      </c>
      <c r="F28" s="128">
        <v>0.71799999999999997</v>
      </c>
      <c r="G28" s="128">
        <v>0.75</v>
      </c>
      <c r="H28" s="128">
        <v>0.78600000000000003</v>
      </c>
      <c r="I28" s="128">
        <v>0.82299999999999995</v>
      </c>
      <c r="J28" s="128">
        <v>0.86299999999999999</v>
      </c>
      <c r="K28" s="128">
        <v>0.90700000000000003</v>
      </c>
      <c r="L28" s="128">
        <v>0.95499999999999996</v>
      </c>
      <c r="M28" s="128"/>
    </row>
    <row r="29" spans="1:13" x14ac:dyDescent="0.25">
      <c r="A29" s="104">
        <v>2</v>
      </c>
      <c r="B29" s="128">
        <v>0.61199999999999999</v>
      </c>
      <c r="C29" s="128">
        <v>0.63600000000000001</v>
      </c>
      <c r="D29" s="128">
        <v>0.66300000000000003</v>
      </c>
      <c r="E29" s="128">
        <v>0.69099999999999995</v>
      </c>
      <c r="F29" s="128">
        <v>0.72099999999999997</v>
      </c>
      <c r="G29" s="128">
        <v>0.753</v>
      </c>
      <c r="H29" s="128">
        <v>0.78900000000000003</v>
      </c>
      <c r="I29" s="128">
        <v>0.82599999999999996</v>
      </c>
      <c r="J29" s="128">
        <v>0.86699999999999999</v>
      </c>
      <c r="K29" s="128">
        <v>0.91100000000000003</v>
      </c>
      <c r="L29" s="128">
        <v>0.95899999999999996</v>
      </c>
      <c r="M29" s="128"/>
    </row>
    <row r="30" spans="1:13" x14ac:dyDescent="0.25">
      <c r="A30" s="104">
        <v>3</v>
      </c>
      <c r="B30" s="128">
        <v>0.61399999999999999</v>
      </c>
      <c r="C30" s="128">
        <v>0.63900000000000001</v>
      </c>
      <c r="D30" s="128">
        <v>0.66500000000000004</v>
      </c>
      <c r="E30" s="128">
        <v>0.69299999999999995</v>
      </c>
      <c r="F30" s="128">
        <v>0.72299999999999998</v>
      </c>
      <c r="G30" s="128">
        <v>0.75600000000000001</v>
      </c>
      <c r="H30" s="128">
        <v>0.79200000000000004</v>
      </c>
      <c r="I30" s="128">
        <v>0.83</v>
      </c>
      <c r="J30" s="128">
        <v>0.871</v>
      </c>
      <c r="K30" s="128">
        <v>0.91500000000000004</v>
      </c>
      <c r="L30" s="128">
        <v>0.96299999999999997</v>
      </c>
      <c r="M30" s="128"/>
    </row>
    <row r="31" spans="1:13" x14ac:dyDescent="0.25">
      <c r="A31" s="104">
        <v>4</v>
      </c>
      <c r="B31" s="128">
        <v>0.61599999999999999</v>
      </c>
      <c r="C31" s="128">
        <v>0.64100000000000001</v>
      </c>
      <c r="D31" s="128">
        <v>0.66800000000000004</v>
      </c>
      <c r="E31" s="128">
        <v>0.69599999999999995</v>
      </c>
      <c r="F31" s="128">
        <v>0.72599999999999998</v>
      </c>
      <c r="G31" s="128">
        <v>0.75900000000000001</v>
      </c>
      <c r="H31" s="128">
        <v>0.79500000000000004</v>
      </c>
      <c r="I31" s="128">
        <v>0.83299999999999996</v>
      </c>
      <c r="J31" s="128">
        <v>0.874</v>
      </c>
      <c r="K31" s="128">
        <v>0.91900000000000004</v>
      </c>
      <c r="L31" s="128">
        <v>0.96799999999999997</v>
      </c>
      <c r="M31" s="128"/>
    </row>
    <row r="32" spans="1:13" x14ac:dyDescent="0.25">
      <c r="A32" s="104">
        <v>5</v>
      </c>
      <c r="B32" s="128">
        <v>0.61799999999999999</v>
      </c>
      <c r="C32" s="128">
        <v>0.64300000000000002</v>
      </c>
      <c r="D32" s="128">
        <v>0.67</v>
      </c>
      <c r="E32" s="128">
        <v>0.69799999999999995</v>
      </c>
      <c r="F32" s="128">
        <v>0.72899999999999998</v>
      </c>
      <c r="G32" s="128">
        <v>0.76200000000000001</v>
      </c>
      <c r="H32" s="128">
        <v>0.79800000000000004</v>
      </c>
      <c r="I32" s="128">
        <v>0.83599999999999997</v>
      </c>
      <c r="J32" s="128">
        <v>0.878</v>
      </c>
      <c r="K32" s="128">
        <v>0.92300000000000004</v>
      </c>
      <c r="L32" s="128">
        <v>0.97199999999999998</v>
      </c>
      <c r="M32" s="128"/>
    </row>
    <row r="33" spans="1:13" x14ac:dyDescent="0.25">
      <c r="A33" s="104">
        <v>6</v>
      </c>
      <c r="B33" s="128">
        <v>0.62</v>
      </c>
      <c r="C33" s="128">
        <v>0.64500000000000002</v>
      </c>
      <c r="D33" s="128">
        <v>0.67200000000000004</v>
      </c>
      <c r="E33" s="128">
        <v>0.70099999999999996</v>
      </c>
      <c r="F33" s="128">
        <v>0.73099999999999998</v>
      </c>
      <c r="G33" s="128">
        <v>0.76500000000000001</v>
      </c>
      <c r="H33" s="128">
        <v>0.80100000000000005</v>
      </c>
      <c r="I33" s="128">
        <v>0.84</v>
      </c>
      <c r="J33" s="128">
        <v>0.88100000000000001</v>
      </c>
      <c r="K33" s="128">
        <v>0.92600000000000005</v>
      </c>
      <c r="L33" s="128">
        <v>0.97599999999999998</v>
      </c>
      <c r="M33" s="128"/>
    </row>
    <row r="34" spans="1:13" x14ac:dyDescent="0.25">
      <c r="A34" s="104">
        <v>7</v>
      </c>
      <c r="B34" s="128">
        <v>0.622</v>
      </c>
      <c r="C34" s="128">
        <v>0.64700000000000002</v>
      </c>
      <c r="D34" s="128">
        <v>0.67500000000000004</v>
      </c>
      <c r="E34" s="128">
        <v>0.70299999999999996</v>
      </c>
      <c r="F34" s="128">
        <v>0.73399999999999999</v>
      </c>
      <c r="G34" s="128">
        <v>0.76800000000000002</v>
      </c>
      <c r="H34" s="128">
        <v>0.80400000000000005</v>
      </c>
      <c r="I34" s="128">
        <v>0.84299999999999997</v>
      </c>
      <c r="J34" s="128">
        <v>0.88500000000000001</v>
      </c>
      <c r="K34" s="128">
        <v>0.93</v>
      </c>
      <c r="L34" s="128">
        <v>0.98099999999999998</v>
      </c>
      <c r="M34" s="128"/>
    </row>
    <row r="35" spans="1:13" x14ac:dyDescent="0.25">
      <c r="A35" s="104">
        <v>8</v>
      </c>
      <c r="B35" s="128">
        <v>0.624</v>
      </c>
      <c r="C35" s="128">
        <v>0.64900000000000002</v>
      </c>
      <c r="D35" s="128">
        <v>0.67700000000000005</v>
      </c>
      <c r="E35" s="128">
        <v>0.70599999999999996</v>
      </c>
      <c r="F35" s="128">
        <v>0.73699999999999999</v>
      </c>
      <c r="G35" s="128">
        <v>0.77100000000000002</v>
      </c>
      <c r="H35" s="128">
        <v>0.80700000000000005</v>
      </c>
      <c r="I35" s="128">
        <v>0.84599999999999997</v>
      </c>
      <c r="J35" s="128">
        <v>0.88800000000000001</v>
      </c>
      <c r="K35" s="128">
        <v>0.93400000000000005</v>
      </c>
      <c r="L35" s="128">
        <v>0.98499999999999999</v>
      </c>
      <c r="M35" s="128"/>
    </row>
    <row r="36" spans="1:13" x14ac:dyDescent="0.25">
      <c r="A36" s="104">
        <v>9</v>
      </c>
      <c r="B36" s="128">
        <v>0.626</v>
      </c>
      <c r="C36" s="128">
        <v>0.65200000000000002</v>
      </c>
      <c r="D36" s="128">
        <v>0.67900000000000005</v>
      </c>
      <c r="E36" s="128">
        <v>0.70799999999999996</v>
      </c>
      <c r="F36" s="128">
        <v>0.73899999999999999</v>
      </c>
      <c r="G36" s="128">
        <v>0.77400000000000002</v>
      </c>
      <c r="H36" s="128">
        <v>0.81</v>
      </c>
      <c r="I36" s="128">
        <v>0.85</v>
      </c>
      <c r="J36" s="128">
        <v>0.89200000000000002</v>
      </c>
      <c r="K36" s="128">
        <v>0.93799999999999994</v>
      </c>
      <c r="L36" s="128">
        <v>0.98899999999999999</v>
      </c>
      <c r="M36" s="128"/>
    </row>
    <row r="37" spans="1:13" x14ac:dyDescent="0.25">
      <c r="A37" s="104">
        <v>10</v>
      </c>
      <c r="B37" s="128">
        <v>0.628</v>
      </c>
      <c r="C37" s="128">
        <v>0.65400000000000003</v>
      </c>
      <c r="D37" s="128">
        <v>0.68200000000000005</v>
      </c>
      <c r="E37" s="128">
        <v>0.71</v>
      </c>
      <c r="F37" s="128">
        <v>0.74199999999999999</v>
      </c>
      <c r="G37" s="128">
        <v>0.77700000000000002</v>
      </c>
      <c r="H37" s="128">
        <v>0.81299999999999994</v>
      </c>
      <c r="I37" s="128">
        <v>0.85299999999999998</v>
      </c>
      <c r="J37" s="128">
        <v>0.89600000000000002</v>
      </c>
      <c r="K37" s="128">
        <v>0.94199999999999995</v>
      </c>
      <c r="L37" s="128">
        <v>0.99399999999999999</v>
      </c>
      <c r="M37" s="128"/>
    </row>
    <row r="38" spans="1:13" x14ac:dyDescent="0.25">
      <c r="A38" s="104">
        <v>11</v>
      </c>
      <c r="B38" s="128">
        <v>0.63</v>
      </c>
      <c r="C38" s="128">
        <v>0.65600000000000003</v>
      </c>
      <c r="D38" s="128">
        <v>0.68400000000000005</v>
      </c>
      <c r="E38" s="128">
        <v>0.71299999999999997</v>
      </c>
      <c r="F38" s="128">
        <v>0.745</v>
      </c>
      <c r="G38" s="128">
        <v>0.78</v>
      </c>
      <c r="H38" s="128">
        <v>0.81599999999999995</v>
      </c>
      <c r="I38" s="128">
        <v>0.85599999999999998</v>
      </c>
      <c r="J38" s="128">
        <v>0.89900000000000002</v>
      </c>
      <c r="K38" s="128">
        <v>0.94599999999999995</v>
      </c>
      <c r="L38" s="128">
        <v>0.998</v>
      </c>
      <c r="M38" s="128"/>
    </row>
    <row r="39" spans="1:13" x14ac:dyDescent="0.25">
      <c r="A39"/>
      <c r="B39"/>
    </row>
    <row r="40" spans="1:13" x14ac:dyDescent="0.25">
      <c r="A40"/>
      <c r="B40"/>
    </row>
    <row r="41" spans="1:13" x14ac:dyDescent="0.25">
      <c r="A41"/>
      <c r="B41"/>
    </row>
    <row r="42" spans="1:13" x14ac:dyDescent="0.25">
      <c r="A42"/>
      <c r="B42"/>
    </row>
    <row r="43" spans="1:13" x14ac:dyDescent="0.25">
      <c r="A43"/>
      <c r="B43"/>
    </row>
    <row r="44" spans="1:13" ht="39.6" customHeight="1" x14ac:dyDescent="0.25">
      <c r="A44"/>
      <c r="B44"/>
    </row>
    <row r="45" spans="1:13" x14ac:dyDescent="0.25">
      <c r="A45"/>
      <c r="B45"/>
    </row>
    <row r="46" spans="1:13" ht="27.6" customHeight="1"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p/wNcO9t1YKK5y061SnTwnVht/nWpGa3pILvlbMOb5zoBWMTu+jPW2aB2o8954bAOCgfObO1HFqG2y2C/g94rw==" saltValue="LDzlEo5jCpkEFEOZI8OGGw==" spinCount="100000" sheet="1" objects="1" scenarios="1"/>
  <conditionalFormatting sqref="A6:A21">
    <cfRule type="expression" dxfId="1121" priority="1" stopIfTrue="1">
      <formula>MOD(ROW(),2)=0</formula>
    </cfRule>
    <cfRule type="expression" dxfId="1120" priority="2" stopIfTrue="1">
      <formula>MOD(ROW(),2)&lt;&gt;0</formula>
    </cfRule>
  </conditionalFormatting>
  <conditionalFormatting sqref="A26:A38">
    <cfRule type="expression" dxfId="1119" priority="9" stopIfTrue="1">
      <formula>MOD(ROW(),2)=0</formula>
    </cfRule>
    <cfRule type="expression" dxfId="1118" priority="10" stopIfTrue="1">
      <formula>MOD(ROW(),2)&lt;&gt;0</formula>
    </cfRule>
  </conditionalFormatting>
  <conditionalFormatting sqref="B18:B21">
    <cfRule type="expression" dxfId="1117" priority="5" stopIfTrue="1">
      <formula>MOD(ROW(),2)=0</formula>
    </cfRule>
    <cfRule type="expression" dxfId="1116" priority="6" stopIfTrue="1">
      <formula>MOD(ROW(),2)&lt;&gt;0</formula>
    </cfRule>
  </conditionalFormatting>
  <conditionalFormatting sqref="B6:M21">
    <cfRule type="expression" dxfId="1115" priority="27" stopIfTrue="1">
      <formula>MOD(ROW(),2)=0</formula>
    </cfRule>
    <cfRule type="expression" dxfId="1114" priority="28" stopIfTrue="1">
      <formula>MOD(ROW(),2)&lt;&gt;0</formula>
    </cfRule>
  </conditionalFormatting>
  <conditionalFormatting sqref="B26:M38">
    <cfRule type="expression" dxfId="1113" priority="11" stopIfTrue="1">
      <formula>MOD(ROW(),2)=0</formula>
    </cfRule>
    <cfRule type="expression" dxfId="1112" priority="12" stopIfTrue="1">
      <formula>MOD(ROW(),2)&lt;&gt;0</formula>
    </cfRule>
  </conditionalFormatting>
  <hyperlinks>
    <hyperlink ref="B24" location="Sheet1!A1" display="Assumptions" xr:uid="{39FE95C4-7AC4-4097-886F-86169B52B06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9"/>
  <dimension ref="A1:N65"/>
  <sheetViews>
    <sheetView showGridLines="0" zoomScale="85" zoomScaleNormal="85" workbookViewId="0">
      <selection activeCell="A4" sqref="A4"/>
    </sheetView>
  </sheetViews>
  <sheetFormatPr defaultColWidth="10" defaultRowHeight="13.2" x14ac:dyDescent="0.25"/>
  <cols>
    <col min="1" max="1" width="31.5546875" style="27" customWidth="1"/>
    <col min="2" max="14" width="22.5546875" style="27" customWidth="1"/>
    <col min="15" max="16384" width="10" style="27"/>
  </cols>
  <sheetData>
    <row r="1" spans="1:14" ht="21" x14ac:dyDescent="0.4">
      <c r="A1" s="39" t="s">
        <v>0</v>
      </c>
      <c r="B1" s="40"/>
      <c r="C1" s="40"/>
      <c r="D1" s="40"/>
      <c r="E1" s="40"/>
      <c r="F1" s="40"/>
      <c r="G1" s="40"/>
      <c r="H1" s="40"/>
      <c r="I1" s="40"/>
    </row>
    <row r="2" spans="1:14"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4" ht="15.6" x14ac:dyDescent="0.3">
      <c r="A3" s="43" t="str">
        <f>TABLE_FACTOR_TYPE_1&amp;" - x-"&amp;TABLE_SERIES_NUMBER_1</f>
        <v>ERF - x-403</v>
      </c>
      <c r="B3" s="42"/>
      <c r="C3" s="42"/>
      <c r="D3" s="42"/>
      <c r="E3" s="42"/>
      <c r="F3" s="42"/>
      <c r="G3" s="42"/>
      <c r="H3" s="42"/>
      <c r="I3" s="42"/>
    </row>
    <row r="4" spans="1:14" x14ac:dyDescent="0.25">
      <c r="A4" s="44"/>
    </row>
    <row r="6" spans="1:14" x14ac:dyDescent="0.25">
      <c r="A6" s="76" t="s">
        <v>290</v>
      </c>
      <c r="B6" s="129" t="s">
        <v>291</v>
      </c>
      <c r="C6" s="129"/>
      <c r="D6" s="129"/>
      <c r="E6" s="129"/>
      <c r="F6" s="129"/>
      <c r="G6" s="129"/>
      <c r="H6" s="129"/>
      <c r="I6" s="129"/>
      <c r="J6" s="129"/>
      <c r="K6" s="129"/>
      <c r="L6" s="129"/>
      <c r="M6" s="129"/>
      <c r="N6" s="129"/>
    </row>
    <row r="7" spans="1:14" x14ac:dyDescent="0.25">
      <c r="A7" s="77" t="s">
        <v>804</v>
      </c>
      <c r="B7" s="129" t="s">
        <v>324</v>
      </c>
      <c r="C7" s="129"/>
      <c r="D7" s="129"/>
      <c r="E7" s="129"/>
      <c r="F7" s="129"/>
      <c r="G7" s="129"/>
      <c r="H7" s="129"/>
      <c r="I7" s="129"/>
      <c r="J7" s="129"/>
      <c r="K7" s="129"/>
      <c r="L7" s="129"/>
      <c r="M7" s="129"/>
      <c r="N7" s="129"/>
    </row>
    <row r="8" spans="1:14" x14ac:dyDescent="0.25">
      <c r="A8" s="77" t="s">
        <v>805</v>
      </c>
      <c r="B8" s="129" t="s">
        <v>85</v>
      </c>
      <c r="C8" s="129"/>
      <c r="D8" s="129"/>
      <c r="E8" s="129"/>
      <c r="F8" s="129"/>
      <c r="G8" s="129"/>
      <c r="H8" s="129"/>
      <c r="I8" s="129"/>
      <c r="J8" s="129"/>
      <c r="K8" s="129"/>
      <c r="L8" s="129"/>
      <c r="M8" s="129"/>
      <c r="N8" s="129"/>
    </row>
    <row r="9" spans="1:14" x14ac:dyDescent="0.25">
      <c r="A9" s="77" t="s">
        <v>296</v>
      </c>
      <c r="B9" s="129" t="s">
        <v>418</v>
      </c>
      <c r="C9" s="129"/>
      <c r="D9" s="129"/>
      <c r="E9" s="129"/>
      <c r="F9" s="129"/>
      <c r="G9" s="129"/>
      <c r="H9" s="129"/>
      <c r="I9" s="129"/>
      <c r="J9" s="129"/>
      <c r="K9" s="129"/>
      <c r="L9" s="129"/>
      <c r="M9" s="129"/>
      <c r="N9" s="129"/>
    </row>
    <row r="10" spans="1:14" x14ac:dyDescent="0.25">
      <c r="A10" s="77" t="s">
        <v>6</v>
      </c>
      <c r="B10" s="129" t="s">
        <v>426</v>
      </c>
      <c r="C10" s="129"/>
      <c r="D10" s="129"/>
      <c r="E10" s="129"/>
      <c r="F10" s="129"/>
      <c r="G10" s="129"/>
      <c r="H10" s="129"/>
      <c r="I10" s="129"/>
      <c r="J10" s="129"/>
      <c r="K10" s="129"/>
      <c r="L10" s="129"/>
      <c r="M10" s="129"/>
      <c r="N10" s="129"/>
    </row>
    <row r="11" spans="1:14" x14ac:dyDescent="0.25">
      <c r="A11" s="77" t="s">
        <v>299</v>
      </c>
      <c r="B11" s="129" t="s">
        <v>364</v>
      </c>
      <c r="C11" s="129"/>
      <c r="D11" s="129"/>
      <c r="E11" s="129"/>
      <c r="F11" s="129"/>
      <c r="G11" s="129"/>
      <c r="H11" s="129"/>
      <c r="I11" s="129"/>
      <c r="J11" s="129"/>
      <c r="K11" s="129"/>
      <c r="L11" s="129"/>
      <c r="M11" s="129"/>
      <c r="N11" s="129"/>
    </row>
    <row r="12" spans="1:14" x14ac:dyDescent="0.25">
      <c r="A12" s="77" t="s">
        <v>301</v>
      </c>
      <c r="B12" s="129" t="s">
        <v>420</v>
      </c>
      <c r="C12" s="129"/>
      <c r="D12" s="129"/>
      <c r="E12" s="129"/>
      <c r="F12" s="129"/>
      <c r="G12" s="129"/>
      <c r="H12" s="129"/>
      <c r="I12" s="129"/>
      <c r="J12" s="129"/>
      <c r="K12" s="129"/>
      <c r="L12" s="129"/>
      <c r="M12" s="129"/>
      <c r="N12" s="129"/>
    </row>
    <row r="13" spans="1:14" x14ac:dyDescent="0.25">
      <c r="A13" s="77" t="s">
        <v>806</v>
      </c>
      <c r="B13" s="129">
        <v>0</v>
      </c>
      <c r="C13" s="129"/>
      <c r="D13" s="129"/>
      <c r="E13" s="129"/>
      <c r="F13" s="129"/>
      <c r="G13" s="129"/>
      <c r="H13" s="129"/>
      <c r="I13" s="129"/>
      <c r="J13" s="129"/>
      <c r="K13" s="129"/>
      <c r="L13" s="129"/>
      <c r="M13" s="129"/>
      <c r="N13" s="129"/>
    </row>
    <row r="14" spans="1:14" x14ac:dyDescent="0.25">
      <c r="A14" s="77" t="s">
        <v>305</v>
      </c>
      <c r="B14" s="129">
        <v>403</v>
      </c>
      <c r="C14" s="129"/>
      <c r="D14" s="129"/>
      <c r="E14" s="129"/>
      <c r="F14" s="129"/>
      <c r="G14" s="129"/>
      <c r="H14" s="129"/>
      <c r="I14" s="129"/>
      <c r="J14" s="129"/>
      <c r="K14" s="129"/>
      <c r="L14" s="129"/>
      <c r="M14" s="129"/>
      <c r="N14" s="129"/>
    </row>
    <row r="15" spans="1:14" x14ac:dyDescent="0.25">
      <c r="A15" s="77" t="s">
        <v>307</v>
      </c>
      <c r="B15" s="129" t="s">
        <v>427</v>
      </c>
      <c r="C15" s="129"/>
      <c r="D15" s="129"/>
      <c r="E15" s="129"/>
      <c r="F15" s="129"/>
      <c r="G15" s="129"/>
      <c r="H15" s="129"/>
      <c r="I15" s="129"/>
      <c r="J15" s="129"/>
      <c r="K15" s="129"/>
      <c r="L15" s="129"/>
      <c r="M15" s="129"/>
      <c r="N15" s="129"/>
    </row>
    <row r="16" spans="1:14" x14ac:dyDescent="0.25">
      <c r="A16" s="77" t="s">
        <v>825</v>
      </c>
      <c r="B16" s="129" t="s">
        <v>428</v>
      </c>
      <c r="C16" s="129"/>
      <c r="D16" s="129"/>
      <c r="E16" s="129"/>
      <c r="F16" s="129"/>
      <c r="G16" s="129"/>
      <c r="H16" s="129"/>
      <c r="I16" s="129"/>
      <c r="J16" s="129"/>
      <c r="K16" s="129"/>
      <c r="L16" s="129"/>
      <c r="M16" s="129"/>
      <c r="N16" s="129"/>
    </row>
    <row r="17" spans="1:14" x14ac:dyDescent="0.25">
      <c r="A17" s="77" t="s">
        <v>803</v>
      </c>
      <c r="B17" s="129"/>
      <c r="C17" s="129"/>
      <c r="D17" s="129"/>
      <c r="E17" s="129"/>
      <c r="F17" s="129"/>
      <c r="G17" s="129"/>
      <c r="H17" s="129"/>
      <c r="I17" s="129"/>
      <c r="J17" s="129"/>
      <c r="K17" s="129"/>
      <c r="L17" s="129"/>
      <c r="M17" s="129"/>
      <c r="N17" s="129"/>
    </row>
    <row r="18" spans="1:14" x14ac:dyDescent="0.25">
      <c r="A18" s="77" t="s">
        <v>313</v>
      </c>
      <c r="B18" s="187">
        <v>45106</v>
      </c>
      <c r="C18" s="129"/>
      <c r="D18" s="129"/>
      <c r="E18" s="129"/>
      <c r="F18" s="129"/>
      <c r="G18" s="129"/>
      <c r="H18" s="129"/>
      <c r="I18" s="129"/>
      <c r="J18" s="129"/>
      <c r="K18" s="129"/>
      <c r="L18" s="129"/>
      <c r="M18" s="129"/>
      <c r="N18" s="129"/>
    </row>
    <row r="19" spans="1:14" x14ac:dyDescent="0.25">
      <c r="A19" s="77" t="s">
        <v>315</v>
      </c>
      <c r="B19" s="187"/>
      <c r="C19" s="129"/>
      <c r="D19" s="129"/>
      <c r="E19" s="129"/>
      <c r="F19" s="129"/>
      <c r="G19" s="129"/>
      <c r="H19" s="129"/>
      <c r="I19" s="129"/>
      <c r="J19" s="129"/>
      <c r="K19" s="129"/>
      <c r="L19" s="129"/>
      <c r="M19" s="129"/>
      <c r="N19" s="129"/>
    </row>
    <row r="20" spans="1:14" x14ac:dyDescent="0.25">
      <c r="A20" s="77" t="s">
        <v>317</v>
      </c>
      <c r="B20" s="129" t="s">
        <v>331</v>
      </c>
      <c r="C20" s="129"/>
      <c r="D20" s="129"/>
      <c r="E20" s="129"/>
      <c r="F20" s="129"/>
      <c r="G20" s="129"/>
      <c r="H20" s="129"/>
      <c r="I20" s="129"/>
      <c r="J20" s="129"/>
      <c r="K20" s="129"/>
      <c r="L20" s="129"/>
      <c r="M20" s="129"/>
      <c r="N20" s="129"/>
    </row>
    <row r="21" spans="1:14" x14ac:dyDescent="0.25">
      <c r="A21" s="77" t="s">
        <v>323</v>
      </c>
      <c r="B21" s="129" t="s">
        <v>332</v>
      </c>
      <c r="C21" s="129"/>
      <c r="D21" s="129"/>
      <c r="E21" s="129"/>
      <c r="F21" s="129"/>
      <c r="G21" s="129"/>
      <c r="H21" s="129"/>
      <c r="I21" s="129"/>
      <c r="J21" s="129"/>
      <c r="K21" s="129"/>
      <c r="L21" s="129"/>
      <c r="M21" s="129"/>
      <c r="N21" s="129"/>
    </row>
    <row r="23" spans="1:14" x14ac:dyDescent="0.25">
      <c r="B23" s="102" t="str">
        <f>HYPERLINK("#'Factor List'!A1","Back to Factor List")</f>
        <v>Back to Factor List</v>
      </c>
    </row>
    <row r="24" spans="1:14" x14ac:dyDescent="0.25">
      <c r="B24" s="102" t="s">
        <v>13</v>
      </c>
    </row>
    <row r="25" spans="1:14" x14ac:dyDescent="0.25">
      <c r="B25" s="102"/>
    </row>
    <row r="26" spans="1:14" x14ac:dyDescent="0.25">
      <c r="A26" s="103" t="s">
        <v>855</v>
      </c>
      <c r="B26" s="103">
        <v>54</v>
      </c>
      <c r="C26" s="103">
        <v>55</v>
      </c>
      <c r="D26" s="103">
        <v>56</v>
      </c>
      <c r="E26" s="103">
        <v>57</v>
      </c>
      <c r="F26" s="103">
        <v>58</v>
      </c>
      <c r="G26" s="103">
        <v>59</v>
      </c>
      <c r="H26" s="103">
        <v>60</v>
      </c>
      <c r="I26" s="103">
        <v>61</v>
      </c>
      <c r="J26" s="103">
        <v>62</v>
      </c>
      <c r="K26" s="103">
        <v>63</v>
      </c>
      <c r="L26" s="103">
        <v>64</v>
      </c>
      <c r="M26" s="103">
        <v>65</v>
      </c>
      <c r="N26" s="103">
        <v>66</v>
      </c>
    </row>
    <row r="27" spans="1:14" x14ac:dyDescent="0.25">
      <c r="A27" s="104">
        <v>0</v>
      </c>
      <c r="B27" s="128">
        <v>0.57699999999999996</v>
      </c>
      <c r="C27" s="128">
        <v>0.6</v>
      </c>
      <c r="D27" s="128">
        <v>0.624</v>
      </c>
      <c r="E27" s="128">
        <v>0.65</v>
      </c>
      <c r="F27" s="128">
        <v>0.67800000000000005</v>
      </c>
      <c r="G27" s="128">
        <v>0.70799999999999996</v>
      </c>
      <c r="H27" s="128">
        <v>0.74099999999999999</v>
      </c>
      <c r="I27" s="128">
        <v>0.77600000000000002</v>
      </c>
      <c r="J27" s="128">
        <v>0.81399999999999995</v>
      </c>
      <c r="K27" s="128">
        <v>0.85499999999999998</v>
      </c>
      <c r="L27" s="128">
        <v>0.9</v>
      </c>
      <c r="M27" s="128">
        <v>0.94899999999999995</v>
      </c>
      <c r="N27" s="128">
        <v>1</v>
      </c>
    </row>
    <row r="28" spans="1:14" x14ac:dyDescent="0.25">
      <c r="A28" s="104">
        <v>1</v>
      </c>
      <c r="B28" s="128">
        <v>0.57899999999999996</v>
      </c>
      <c r="C28" s="128">
        <v>0.60199999999999998</v>
      </c>
      <c r="D28" s="128">
        <v>0.626</v>
      </c>
      <c r="E28" s="128">
        <v>0.65300000000000002</v>
      </c>
      <c r="F28" s="128">
        <v>0.68100000000000005</v>
      </c>
      <c r="G28" s="128">
        <v>0.71099999999999997</v>
      </c>
      <c r="H28" s="128">
        <v>0.74399999999999999</v>
      </c>
      <c r="I28" s="128">
        <v>0.77900000000000003</v>
      </c>
      <c r="J28" s="128">
        <v>0.81699999999999995</v>
      </c>
      <c r="K28" s="128">
        <v>0.85899999999999999</v>
      </c>
      <c r="L28" s="128">
        <v>0.90400000000000003</v>
      </c>
      <c r="M28" s="128">
        <v>0.95399999999999996</v>
      </c>
      <c r="N28" s="128"/>
    </row>
    <row r="29" spans="1:14" x14ac:dyDescent="0.25">
      <c r="A29" s="104">
        <v>2</v>
      </c>
      <c r="B29" s="128">
        <v>0.58099999999999996</v>
      </c>
      <c r="C29" s="128">
        <v>0.60399999999999998</v>
      </c>
      <c r="D29" s="128">
        <v>0.628</v>
      </c>
      <c r="E29" s="128">
        <v>0.65500000000000003</v>
      </c>
      <c r="F29" s="128">
        <v>0.68300000000000005</v>
      </c>
      <c r="G29" s="128">
        <v>0.71399999999999997</v>
      </c>
      <c r="H29" s="128">
        <v>0.747</v>
      </c>
      <c r="I29" s="128">
        <v>0.78200000000000003</v>
      </c>
      <c r="J29" s="128">
        <v>0.82099999999999995</v>
      </c>
      <c r="K29" s="128">
        <v>0.86199999999999999</v>
      </c>
      <c r="L29" s="128">
        <v>0.90800000000000003</v>
      </c>
      <c r="M29" s="128">
        <v>0.95799999999999996</v>
      </c>
      <c r="N29" s="128"/>
    </row>
    <row r="30" spans="1:14" x14ac:dyDescent="0.25">
      <c r="A30" s="104">
        <v>3</v>
      </c>
      <c r="B30" s="128">
        <v>0.58299999999999996</v>
      </c>
      <c r="C30" s="128">
        <v>0.60599999999999998</v>
      </c>
      <c r="D30" s="128">
        <v>0.63100000000000001</v>
      </c>
      <c r="E30" s="128">
        <v>0.65700000000000003</v>
      </c>
      <c r="F30" s="128">
        <v>0.68600000000000005</v>
      </c>
      <c r="G30" s="128">
        <v>0.71699999999999997</v>
      </c>
      <c r="H30" s="128">
        <v>0.75</v>
      </c>
      <c r="I30" s="128">
        <v>0.78500000000000003</v>
      </c>
      <c r="J30" s="128">
        <v>0.82399999999999995</v>
      </c>
      <c r="K30" s="128">
        <v>0.86599999999999999</v>
      </c>
      <c r="L30" s="128">
        <v>0.91200000000000003</v>
      </c>
      <c r="M30" s="128">
        <v>0.96199999999999997</v>
      </c>
      <c r="N30" s="128"/>
    </row>
    <row r="31" spans="1:14" x14ac:dyDescent="0.25">
      <c r="A31" s="104">
        <v>4</v>
      </c>
      <c r="B31" s="128">
        <v>0.58499999999999996</v>
      </c>
      <c r="C31" s="128">
        <v>0.60799999999999998</v>
      </c>
      <c r="D31" s="128">
        <v>0.63300000000000001</v>
      </c>
      <c r="E31" s="128">
        <v>0.66</v>
      </c>
      <c r="F31" s="128">
        <v>0.68799999999999994</v>
      </c>
      <c r="G31" s="128">
        <v>0.71899999999999997</v>
      </c>
      <c r="H31" s="128">
        <v>0.753</v>
      </c>
      <c r="I31" s="128">
        <v>0.78800000000000003</v>
      </c>
      <c r="J31" s="128">
        <v>0.82699999999999996</v>
      </c>
      <c r="K31" s="128">
        <v>0.87</v>
      </c>
      <c r="L31" s="128">
        <v>0.91600000000000004</v>
      </c>
      <c r="M31" s="128">
        <v>0.96699999999999997</v>
      </c>
      <c r="N31" s="128"/>
    </row>
    <row r="32" spans="1:14" x14ac:dyDescent="0.25">
      <c r="A32" s="104">
        <v>5</v>
      </c>
      <c r="B32" s="128">
        <v>0.58699999999999997</v>
      </c>
      <c r="C32" s="128">
        <v>0.61</v>
      </c>
      <c r="D32" s="128">
        <v>0.63500000000000001</v>
      </c>
      <c r="E32" s="128">
        <v>0.66200000000000003</v>
      </c>
      <c r="F32" s="128">
        <v>0.69099999999999995</v>
      </c>
      <c r="G32" s="128">
        <v>0.72199999999999998</v>
      </c>
      <c r="H32" s="128">
        <v>0.75600000000000001</v>
      </c>
      <c r="I32" s="128">
        <v>0.79100000000000004</v>
      </c>
      <c r="J32" s="128">
        <v>0.83099999999999996</v>
      </c>
      <c r="K32" s="128">
        <v>0.874</v>
      </c>
      <c r="L32" s="128">
        <v>0.92</v>
      </c>
      <c r="M32" s="128">
        <v>0.97099999999999997</v>
      </c>
      <c r="N32" s="128"/>
    </row>
    <row r="33" spans="1:14" x14ac:dyDescent="0.25">
      <c r="A33" s="104">
        <v>6</v>
      </c>
      <c r="B33" s="128">
        <v>0.58799999999999997</v>
      </c>
      <c r="C33" s="128">
        <v>0.61199999999999999</v>
      </c>
      <c r="D33" s="128">
        <v>0.63700000000000001</v>
      </c>
      <c r="E33" s="128">
        <v>0.66400000000000003</v>
      </c>
      <c r="F33" s="128">
        <v>0.69299999999999995</v>
      </c>
      <c r="G33" s="128">
        <v>0.72499999999999998</v>
      </c>
      <c r="H33" s="128">
        <v>0.75800000000000001</v>
      </c>
      <c r="I33" s="128">
        <v>0.79500000000000004</v>
      </c>
      <c r="J33" s="128">
        <v>0.83399999999999996</v>
      </c>
      <c r="K33" s="128">
        <v>0.877</v>
      </c>
      <c r="L33" s="128">
        <v>0.92500000000000004</v>
      </c>
      <c r="M33" s="128">
        <v>0.97599999999999998</v>
      </c>
      <c r="N33" s="128"/>
    </row>
    <row r="34" spans="1:14" x14ac:dyDescent="0.25">
      <c r="A34" s="104">
        <v>7</v>
      </c>
      <c r="B34" s="128">
        <v>0.59</v>
      </c>
      <c r="C34" s="128">
        <v>0.61399999999999999</v>
      </c>
      <c r="D34" s="128">
        <v>0.63900000000000001</v>
      </c>
      <c r="E34" s="128">
        <v>0.66700000000000004</v>
      </c>
      <c r="F34" s="128">
        <v>0.69599999999999995</v>
      </c>
      <c r="G34" s="128">
        <v>0.72799999999999998</v>
      </c>
      <c r="H34" s="128">
        <v>0.76100000000000001</v>
      </c>
      <c r="I34" s="128">
        <v>0.79800000000000004</v>
      </c>
      <c r="J34" s="128">
        <v>0.83799999999999997</v>
      </c>
      <c r="K34" s="128">
        <v>0.88100000000000001</v>
      </c>
      <c r="L34" s="128">
        <v>0.92900000000000005</v>
      </c>
      <c r="M34" s="128">
        <v>0.98</v>
      </c>
      <c r="N34" s="128"/>
    </row>
    <row r="35" spans="1:14" x14ac:dyDescent="0.25">
      <c r="A35" s="104">
        <v>8</v>
      </c>
      <c r="B35" s="128">
        <v>0.59199999999999997</v>
      </c>
      <c r="C35" s="128">
        <v>0.61599999999999999</v>
      </c>
      <c r="D35" s="128">
        <v>0.64100000000000001</v>
      </c>
      <c r="E35" s="128">
        <v>0.66900000000000004</v>
      </c>
      <c r="F35" s="128">
        <v>0.69799999999999995</v>
      </c>
      <c r="G35" s="128">
        <v>0.73</v>
      </c>
      <c r="H35" s="128">
        <v>0.76400000000000001</v>
      </c>
      <c r="I35" s="128">
        <v>0.80100000000000005</v>
      </c>
      <c r="J35" s="128">
        <v>0.84099999999999997</v>
      </c>
      <c r="K35" s="128">
        <v>0.88500000000000001</v>
      </c>
      <c r="L35" s="128">
        <v>0.93300000000000005</v>
      </c>
      <c r="M35" s="128">
        <v>0.98499999999999999</v>
      </c>
      <c r="N35" s="128"/>
    </row>
    <row r="36" spans="1:14" x14ac:dyDescent="0.25">
      <c r="A36" s="104">
        <v>9</v>
      </c>
      <c r="B36" s="128">
        <v>0.59399999999999997</v>
      </c>
      <c r="C36" s="128">
        <v>0.61799999999999999</v>
      </c>
      <c r="D36" s="128">
        <v>0.64400000000000002</v>
      </c>
      <c r="E36" s="128">
        <v>0.67100000000000004</v>
      </c>
      <c r="F36" s="128">
        <v>0.70099999999999996</v>
      </c>
      <c r="G36" s="128">
        <v>0.73299999999999998</v>
      </c>
      <c r="H36" s="128">
        <v>0.76700000000000002</v>
      </c>
      <c r="I36" s="128">
        <v>0.80400000000000005</v>
      </c>
      <c r="J36" s="128">
        <v>0.84399999999999997</v>
      </c>
      <c r="K36" s="128">
        <v>0.88900000000000001</v>
      </c>
      <c r="L36" s="128">
        <v>0.93700000000000006</v>
      </c>
      <c r="M36" s="128">
        <v>0.98899999999999999</v>
      </c>
      <c r="N36" s="128"/>
    </row>
    <row r="37" spans="1:14" x14ac:dyDescent="0.25">
      <c r="A37" s="104">
        <v>10</v>
      </c>
      <c r="B37" s="128">
        <v>0.59599999999999997</v>
      </c>
      <c r="C37" s="128">
        <v>0.62</v>
      </c>
      <c r="D37" s="128">
        <v>0.64600000000000002</v>
      </c>
      <c r="E37" s="128">
        <v>0.67400000000000004</v>
      </c>
      <c r="F37" s="128">
        <v>0.70299999999999996</v>
      </c>
      <c r="G37" s="128">
        <v>0.73599999999999999</v>
      </c>
      <c r="H37" s="128">
        <v>0.77</v>
      </c>
      <c r="I37" s="128">
        <v>0.80700000000000005</v>
      </c>
      <c r="J37" s="128">
        <v>0.84799999999999998</v>
      </c>
      <c r="K37" s="128">
        <v>0.89200000000000002</v>
      </c>
      <c r="L37" s="128">
        <v>0.94099999999999995</v>
      </c>
      <c r="M37" s="128">
        <v>0.99299999999999999</v>
      </c>
      <c r="N37" s="128"/>
    </row>
    <row r="38" spans="1:14" x14ac:dyDescent="0.25">
      <c r="A38" s="104">
        <v>11</v>
      </c>
      <c r="B38" s="128">
        <v>0.59799999999999998</v>
      </c>
      <c r="C38" s="128">
        <v>0.622</v>
      </c>
      <c r="D38" s="128">
        <v>0.64800000000000002</v>
      </c>
      <c r="E38" s="128">
        <v>0.67600000000000005</v>
      </c>
      <c r="F38" s="128">
        <v>0.70599999999999996</v>
      </c>
      <c r="G38" s="128">
        <v>0.73899999999999999</v>
      </c>
      <c r="H38" s="128">
        <v>0.77300000000000002</v>
      </c>
      <c r="I38" s="128">
        <v>0.81</v>
      </c>
      <c r="J38" s="128">
        <v>0.85099999999999998</v>
      </c>
      <c r="K38" s="128">
        <v>0.89600000000000002</v>
      </c>
      <c r="L38" s="128">
        <v>0.94499999999999995</v>
      </c>
      <c r="M38" s="128">
        <v>0.998</v>
      </c>
      <c r="N38" s="128"/>
    </row>
    <row r="39" spans="1:14" x14ac:dyDescent="0.25">
      <c r="A39"/>
      <c r="B39"/>
    </row>
    <row r="40" spans="1:14" x14ac:dyDescent="0.25">
      <c r="A40"/>
      <c r="B40"/>
    </row>
    <row r="41" spans="1:14" x14ac:dyDescent="0.25">
      <c r="A41"/>
      <c r="B41"/>
    </row>
    <row r="42" spans="1:14" x14ac:dyDescent="0.25">
      <c r="A42"/>
      <c r="B42"/>
    </row>
    <row r="43" spans="1:14" x14ac:dyDescent="0.25">
      <c r="A43"/>
      <c r="B43"/>
    </row>
    <row r="44" spans="1:14" ht="39.6" customHeight="1" x14ac:dyDescent="0.25">
      <c r="A44"/>
      <c r="B44"/>
    </row>
    <row r="45" spans="1:14" x14ac:dyDescent="0.25">
      <c r="A45"/>
      <c r="B45"/>
    </row>
    <row r="46" spans="1:14" ht="27.6" customHeight="1" x14ac:dyDescent="0.25">
      <c r="A46"/>
      <c r="B46"/>
    </row>
    <row r="47" spans="1:14" x14ac:dyDescent="0.25">
      <c r="A47"/>
      <c r="B47"/>
    </row>
    <row r="48" spans="1: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Zy6sj9w2jmLGd613yyh+7wYDNkxNo0VXjcdu1YycDBYQmSDzJXUqIqXI4Njk9cTMPqdeYFOqg4ED8sNL7T1/bg==" saltValue="EruoR7M5mwkB0eByxd25ow==" spinCount="100000" sheet="1" objects="1" scenarios="1"/>
  <conditionalFormatting sqref="A6:A21">
    <cfRule type="expression" dxfId="1111" priority="1" stopIfTrue="1">
      <formula>MOD(ROW(),2)=0</formula>
    </cfRule>
    <cfRule type="expression" dxfId="1110" priority="2" stopIfTrue="1">
      <formula>MOD(ROW(),2)&lt;&gt;0</formula>
    </cfRule>
  </conditionalFormatting>
  <conditionalFormatting sqref="A26:A38">
    <cfRule type="expression" dxfId="1109" priority="9" stopIfTrue="1">
      <formula>MOD(ROW(),2)=0</formula>
    </cfRule>
    <cfRule type="expression" dxfId="1108" priority="10" stopIfTrue="1">
      <formula>MOD(ROW(),2)&lt;&gt;0</formula>
    </cfRule>
  </conditionalFormatting>
  <conditionalFormatting sqref="B17:B21">
    <cfRule type="expression" dxfId="1107" priority="5" stopIfTrue="1">
      <formula>MOD(ROW(),2)=0</formula>
    </cfRule>
    <cfRule type="expression" dxfId="1106" priority="6" stopIfTrue="1">
      <formula>MOD(ROW(),2)&lt;&gt;0</formula>
    </cfRule>
  </conditionalFormatting>
  <conditionalFormatting sqref="B6:N21">
    <cfRule type="expression" dxfId="1105" priority="29" stopIfTrue="1">
      <formula>MOD(ROW(),2)=0</formula>
    </cfRule>
    <cfRule type="expression" dxfId="1104" priority="30" stopIfTrue="1">
      <formula>MOD(ROW(),2)&lt;&gt;0</formula>
    </cfRule>
  </conditionalFormatting>
  <conditionalFormatting sqref="B26:N38">
    <cfRule type="expression" dxfId="1103" priority="11" stopIfTrue="1">
      <formula>MOD(ROW(),2)=0</formula>
    </cfRule>
    <cfRule type="expression" dxfId="1102" priority="12" stopIfTrue="1">
      <formula>MOD(ROW(),2)&lt;&gt;0</formula>
    </cfRule>
  </conditionalFormatting>
  <hyperlinks>
    <hyperlink ref="B24" location="Sheet1!A1" display="Assumptions" xr:uid="{0F560CF6-A242-4506-9E36-277DEEE03CB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0"/>
  <dimension ref="A1:O65"/>
  <sheetViews>
    <sheetView showGridLines="0" zoomScale="85" zoomScaleNormal="85" workbookViewId="0">
      <selection activeCell="A4" sqref="A4"/>
    </sheetView>
  </sheetViews>
  <sheetFormatPr defaultColWidth="10" defaultRowHeight="13.2" x14ac:dyDescent="0.25"/>
  <cols>
    <col min="1" max="1" width="31.5546875" style="27" customWidth="1"/>
    <col min="2" max="15" width="22.5546875" style="27" customWidth="1"/>
    <col min="16" max="16384" width="10" style="27"/>
  </cols>
  <sheetData>
    <row r="1" spans="1:15" ht="21" x14ac:dyDescent="0.4">
      <c r="A1" s="39" t="s">
        <v>0</v>
      </c>
      <c r="B1" s="40"/>
      <c r="C1" s="40"/>
      <c r="D1" s="40"/>
      <c r="E1" s="40"/>
      <c r="F1" s="40"/>
      <c r="G1" s="40"/>
      <c r="H1" s="40"/>
      <c r="I1" s="40"/>
    </row>
    <row r="2" spans="1:15"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5" ht="15.6" x14ac:dyDescent="0.3">
      <c r="A3" s="43" t="str">
        <f>TABLE_FACTOR_TYPE_1&amp;" - x-"&amp;TABLE_SERIES_NUMBER_1</f>
        <v>ERF - x-404</v>
      </c>
      <c r="B3" s="42"/>
      <c r="C3" s="42"/>
      <c r="D3" s="42"/>
      <c r="E3" s="42"/>
      <c r="F3" s="42"/>
      <c r="G3" s="42"/>
      <c r="H3" s="42"/>
      <c r="I3" s="42"/>
    </row>
    <row r="4" spans="1:15" x14ac:dyDescent="0.25">
      <c r="A4" s="44"/>
    </row>
    <row r="6" spans="1:15" x14ac:dyDescent="0.25">
      <c r="A6" s="76" t="s">
        <v>290</v>
      </c>
      <c r="B6" s="129" t="s">
        <v>291</v>
      </c>
      <c r="C6" s="129"/>
      <c r="D6" s="129"/>
      <c r="E6" s="129"/>
      <c r="F6" s="129"/>
      <c r="G6" s="129"/>
      <c r="H6" s="129"/>
      <c r="I6" s="129"/>
      <c r="J6" s="129"/>
      <c r="K6" s="129"/>
      <c r="L6" s="129"/>
      <c r="M6" s="129"/>
      <c r="N6" s="129"/>
      <c r="O6" s="129"/>
    </row>
    <row r="7" spans="1:15" x14ac:dyDescent="0.25">
      <c r="A7" s="77" t="s">
        <v>804</v>
      </c>
      <c r="B7" s="129" t="s">
        <v>324</v>
      </c>
      <c r="C7" s="129"/>
      <c r="D7" s="129"/>
      <c r="E7" s="129"/>
      <c r="F7" s="129"/>
      <c r="G7" s="129"/>
      <c r="H7" s="129"/>
      <c r="I7" s="129"/>
      <c r="J7" s="129"/>
      <c r="K7" s="129"/>
      <c r="L7" s="129"/>
      <c r="M7" s="129"/>
      <c r="N7" s="129"/>
      <c r="O7" s="129"/>
    </row>
    <row r="8" spans="1:15" x14ac:dyDescent="0.25">
      <c r="A8" s="77" t="s">
        <v>805</v>
      </c>
      <c r="B8" s="129" t="s">
        <v>85</v>
      </c>
      <c r="C8" s="129"/>
      <c r="D8" s="129"/>
      <c r="E8" s="129"/>
      <c r="F8" s="129"/>
      <c r="G8" s="129"/>
      <c r="H8" s="129"/>
      <c r="I8" s="129"/>
      <c r="J8" s="129"/>
      <c r="K8" s="129"/>
      <c r="L8" s="129"/>
      <c r="M8" s="129"/>
      <c r="N8" s="129"/>
      <c r="O8" s="129"/>
    </row>
    <row r="9" spans="1:15" x14ac:dyDescent="0.25">
      <c r="A9" s="77" t="s">
        <v>296</v>
      </c>
      <c r="B9" s="129" t="s">
        <v>418</v>
      </c>
      <c r="C9" s="129"/>
      <c r="D9" s="129"/>
      <c r="E9" s="129"/>
      <c r="F9" s="129"/>
      <c r="G9" s="129"/>
      <c r="H9" s="129"/>
      <c r="I9" s="129"/>
      <c r="J9" s="129"/>
      <c r="K9" s="129"/>
      <c r="L9" s="129"/>
      <c r="M9" s="129"/>
      <c r="N9" s="129"/>
      <c r="O9" s="129"/>
    </row>
    <row r="10" spans="1:15" x14ac:dyDescent="0.25">
      <c r="A10" s="77" t="s">
        <v>6</v>
      </c>
      <c r="B10" s="129" t="s">
        <v>429</v>
      </c>
      <c r="C10" s="129"/>
      <c r="D10" s="129"/>
      <c r="E10" s="129"/>
      <c r="F10" s="129"/>
      <c r="G10" s="129"/>
      <c r="H10" s="129"/>
      <c r="I10" s="129"/>
      <c r="J10" s="129"/>
      <c r="K10" s="129"/>
      <c r="L10" s="129"/>
      <c r="M10" s="129"/>
      <c r="N10" s="129"/>
      <c r="O10" s="129"/>
    </row>
    <row r="11" spans="1:15" x14ac:dyDescent="0.25">
      <c r="A11" s="77" t="s">
        <v>299</v>
      </c>
      <c r="B11" s="129" t="s">
        <v>364</v>
      </c>
      <c r="C11" s="129"/>
      <c r="D11" s="129"/>
      <c r="E11" s="129"/>
      <c r="F11" s="129"/>
      <c r="G11" s="129"/>
      <c r="H11" s="129"/>
      <c r="I11" s="129"/>
      <c r="J11" s="129"/>
      <c r="K11" s="129"/>
      <c r="L11" s="129"/>
      <c r="M11" s="129"/>
      <c r="N11" s="129"/>
      <c r="O11" s="129"/>
    </row>
    <row r="12" spans="1:15" x14ac:dyDescent="0.25">
      <c r="A12" s="77" t="s">
        <v>301</v>
      </c>
      <c r="B12" s="129" t="s">
        <v>420</v>
      </c>
      <c r="C12" s="129"/>
      <c r="D12" s="129"/>
      <c r="E12" s="129"/>
      <c r="F12" s="129"/>
      <c r="G12" s="129"/>
      <c r="H12" s="129"/>
      <c r="I12" s="129"/>
      <c r="J12" s="129"/>
      <c r="K12" s="129"/>
      <c r="L12" s="129"/>
      <c r="M12" s="129"/>
      <c r="N12" s="129"/>
      <c r="O12" s="129"/>
    </row>
    <row r="13" spans="1:15" x14ac:dyDescent="0.25">
      <c r="A13" s="77" t="s">
        <v>806</v>
      </c>
      <c r="B13" s="129">
        <v>0</v>
      </c>
      <c r="C13" s="129"/>
      <c r="D13" s="129"/>
      <c r="E13" s="129"/>
      <c r="F13" s="129"/>
      <c r="G13" s="129"/>
      <c r="H13" s="129"/>
      <c r="I13" s="129"/>
      <c r="J13" s="129"/>
      <c r="K13" s="129"/>
      <c r="L13" s="129"/>
      <c r="M13" s="129"/>
      <c r="N13" s="129"/>
      <c r="O13" s="129"/>
    </row>
    <row r="14" spans="1:15" x14ac:dyDescent="0.25">
      <c r="A14" s="77" t="s">
        <v>305</v>
      </c>
      <c r="B14" s="129">
        <v>404</v>
      </c>
      <c r="C14" s="129"/>
      <c r="D14" s="129"/>
      <c r="E14" s="129"/>
      <c r="F14" s="129"/>
      <c r="G14" s="129"/>
      <c r="H14" s="129"/>
      <c r="I14" s="129"/>
      <c r="J14" s="129"/>
      <c r="K14" s="129"/>
      <c r="L14" s="129"/>
      <c r="M14" s="129"/>
      <c r="N14" s="129"/>
      <c r="O14" s="129"/>
    </row>
    <row r="15" spans="1:15" x14ac:dyDescent="0.25">
      <c r="A15" s="77" t="s">
        <v>307</v>
      </c>
      <c r="B15" s="129" t="s">
        <v>430</v>
      </c>
      <c r="C15" s="129"/>
      <c r="D15" s="129"/>
      <c r="E15" s="129"/>
      <c r="F15" s="129"/>
      <c r="G15" s="129"/>
      <c r="H15" s="129"/>
      <c r="I15" s="129"/>
      <c r="J15" s="129"/>
      <c r="K15" s="129"/>
      <c r="L15" s="129"/>
      <c r="M15" s="129"/>
      <c r="N15" s="129"/>
      <c r="O15" s="129"/>
    </row>
    <row r="16" spans="1:15" x14ac:dyDescent="0.25">
      <c r="A16" s="77" t="s">
        <v>825</v>
      </c>
      <c r="B16" s="129" t="s">
        <v>431</v>
      </c>
      <c r="C16" s="129"/>
      <c r="D16" s="129"/>
      <c r="E16" s="129"/>
      <c r="F16" s="129"/>
      <c r="G16" s="129"/>
      <c r="H16" s="129"/>
      <c r="I16" s="129"/>
      <c r="J16" s="129"/>
      <c r="K16" s="129"/>
      <c r="L16" s="129"/>
      <c r="M16" s="129"/>
      <c r="N16" s="129"/>
      <c r="O16" s="129"/>
    </row>
    <row r="17" spans="1:15" x14ac:dyDescent="0.25">
      <c r="A17" s="77" t="s">
        <v>803</v>
      </c>
      <c r="B17" s="129"/>
      <c r="C17" s="129"/>
      <c r="D17" s="129"/>
      <c r="E17" s="129"/>
      <c r="F17" s="129"/>
      <c r="G17" s="129"/>
      <c r="H17" s="129"/>
      <c r="I17" s="129"/>
      <c r="J17" s="129"/>
      <c r="K17" s="129"/>
      <c r="L17" s="129"/>
      <c r="M17" s="129"/>
      <c r="N17" s="129"/>
      <c r="O17" s="129"/>
    </row>
    <row r="18" spans="1:15" x14ac:dyDescent="0.25">
      <c r="A18" s="77" t="s">
        <v>313</v>
      </c>
      <c r="B18" s="187">
        <v>45106</v>
      </c>
      <c r="C18" s="129"/>
      <c r="D18" s="129"/>
      <c r="E18" s="129"/>
      <c r="F18" s="129"/>
      <c r="G18" s="129"/>
      <c r="H18" s="129"/>
      <c r="I18" s="129"/>
      <c r="J18" s="129"/>
      <c r="K18" s="129"/>
      <c r="L18" s="129"/>
      <c r="M18" s="129"/>
      <c r="N18" s="129"/>
      <c r="O18" s="129"/>
    </row>
    <row r="19" spans="1:15" x14ac:dyDescent="0.25">
      <c r="A19" s="77" t="s">
        <v>315</v>
      </c>
      <c r="B19" s="187"/>
      <c r="C19" s="129"/>
      <c r="D19" s="129"/>
      <c r="E19" s="129"/>
      <c r="F19" s="129"/>
      <c r="G19" s="129"/>
      <c r="H19" s="129"/>
      <c r="I19" s="129"/>
      <c r="J19" s="129"/>
      <c r="K19" s="129"/>
      <c r="L19" s="129"/>
      <c r="M19" s="129"/>
      <c r="N19" s="129"/>
      <c r="O19" s="129"/>
    </row>
    <row r="20" spans="1:15" x14ac:dyDescent="0.25">
      <c r="A20" s="77" t="s">
        <v>317</v>
      </c>
      <c r="B20" s="129" t="s">
        <v>331</v>
      </c>
      <c r="C20" s="129"/>
      <c r="D20" s="129"/>
      <c r="E20" s="129"/>
      <c r="F20" s="129"/>
      <c r="G20" s="129"/>
      <c r="H20" s="129"/>
      <c r="I20" s="129"/>
      <c r="J20" s="129"/>
      <c r="K20" s="129"/>
      <c r="L20" s="129"/>
      <c r="M20" s="129"/>
      <c r="N20" s="129"/>
      <c r="O20" s="129"/>
    </row>
    <row r="21" spans="1:15" x14ac:dyDescent="0.25">
      <c r="A21" s="77" t="s">
        <v>323</v>
      </c>
      <c r="B21" s="129" t="s">
        <v>332</v>
      </c>
      <c r="C21" s="129"/>
      <c r="D21" s="129"/>
      <c r="E21" s="129"/>
      <c r="F21" s="129"/>
      <c r="G21" s="129"/>
      <c r="H21" s="129"/>
      <c r="I21" s="129"/>
      <c r="J21" s="129"/>
      <c r="K21" s="129"/>
      <c r="L21" s="129"/>
      <c r="M21" s="129"/>
      <c r="N21" s="129"/>
      <c r="O21" s="129"/>
    </row>
    <row r="23" spans="1:15" x14ac:dyDescent="0.25">
      <c r="B23" s="102" t="str">
        <f>HYPERLINK("#'Factor List'!A1","Back to Factor List")</f>
        <v>Back to Factor List</v>
      </c>
    </row>
    <row r="24" spans="1:15" x14ac:dyDescent="0.25">
      <c r="B24" s="102" t="s">
        <v>13</v>
      </c>
    </row>
    <row r="25" spans="1:15" x14ac:dyDescent="0.25">
      <c r="B25" s="102"/>
    </row>
    <row r="26" spans="1:15" x14ac:dyDescent="0.25">
      <c r="A26" s="103" t="s">
        <v>855</v>
      </c>
      <c r="B26" s="103">
        <v>54</v>
      </c>
      <c r="C26" s="103">
        <v>55</v>
      </c>
      <c r="D26" s="103">
        <v>56</v>
      </c>
      <c r="E26" s="103">
        <v>57</v>
      </c>
      <c r="F26" s="103">
        <v>58</v>
      </c>
      <c r="G26" s="103">
        <v>59</v>
      </c>
      <c r="H26" s="103">
        <v>60</v>
      </c>
      <c r="I26" s="103">
        <v>61</v>
      </c>
      <c r="J26" s="103">
        <v>62</v>
      </c>
      <c r="K26" s="103">
        <v>63</v>
      </c>
      <c r="L26" s="103">
        <v>64</v>
      </c>
      <c r="M26" s="103">
        <v>65</v>
      </c>
      <c r="N26" s="103">
        <v>66</v>
      </c>
      <c r="O26" s="103">
        <v>67</v>
      </c>
    </row>
    <row r="27" spans="1:15" x14ac:dyDescent="0.25">
      <c r="A27" s="104">
        <v>0</v>
      </c>
      <c r="B27" s="128">
        <v>0.54600000000000004</v>
      </c>
      <c r="C27" s="128">
        <v>0.56799999999999995</v>
      </c>
      <c r="D27" s="128">
        <v>0.59099999999999997</v>
      </c>
      <c r="E27" s="128">
        <v>0.61499999999999999</v>
      </c>
      <c r="F27" s="128">
        <v>0.64200000000000002</v>
      </c>
      <c r="G27" s="128">
        <v>0.67</v>
      </c>
      <c r="H27" s="128">
        <v>0.7</v>
      </c>
      <c r="I27" s="128">
        <v>0.73399999999999999</v>
      </c>
      <c r="J27" s="128">
        <v>0.77</v>
      </c>
      <c r="K27" s="128">
        <v>0.80900000000000005</v>
      </c>
      <c r="L27" s="128">
        <v>0.85099999999999998</v>
      </c>
      <c r="M27" s="128">
        <v>0.89700000000000002</v>
      </c>
      <c r="N27" s="128">
        <v>0.94699999999999995</v>
      </c>
      <c r="O27" s="128">
        <v>1</v>
      </c>
    </row>
    <row r="28" spans="1:15" x14ac:dyDescent="0.25">
      <c r="A28" s="104">
        <v>1</v>
      </c>
      <c r="B28" s="128">
        <v>0.54800000000000004</v>
      </c>
      <c r="C28" s="128">
        <v>0.56999999999999995</v>
      </c>
      <c r="D28" s="128">
        <v>0.59299999999999997</v>
      </c>
      <c r="E28" s="128">
        <v>0.61699999999999999</v>
      </c>
      <c r="F28" s="128">
        <v>0.64500000000000002</v>
      </c>
      <c r="G28" s="128">
        <v>0.67300000000000004</v>
      </c>
      <c r="H28" s="128">
        <v>0.70299999999999996</v>
      </c>
      <c r="I28" s="128">
        <v>0.73699999999999999</v>
      </c>
      <c r="J28" s="128">
        <v>0.77300000000000002</v>
      </c>
      <c r="K28" s="128">
        <v>0.81200000000000006</v>
      </c>
      <c r="L28" s="128">
        <v>0.85499999999999998</v>
      </c>
      <c r="M28" s="128">
        <v>0.90100000000000002</v>
      </c>
      <c r="N28" s="128">
        <v>0.95199999999999996</v>
      </c>
      <c r="O28" s="128"/>
    </row>
    <row r="29" spans="1:15" x14ac:dyDescent="0.25">
      <c r="A29" s="104">
        <v>2</v>
      </c>
      <c r="B29" s="128">
        <v>0.55000000000000004</v>
      </c>
      <c r="C29" s="128">
        <v>0.57199999999999995</v>
      </c>
      <c r="D29" s="128">
        <v>0.59499999999999997</v>
      </c>
      <c r="E29" s="128">
        <v>0.62</v>
      </c>
      <c r="F29" s="128">
        <v>0.64700000000000002</v>
      </c>
      <c r="G29" s="128">
        <v>0.67500000000000004</v>
      </c>
      <c r="H29" s="128">
        <v>0.70599999999999996</v>
      </c>
      <c r="I29" s="128">
        <v>0.74</v>
      </c>
      <c r="J29" s="128">
        <v>0.77600000000000002</v>
      </c>
      <c r="K29" s="128">
        <v>0.81599999999999995</v>
      </c>
      <c r="L29" s="128">
        <v>0.85899999999999999</v>
      </c>
      <c r="M29" s="128">
        <v>0.90500000000000003</v>
      </c>
      <c r="N29" s="128">
        <v>0.95599999999999996</v>
      </c>
      <c r="O29" s="128"/>
    </row>
    <row r="30" spans="1:15" x14ac:dyDescent="0.25">
      <c r="A30" s="104">
        <v>3</v>
      </c>
      <c r="B30" s="128">
        <v>0.55100000000000005</v>
      </c>
      <c r="C30" s="128">
        <v>0.57399999999999995</v>
      </c>
      <c r="D30" s="128">
        <v>0.59699999999999998</v>
      </c>
      <c r="E30" s="128">
        <v>0.622</v>
      </c>
      <c r="F30" s="128">
        <v>0.64900000000000002</v>
      </c>
      <c r="G30" s="128">
        <v>0.67800000000000005</v>
      </c>
      <c r="H30" s="128">
        <v>0.70899999999999996</v>
      </c>
      <c r="I30" s="128">
        <v>0.74299999999999999</v>
      </c>
      <c r="J30" s="128">
        <v>0.77900000000000003</v>
      </c>
      <c r="K30" s="128">
        <v>0.81899999999999995</v>
      </c>
      <c r="L30" s="128">
        <v>0.86199999999999999</v>
      </c>
      <c r="M30" s="128">
        <v>0.91</v>
      </c>
      <c r="N30" s="128">
        <v>0.96099999999999997</v>
      </c>
      <c r="O30" s="128"/>
    </row>
    <row r="31" spans="1:15" x14ac:dyDescent="0.25">
      <c r="A31" s="104">
        <v>4</v>
      </c>
      <c r="B31" s="128">
        <v>0.55300000000000005</v>
      </c>
      <c r="C31" s="128">
        <v>0.57599999999999996</v>
      </c>
      <c r="D31" s="128">
        <v>0.59899999999999998</v>
      </c>
      <c r="E31" s="128">
        <v>0.624</v>
      </c>
      <c r="F31" s="128">
        <v>0.65200000000000002</v>
      </c>
      <c r="G31" s="128">
        <v>0.68</v>
      </c>
      <c r="H31" s="128">
        <v>0.71099999999999997</v>
      </c>
      <c r="I31" s="128">
        <v>0.746</v>
      </c>
      <c r="J31" s="128">
        <v>0.78300000000000003</v>
      </c>
      <c r="K31" s="128">
        <v>0.82299999999999995</v>
      </c>
      <c r="L31" s="128">
        <v>0.86599999999999999</v>
      </c>
      <c r="M31" s="128">
        <v>0.91400000000000003</v>
      </c>
      <c r="N31" s="128">
        <v>0.96599999999999997</v>
      </c>
      <c r="O31" s="128"/>
    </row>
    <row r="32" spans="1:15" x14ac:dyDescent="0.25">
      <c r="A32" s="104">
        <v>5</v>
      </c>
      <c r="B32" s="128">
        <v>0.55500000000000005</v>
      </c>
      <c r="C32" s="128">
        <v>0.57799999999999996</v>
      </c>
      <c r="D32" s="128">
        <v>0.60099999999999998</v>
      </c>
      <c r="E32" s="128">
        <v>0.626</v>
      </c>
      <c r="F32" s="128">
        <v>0.65400000000000003</v>
      </c>
      <c r="G32" s="128">
        <v>0.68300000000000005</v>
      </c>
      <c r="H32" s="128">
        <v>0.71399999999999997</v>
      </c>
      <c r="I32" s="128">
        <v>0.749</v>
      </c>
      <c r="J32" s="128">
        <v>0.78600000000000003</v>
      </c>
      <c r="K32" s="128">
        <v>0.82599999999999996</v>
      </c>
      <c r="L32" s="128">
        <v>0.87</v>
      </c>
      <c r="M32" s="128">
        <v>0.91800000000000004</v>
      </c>
      <c r="N32" s="128">
        <v>0.97</v>
      </c>
      <c r="O32" s="128"/>
    </row>
    <row r="33" spans="1:15" x14ac:dyDescent="0.25">
      <c r="A33" s="104">
        <v>6</v>
      </c>
      <c r="B33" s="128">
        <v>0.55700000000000005</v>
      </c>
      <c r="C33" s="128">
        <v>0.57899999999999996</v>
      </c>
      <c r="D33" s="128">
        <v>0.60299999999999998</v>
      </c>
      <c r="E33" s="128">
        <v>0.629</v>
      </c>
      <c r="F33" s="128">
        <v>0.65600000000000003</v>
      </c>
      <c r="G33" s="128">
        <v>0.68500000000000005</v>
      </c>
      <c r="H33" s="128">
        <v>0.71699999999999997</v>
      </c>
      <c r="I33" s="128">
        <v>0.752</v>
      </c>
      <c r="J33" s="128">
        <v>0.78900000000000003</v>
      </c>
      <c r="K33" s="128">
        <v>0.83</v>
      </c>
      <c r="L33" s="128">
        <v>0.874</v>
      </c>
      <c r="M33" s="128">
        <v>0.92200000000000004</v>
      </c>
      <c r="N33" s="128">
        <v>0.97499999999999998</v>
      </c>
      <c r="O33" s="128"/>
    </row>
    <row r="34" spans="1:15" x14ac:dyDescent="0.25">
      <c r="A34" s="104">
        <v>7</v>
      </c>
      <c r="B34" s="128">
        <v>0.55900000000000005</v>
      </c>
      <c r="C34" s="128">
        <v>0.58099999999999996</v>
      </c>
      <c r="D34" s="128">
        <v>0.60499999999999998</v>
      </c>
      <c r="E34" s="128">
        <v>0.63100000000000001</v>
      </c>
      <c r="F34" s="128">
        <v>0.65900000000000003</v>
      </c>
      <c r="G34" s="128">
        <v>0.68799999999999994</v>
      </c>
      <c r="H34" s="128">
        <v>0.72</v>
      </c>
      <c r="I34" s="128">
        <v>0.755</v>
      </c>
      <c r="J34" s="128">
        <v>0.79200000000000004</v>
      </c>
      <c r="K34" s="128">
        <v>0.83299999999999996</v>
      </c>
      <c r="L34" s="128">
        <v>0.878</v>
      </c>
      <c r="M34" s="128">
        <v>0.92600000000000005</v>
      </c>
      <c r="N34" s="128">
        <v>0.97899999999999998</v>
      </c>
      <c r="O34" s="128"/>
    </row>
    <row r="35" spans="1:15" x14ac:dyDescent="0.25">
      <c r="A35" s="104">
        <v>8</v>
      </c>
      <c r="B35" s="128">
        <v>0.56100000000000005</v>
      </c>
      <c r="C35" s="128">
        <v>0.58299999999999996</v>
      </c>
      <c r="D35" s="128">
        <v>0.60699999999999998</v>
      </c>
      <c r="E35" s="128">
        <v>0.63300000000000001</v>
      </c>
      <c r="F35" s="128">
        <v>0.66100000000000003</v>
      </c>
      <c r="G35" s="128">
        <v>0.69</v>
      </c>
      <c r="H35" s="128">
        <v>0.72199999999999998</v>
      </c>
      <c r="I35" s="128">
        <v>0.75800000000000001</v>
      </c>
      <c r="J35" s="128">
        <v>0.79600000000000004</v>
      </c>
      <c r="K35" s="128">
        <v>0.83699999999999997</v>
      </c>
      <c r="L35" s="128">
        <v>0.88200000000000001</v>
      </c>
      <c r="M35" s="128">
        <v>0.93</v>
      </c>
      <c r="N35" s="128">
        <v>0.98399999999999999</v>
      </c>
      <c r="O35" s="128"/>
    </row>
    <row r="36" spans="1:15" x14ac:dyDescent="0.25">
      <c r="A36" s="104">
        <v>9</v>
      </c>
      <c r="B36" s="128">
        <v>0.56200000000000006</v>
      </c>
      <c r="C36" s="128">
        <v>0.58499999999999996</v>
      </c>
      <c r="D36" s="128">
        <v>0.60899999999999999</v>
      </c>
      <c r="E36" s="128">
        <v>0.63500000000000001</v>
      </c>
      <c r="F36" s="128">
        <v>0.66300000000000003</v>
      </c>
      <c r="G36" s="128">
        <v>0.69299999999999995</v>
      </c>
      <c r="H36" s="128">
        <v>0.72499999999999998</v>
      </c>
      <c r="I36" s="128">
        <v>0.76100000000000001</v>
      </c>
      <c r="J36" s="128">
        <v>0.79900000000000004</v>
      </c>
      <c r="K36" s="128">
        <v>0.84</v>
      </c>
      <c r="L36" s="128">
        <v>0.88500000000000001</v>
      </c>
      <c r="M36" s="128">
        <v>0.93500000000000005</v>
      </c>
      <c r="N36" s="128">
        <v>0.98899999999999999</v>
      </c>
      <c r="O36" s="128"/>
    </row>
    <row r="37" spans="1:15" x14ac:dyDescent="0.25">
      <c r="A37" s="104">
        <v>10</v>
      </c>
      <c r="B37" s="128">
        <v>0.56399999999999995</v>
      </c>
      <c r="C37" s="128">
        <v>0.58699999999999997</v>
      </c>
      <c r="D37" s="128">
        <v>0.61099999999999999</v>
      </c>
      <c r="E37" s="128">
        <v>0.63800000000000001</v>
      </c>
      <c r="F37" s="128">
        <v>0.66600000000000004</v>
      </c>
      <c r="G37" s="128">
        <v>0.69499999999999995</v>
      </c>
      <c r="H37" s="128">
        <v>0.72799999999999998</v>
      </c>
      <c r="I37" s="128">
        <v>0.76400000000000001</v>
      </c>
      <c r="J37" s="128">
        <v>0.80200000000000005</v>
      </c>
      <c r="K37" s="128">
        <v>0.84399999999999997</v>
      </c>
      <c r="L37" s="128">
        <v>0.88900000000000001</v>
      </c>
      <c r="M37" s="128">
        <v>0.93899999999999995</v>
      </c>
      <c r="N37" s="128">
        <v>0.99299999999999999</v>
      </c>
      <c r="O37" s="128"/>
    </row>
    <row r="38" spans="1:15" x14ac:dyDescent="0.25">
      <c r="A38" s="104">
        <v>11</v>
      </c>
      <c r="B38" s="128">
        <v>0.56599999999999995</v>
      </c>
      <c r="C38" s="128">
        <v>0.58899999999999997</v>
      </c>
      <c r="D38" s="128">
        <v>0.61299999999999999</v>
      </c>
      <c r="E38" s="128">
        <v>0.64</v>
      </c>
      <c r="F38" s="128">
        <v>0.66800000000000004</v>
      </c>
      <c r="G38" s="128">
        <v>0.69799999999999995</v>
      </c>
      <c r="H38" s="128">
        <v>0.73099999999999998</v>
      </c>
      <c r="I38" s="128">
        <v>0.76700000000000002</v>
      </c>
      <c r="J38" s="128">
        <v>0.80500000000000005</v>
      </c>
      <c r="K38" s="128">
        <v>0.84699999999999998</v>
      </c>
      <c r="L38" s="128">
        <v>0.89300000000000002</v>
      </c>
      <c r="M38" s="128">
        <v>0.94299999999999995</v>
      </c>
      <c r="N38" s="128">
        <v>0.998</v>
      </c>
      <c r="O38" s="128"/>
    </row>
    <row r="39" spans="1:15" x14ac:dyDescent="0.25">
      <c r="A39"/>
      <c r="B39"/>
    </row>
    <row r="40" spans="1:15" x14ac:dyDescent="0.25">
      <c r="A40"/>
      <c r="B40"/>
    </row>
    <row r="41" spans="1:15" x14ac:dyDescent="0.25">
      <c r="A41"/>
      <c r="B41"/>
    </row>
    <row r="42" spans="1:15" x14ac:dyDescent="0.25">
      <c r="A42"/>
      <c r="B42"/>
    </row>
    <row r="43" spans="1:15" x14ac:dyDescent="0.25">
      <c r="A43"/>
      <c r="B43"/>
    </row>
    <row r="44" spans="1:15" ht="39.6" customHeight="1" x14ac:dyDescent="0.25">
      <c r="A44"/>
      <c r="B44"/>
    </row>
    <row r="45" spans="1:15" x14ac:dyDescent="0.25">
      <c r="A45"/>
      <c r="B45"/>
    </row>
    <row r="46" spans="1:15" ht="27.6" customHeight="1" x14ac:dyDescent="0.25">
      <c r="A46"/>
      <c r="B46"/>
    </row>
    <row r="47" spans="1:15" x14ac:dyDescent="0.25">
      <c r="A47"/>
      <c r="B47"/>
    </row>
    <row r="48" spans="1: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i5OlxJNemCDGY1PgF959rhecLqyeiRpp892PlMcnXrbnym8/Urz9/IUmwqi4ErVCk26ugwNwB4arvwnoDF4/qw==" saltValue="tpmsg8zKbaQnJOlqjFgzLQ==" spinCount="100000" sheet="1" objects="1" scenarios="1"/>
  <conditionalFormatting sqref="A6:A21">
    <cfRule type="expression" dxfId="1101" priority="1" stopIfTrue="1">
      <formula>MOD(ROW(),2)=0</formula>
    </cfRule>
    <cfRule type="expression" dxfId="1100" priority="2" stopIfTrue="1">
      <formula>MOD(ROW(),2)&lt;&gt;0</formula>
    </cfRule>
  </conditionalFormatting>
  <conditionalFormatting sqref="A26:A38">
    <cfRule type="expression" dxfId="1099" priority="9" stopIfTrue="1">
      <formula>MOD(ROW(),2)=0</formula>
    </cfRule>
    <cfRule type="expression" dxfId="1098" priority="10" stopIfTrue="1">
      <formula>MOD(ROW(),2)&lt;&gt;0</formula>
    </cfRule>
  </conditionalFormatting>
  <conditionalFormatting sqref="B17:B21">
    <cfRule type="expression" dxfId="1097" priority="5" stopIfTrue="1">
      <formula>MOD(ROW(),2)=0</formula>
    </cfRule>
    <cfRule type="expression" dxfId="1096" priority="6" stopIfTrue="1">
      <formula>MOD(ROW(),2)&lt;&gt;0</formula>
    </cfRule>
  </conditionalFormatting>
  <conditionalFormatting sqref="B6:O21">
    <cfRule type="expression" dxfId="1095" priority="29" stopIfTrue="1">
      <formula>MOD(ROW(),2)=0</formula>
    </cfRule>
    <cfRule type="expression" dxfId="1094" priority="30" stopIfTrue="1">
      <formula>MOD(ROW(),2)&lt;&gt;0</formula>
    </cfRule>
  </conditionalFormatting>
  <conditionalFormatting sqref="B26:O38">
    <cfRule type="expression" dxfId="1093" priority="11" stopIfTrue="1">
      <formula>MOD(ROW(),2)=0</formula>
    </cfRule>
    <cfRule type="expression" dxfId="1092" priority="12" stopIfTrue="1">
      <formula>MOD(ROW(),2)&lt;&gt;0</formula>
    </cfRule>
  </conditionalFormatting>
  <hyperlinks>
    <hyperlink ref="B24" location="Sheet1!A1" display="Assumptions" xr:uid="{55FD2089-EDEE-422D-BB19-70FCB3FC377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1"/>
  <dimension ref="A1:P65"/>
  <sheetViews>
    <sheetView showGridLines="0" zoomScale="85" zoomScaleNormal="85" workbookViewId="0">
      <selection activeCell="A4" sqref="A4"/>
    </sheetView>
  </sheetViews>
  <sheetFormatPr defaultColWidth="10" defaultRowHeight="13.2" x14ac:dyDescent="0.25"/>
  <cols>
    <col min="1" max="1" width="31.5546875" style="27" customWidth="1"/>
    <col min="2" max="16" width="22.5546875" style="27" customWidth="1"/>
    <col min="17" max="16384" width="10" style="27"/>
  </cols>
  <sheetData>
    <row r="1" spans="1:16" ht="21" x14ac:dyDescent="0.4">
      <c r="A1" s="39" t="s">
        <v>0</v>
      </c>
      <c r="B1" s="40"/>
      <c r="C1" s="40"/>
      <c r="D1" s="40"/>
      <c r="E1" s="40"/>
      <c r="F1" s="40"/>
      <c r="G1" s="40"/>
      <c r="H1" s="40"/>
      <c r="I1" s="40"/>
    </row>
    <row r="2" spans="1:16"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6" ht="15.6" x14ac:dyDescent="0.3">
      <c r="A3" s="43" t="str">
        <f>TABLE_FACTOR_TYPE_1&amp;" - x-"&amp;TABLE_SERIES_NUMBER_1</f>
        <v>ERF - x-405</v>
      </c>
      <c r="B3" s="42"/>
      <c r="C3" s="42"/>
      <c r="D3" s="42"/>
      <c r="E3" s="42"/>
      <c r="F3" s="42"/>
      <c r="G3" s="42"/>
      <c r="H3" s="42"/>
      <c r="I3" s="42"/>
    </row>
    <row r="4" spans="1:16" x14ac:dyDescent="0.25">
      <c r="A4" s="44"/>
    </row>
    <row r="6" spans="1:16" x14ac:dyDescent="0.25">
      <c r="A6" s="76" t="s">
        <v>290</v>
      </c>
      <c r="B6" s="129" t="s">
        <v>291</v>
      </c>
      <c r="C6" s="129"/>
      <c r="D6" s="129"/>
      <c r="E6" s="129"/>
      <c r="F6" s="129"/>
      <c r="G6" s="129"/>
      <c r="H6" s="129"/>
      <c r="I6" s="129"/>
      <c r="J6" s="129"/>
      <c r="K6" s="129"/>
      <c r="L6" s="129"/>
      <c r="M6" s="129"/>
      <c r="N6" s="129"/>
      <c r="O6" s="129"/>
      <c r="P6" s="129"/>
    </row>
    <row r="7" spans="1:16" x14ac:dyDescent="0.25">
      <c r="A7" s="77" t="s">
        <v>804</v>
      </c>
      <c r="B7" s="129" t="s">
        <v>324</v>
      </c>
      <c r="C7" s="129"/>
      <c r="D7" s="129"/>
      <c r="E7" s="129"/>
      <c r="F7" s="129"/>
      <c r="G7" s="129"/>
      <c r="H7" s="129"/>
      <c r="I7" s="129"/>
      <c r="J7" s="129"/>
      <c r="K7" s="129"/>
      <c r="L7" s="129"/>
      <c r="M7" s="129"/>
      <c r="N7" s="129"/>
      <c r="O7" s="129"/>
      <c r="P7" s="129"/>
    </row>
    <row r="8" spans="1:16" x14ac:dyDescent="0.25">
      <c r="A8" s="77" t="s">
        <v>805</v>
      </c>
      <c r="B8" s="129" t="s">
        <v>85</v>
      </c>
      <c r="C8" s="129"/>
      <c r="D8" s="129"/>
      <c r="E8" s="129"/>
      <c r="F8" s="129"/>
      <c r="G8" s="129"/>
      <c r="H8" s="129"/>
      <c r="I8" s="129"/>
      <c r="J8" s="129"/>
      <c r="K8" s="129"/>
      <c r="L8" s="129"/>
      <c r="M8" s="129"/>
      <c r="N8" s="129"/>
      <c r="O8" s="129"/>
      <c r="P8" s="129"/>
    </row>
    <row r="9" spans="1:16" x14ac:dyDescent="0.25">
      <c r="A9" s="77" t="s">
        <v>296</v>
      </c>
      <c r="B9" s="129" t="s">
        <v>418</v>
      </c>
      <c r="C9" s="129"/>
      <c r="D9" s="129"/>
      <c r="E9" s="129"/>
      <c r="F9" s="129"/>
      <c r="G9" s="129"/>
      <c r="H9" s="129"/>
      <c r="I9" s="129"/>
      <c r="J9" s="129"/>
      <c r="K9" s="129"/>
      <c r="L9" s="129"/>
      <c r="M9" s="129"/>
      <c r="N9" s="129"/>
      <c r="O9" s="129"/>
      <c r="P9" s="129"/>
    </row>
    <row r="10" spans="1:16" x14ac:dyDescent="0.25">
      <c r="A10" s="77" t="s">
        <v>6</v>
      </c>
      <c r="B10" s="129" t="s">
        <v>432</v>
      </c>
      <c r="C10" s="129"/>
      <c r="D10" s="129"/>
      <c r="E10" s="129"/>
      <c r="F10" s="129"/>
      <c r="G10" s="129"/>
      <c r="H10" s="129"/>
      <c r="I10" s="129"/>
      <c r="J10" s="129"/>
      <c r="K10" s="129"/>
      <c r="L10" s="129"/>
      <c r="M10" s="129"/>
      <c r="N10" s="129"/>
      <c r="O10" s="129"/>
      <c r="P10" s="129"/>
    </row>
    <row r="11" spans="1:16" x14ac:dyDescent="0.25">
      <c r="A11" s="77" t="s">
        <v>299</v>
      </c>
      <c r="B11" s="129" t="s">
        <v>364</v>
      </c>
      <c r="C11" s="129"/>
      <c r="D11" s="129"/>
      <c r="E11" s="129"/>
      <c r="F11" s="129"/>
      <c r="G11" s="129"/>
      <c r="H11" s="129"/>
      <c r="I11" s="129"/>
      <c r="J11" s="129"/>
      <c r="K11" s="129"/>
      <c r="L11" s="129"/>
      <c r="M11" s="129"/>
      <c r="N11" s="129"/>
      <c r="O11" s="129"/>
      <c r="P11" s="129"/>
    </row>
    <row r="12" spans="1:16" x14ac:dyDescent="0.25">
      <c r="A12" s="77" t="s">
        <v>301</v>
      </c>
      <c r="B12" s="129" t="s">
        <v>420</v>
      </c>
      <c r="C12" s="129"/>
      <c r="D12" s="129"/>
      <c r="E12" s="129"/>
      <c r="F12" s="129"/>
      <c r="G12" s="129"/>
      <c r="H12" s="129"/>
      <c r="I12" s="129"/>
      <c r="J12" s="129"/>
      <c r="K12" s="129"/>
      <c r="L12" s="129"/>
      <c r="M12" s="129"/>
      <c r="N12" s="129"/>
      <c r="O12" s="129"/>
      <c r="P12" s="129"/>
    </row>
    <row r="13" spans="1:16" x14ac:dyDescent="0.25">
      <c r="A13" s="77" t="s">
        <v>806</v>
      </c>
      <c r="B13" s="129">
        <v>0</v>
      </c>
      <c r="C13" s="129"/>
      <c r="D13" s="129"/>
      <c r="E13" s="129"/>
      <c r="F13" s="129"/>
      <c r="G13" s="129"/>
      <c r="H13" s="129"/>
      <c r="I13" s="129"/>
      <c r="J13" s="129"/>
      <c r="K13" s="129"/>
      <c r="L13" s="129"/>
      <c r="M13" s="129"/>
      <c r="N13" s="129"/>
      <c r="O13" s="129"/>
      <c r="P13" s="129"/>
    </row>
    <row r="14" spans="1:16" x14ac:dyDescent="0.25">
      <c r="A14" s="77" t="s">
        <v>305</v>
      </c>
      <c r="B14" s="129">
        <v>405</v>
      </c>
      <c r="C14" s="129"/>
      <c r="D14" s="129"/>
      <c r="E14" s="129"/>
      <c r="F14" s="129"/>
      <c r="G14" s="129"/>
      <c r="H14" s="129"/>
      <c r="I14" s="129"/>
      <c r="J14" s="129"/>
      <c r="K14" s="129"/>
      <c r="L14" s="129"/>
      <c r="M14" s="129"/>
      <c r="N14" s="129"/>
      <c r="O14" s="129"/>
      <c r="P14" s="129"/>
    </row>
    <row r="15" spans="1:16" x14ac:dyDescent="0.25">
      <c r="A15" s="77" t="s">
        <v>307</v>
      </c>
      <c r="B15" s="129" t="s">
        <v>433</v>
      </c>
      <c r="C15" s="129"/>
      <c r="D15" s="129"/>
      <c r="E15" s="129"/>
      <c r="F15" s="129"/>
      <c r="G15" s="129"/>
      <c r="H15" s="129"/>
      <c r="I15" s="129"/>
      <c r="J15" s="129"/>
      <c r="K15" s="129"/>
      <c r="L15" s="129"/>
      <c r="M15" s="129"/>
      <c r="N15" s="129"/>
      <c r="O15" s="129"/>
      <c r="P15" s="129"/>
    </row>
    <row r="16" spans="1:16" x14ac:dyDescent="0.25">
      <c r="A16" s="77" t="s">
        <v>825</v>
      </c>
      <c r="B16" s="129" t="s">
        <v>434</v>
      </c>
      <c r="C16" s="129"/>
      <c r="D16" s="129"/>
      <c r="E16" s="129"/>
      <c r="F16" s="129"/>
      <c r="G16" s="129"/>
      <c r="H16" s="129"/>
      <c r="I16" s="129"/>
      <c r="J16" s="129"/>
      <c r="K16" s="129"/>
      <c r="L16" s="129"/>
      <c r="M16" s="129"/>
      <c r="N16" s="129"/>
      <c r="O16" s="129"/>
      <c r="P16" s="129"/>
    </row>
    <row r="17" spans="1:16" x14ac:dyDescent="0.25">
      <c r="A17" s="77" t="s">
        <v>803</v>
      </c>
      <c r="B17" s="129"/>
      <c r="C17" s="129"/>
      <c r="D17" s="129"/>
      <c r="E17" s="129"/>
      <c r="F17" s="129"/>
      <c r="G17" s="129"/>
      <c r="H17" s="129"/>
      <c r="I17" s="129"/>
      <c r="J17" s="129"/>
      <c r="K17" s="129"/>
      <c r="L17" s="129"/>
      <c r="M17" s="129"/>
      <c r="N17" s="129"/>
      <c r="O17" s="129"/>
      <c r="P17" s="129"/>
    </row>
    <row r="18" spans="1:16" x14ac:dyDescent="0.25">
      <c r="A18" s="77" t="s">
        <v>313</v>
      </c>
      <c r="B18" s="187">
        <v>45106</v>
      </c>
      <c r="C18" s="129"/>
      <c r="D18" s="129"/>
      <c r="E18" s="129"/>
      <c r="F18" s="129"/>
      <c r="G18" s="129"/>
      <c r="H18" s="129"/>
      <c r="I18" s="129"/>
      <c r="J18" s="129"/>
      <c r="K18" s="129"/>
      <c r="L18" s="129"/>
      <c r="M18" s="129"/>
      <c r="N18" s="129"/>
      <c r="O18" s="129"/>
      <c r="P18" s="129"/>
    </row>
    <row r="19" spans="1:16" x14ac:dyDescent="0.25">
      <c r="A19" s="77" t="s">
        <v>315</v>
      </c>
      <c r="B19" s="187"/>
      <c r="C19" s="129"/>
      <c r="D19" s="129"/>
      <c r="E19" s="129"/>
      <c r="F19" s="129"/>
      <c r="G19" s="129"/>
      <c r="H19" s="129"/>
      <c r="I19" s="129"/>
      <c r="J19" s="129"/>
      <c r="K19" s="129"/>
      <c r="L19" s="129"/>
      <c r="M19" s="129"/>
      <c r="N19" s="129"/>
      <c r="O19" s="129"/>
      <c r="P19" s="129"/>
    </row>
    <row r="20" spans="1:16" x14ac:dyDescent="0.25">
      <c r="A20" s="77" t="s">
        <v>317</v>
      </c>
      <c r="B20" s="129" t="s">
        <v>331</v>
      </c>
      <c r="C20" s="129"/>
      <c r="D20" s="129"/>
      <c r="E20" s="129"/>
      <c r="F20" s="129"/>
      <c r="G20" s="129"/>
      <c r="H20" s="129"/>
      <c r="I20" s="129"/>
      <c r="J20" s="129"/>
      <c r="K20" s="129"/>
      <c r="L20" s="129"/>
      <c r="M20" s="129"/>
      <c r="N20" s="129"/>
      <c r="O20" s="129"/>
      <c r="P20" s="129"/>
    </row>
    <row r="21" spans="1:16" x14ac:dyDescent="0.25">
      <c r="A21" s="77" t="s">
        <v>323</v>
      </c>
      <c r="B21" s="129" t="s">
        <v>332</v>
      </c>
      <c r="C21" s="129"/>
      <c r="D21" s="129"/>
      <c r="E21" s="129"/>
      <c r="F21" s="129"/>
      <c r="G21" s="129"/>
      <c r="H21" s="129"/>
      <c r="I21" s="129"/>
      <c r="J21" s="129"/>
      <c r="K21" s="129"/>
      <c r="L21" s="129"/>
      <c r="M21" s="129"/>
      <c r="N21" s="129"/>
      <c r="O21" s="129"/>
      <c r="P21" s="129"/>
    </row>
    <row r="23" spans="1:16" x14ac:dyDescent="0.25">
      <c r="B23" s="102" t="str">
        <f>HYPERLINK("#'Factor List'!A1","Back to Factor List")</f>
        <v>Back to Factor List</v>
      </c>
    </row>
    <row r="24" spans="1:16" x14ac:dyDescent="0.25">
      <c r="B24" s="102" t="s">
        <v>13</v>
      </c>
    </row>
    <row r="25" spans="1:16" x14ac:dyDescent="0.25">
      <c r="B25" s="102"/>
    </row>
    <row r="26" spans="1:16" x14ac:dyDescent="0.25">
      <c r="A26" s="103" t="s">
        <v>855</v>
      </c>
      <c r="B26" s="103">
        <v>54</v>
      </c>
      <c r="C26" s="103">
        <v>55</v>
      </c>
      <c r="D26" s="103">
        <v>56</v>
      </c>
      <c r="E26" s="103">
        <v>57</v>
      </c>
      <c r="F26" s="103">
        <v>58</v>
      </c>
      <c r="G26" s="103">
        <v>59</v>
      </c>
      <c r="H26" s="103">
        <v>60</v>
      </c>
      <c r="I26" s="103">
        <v>61</v>
      </c>
      <c r="J26" s="103">
        <v>62</v>
      </c>
      <c r="K26" s="103">
        <v>63</v>
      </c>
      <c r="L26" s="103">
        <v>64</v>
      </c>
      <c r="M26" s="103">
        <v>65</v>
      </c>
      <c r="N26" s="103">
        <v>66</v>
      </c>
      <c r="O26" s="103">
        <v>67</v>
      </c>
      <c r="P26" s="103">
        <v>68</v>
      </c>
    </row>
    <row r="27" spans="1:16" x14ac:dyDescent="0.25">
      <c r="A27" s="104">
        <v>0</v>
      </c>
      <c r="B27" s="128">
        <v>0.51600000000000001</v>
      </c>
      <c r="C27" s="128">
        <v>0.53600000000000003</v>
      </c>
      <c r="D27" s="128">
        <v>0.55800000000000005</v>
      </c>
      <c r="E27" s="128">
        <v>0.58099999999999996</v>
      </c>
      <c r="F27" s="128">
        <v>0.60599999999999998</v>
      </c>
      <c r="G27" s="128">
        <v>0.63300000000000001</v>
      </c>
      <c r="H27" s="128">
        <v>0.66100000000000003</v>
      </c>
      <c r="I27" s="128">
        <v>0.69199999999999995</v>
      </c>
      <c r="J27" s="128">
        <v>0.72699999999999998</v>
      </c>
      <c r="K27" s="128">
        <v>0.76300000000000001</v>
      </c>
      <c r="L27" s="128">
        <v>0.80300000000000005</v>
      </c>
      <c r="M27" s="128">
        <v>0.84599999999999997</v>
      </c>
      <c r="N27" s="128">
        <v>0.89300000000000002</v>
      </c>
      <c r="O27" s="128">
        <v>0.94499999999999995</v>
      </c>
      <c r="P27" s="128">
        <v>1</v>
      </c>
    </row>
    <row r="28" spans="1:16" x14ac:dyDescent="0.25">
      <c r="A28" s="104">
        <v>1</v>
      </c>
      <c r="B28" s="128">
        <v>0.51800000000000002</v>
      </c>
      <c r="C28" s="128">
        <v>0.53800000000000003</v>
      </c>
      <c r="D28" s="128">
        <v>0.56000000000000005</v>
      </c>
      <c r="E28" s="128">
        <v>0.58299999999999996</v>
      </c>
      <c r="F28" s="128">
        <v>0.60799999999999998</v>
      </c>
      <c r="G28" s="128">
        <v>0.63600000000000001</v>
      </c>
      <c r="H28" s="128">
        <v>0.66400000000000003</v>
      </c>
      <c r="I28" s="128">
        <v>0.69499999999999995</v>
      </c>
      <c r="J28" s="128">
        <v>0.73</v>
      </c>
      <c r="K28" s="128">
        <v>0.76600000000000001</v>
      </c>
      <c r="L28" s="128">
        <v>0.80600000000000005</v>
      </c>
      <c r="M28" s="128">
        <v>0.85</v>
      </c>
      <c r="N28" s="128">
        <v>0.89800000000000002</v>
      </c>
      <c r="O28" s="128">
        <v>0.95</v>
      </c>
      <c r="P28" s="128"/>
    </row>
    <row r="29" spans="1:16" x14ac:dyDescent="0.25">
      <c r="A29" s="104">
        <v>2</v>
      </c>
      <c r="B29" s="128">
        <v>0.51900000000000002</v>
      </c>
      <c r="C29" s="128">
        <v>0.54</v>
      </c>
      <c r="D29" s="128">
        <v>0.56200000000000006</v>
      </c>
      <c r="E29" s="128">
        <v>0.58499999999999996</v>
      </c>
      <c r="F29" s="128">
        <v>0.61099999999999999</v>
      </c>
      <c r="G29" s="128">
        <v>0.63800000000000001</v>
      </c>
      <c r="H29" s="128">
        <v>0.66600000000000004</v>
      </c>
      <c r="I29" s="128">
        <v>0.69799999999999995</v>
      </c>
      <c r="J29" s="128">
        <v>0.73299999999999998</v>
      </c>
      <c r="K29" s="128">
        <v>0.76900000000000002</v>
      </c>
      <c r="L29" s="128">
        <v>0.81</v>
      </c>
      <c r="M29" s="128">
        <v>0.85399999999999998</v>
      </c>
      <c r="N29" s="128">
        <v>0.90200000000000002</v>
      </c>
      <c r="O29" s="128">
        <v>0.95499999999999996</v>
      </c>
      <c r="P29" s="128"/>
    </row>
    <row r="30" spans="1:16" x14ac:dyDescent="0.25">
      <c r="A30" s="104">
        <v>3</v>
      </c>
      <c r="B30" s="128">
        <v>0.52100000000000002</v>
      </c>
      <c r="C30" s="128">
        <v>0.54100000000000004</v>
      </c>
      <c r="D30" s="128">
        <v>0.56399999999999995</v>
      </c>
      <c r="E30" s="128">
        <v>0.58699999999999997</v>
      </c>
      <c r="F30" s="128">
        <v>0.61299999999999999</v>
      </c>
      <c r="G30" s="128">
        <v>0.64</v>
      </c>
      <c r="H30" s="128">
        <v>0.66900000000000004</v>
      </c>
      <c r="I30" s="128">
        <v>0.70099999999999996</v>
      </c>
      <c r="J30" s="128">
        <v>0.73599999999999999</v>
      </c>
      <c r="K30" s="128">
        <v>0.77300000000000002</v>
      </c>
      <c r="L30" s="128">
        <v>0.81399999999999995</v>
      </c>
      <c r="M30" s="128">
        <v>0.85799999999999998</v>
      </c>
      <c r="N30" s="128">
        <v>0.90600000000000003</v>
      </c>
      <c r="O30" s="128">
        <v>0.96</v>
      </c>
      <c r="P30" s="128"/>
    </row>
    <row r="31" spans="1:16" x14ac:dyDescent="0.25">
      <c r="A31" s="104">
        <v>4</v>
      </c>
      <c r="B31" s="128">
        <v>0.52300000000000002</v>
      </c>
      <c r="C31" s="128">
        <v>0.54300000000000004</v>
      </c>
      <c r="D31" s="128">
        <v>0.56599999999999995</v>
      </c>
      <c r="E31" s="128">
        <v>0.58899999999999997</v>
      </c>
      <c r="F31" s="128">
        <v>0.61499999999999999</v>
      </c>
      <c r="G31" s="128">
        <v>0.64300000000000002</v>
      </c>
      <c r="H31" s="128">
        <v>0.67200000000000004</v>
      </c>
      <c r="I31" s="128">
        <v>0.70399999999999996</v>
      </c>
      <c r="J31" s="128">
        <v>0.73899999999999999</v>
      </c>
      <c r="K31" s="128">
        <v>0.77600000000000002</v>
      </c>
      <c r="L31" s="128">
        <v>0.81699999999999995</v>
      </c>
      <c r="M31" s="128">
        <v>0.86199999999999999</v>
      </c>
      <c r="N31" s="128">
        <v>0.91100000000000003</v>
      </c>
      <c r="O31" s="128">
        <v>0.96399999999999997</v>
      </c>
      <c r="P31" s="128"/>
    </row>
    <row r="32" spans="1:16" x14ac:dyDescent="0.25">
      <c r="A32" s="104">
        <v>5</v>
      </c>
      <c r="B32" s="128">
        <v>0.52400000000000002</v>
      </c>
      <c r="C32" s="128">
        <v>0.54500000000000004</v>
      </c>
      <c r="D32" s="128">
        <v>0.56799999999999995</v>
      </c>
      <c r="E32" s="128">
        <v>0.59099999999999997</v>
      </c>
      <c r="F32" s="128">
        <v>0.61699999999999999</v>
      </c>
      <c r="G32" s="128">
        <v>0.64500000000000002</v>
      </c>
      <c r="H32" s="128">
        <v>0.67400000000000004</v>
      </c>
      <c r="I32" s="128">
        <v>0.70699999999999996</v>
      </c>
      <c r="J32" s="128">
        <v>0.74199999999999999</v>
      </c>
      <c r="K32" s="128">
        <v>0.77900000000000003</v>
      </c>
      <c r="L32" s="128">
        <v>0.82099999999999995</v>
      </c>
      <c r="M32" s="128">
        <v>0.86599999999999999</v>
      </c>
      <c r="N32" s="128">
        <v>0.91500000000000004</v>
      </c>
      <c r="O32" s="128">
        <v>0.96899999999999997</v>
      </c>
      <c r="P32" s="128"/>
    </row>
    <row r="33" spans="1:16" x14ac:dyDescent="0.25">
      <c r="A33" s="104">
        <v>6</v>
      </c>
      <c r="B33" s="128">
        <v>0.52600000000000002</v>
      </c>
      <c r="C33" s="128">
        <v>0.54700000000000004</v>
      </c>
      <c r="D33" s="128">
        <v>0.56899999999999995</v>
      </c>
      <c r="E33" s="128">
        <v>0.59399999999999997</v>
      </c>
      <c r="F33" s="128">
        <v>0.62</v>
      </c>
      <c r="G33" s="128">
        <v>0.64700000000000002</v>
      </c>
      <c r="H33" s="128">
        <v>0.67700000000000005</v>
      </c>
      <c r="I33" s="128">
        <v>0.70899999999999996</v>
      </c>
      <c r="J33" s="128">
        <v>0.745</v>
      </c>
      <c r="K33" s="128">
        <v>0.78300000000000003</v>
      </c>
      <c r="L33" s="128">
        <v>0.82399999999999995</v>
      </c>
      <c r="M33" s="128">
        <v>0.86899999999999999</v>
      </c>
      <c r="N33" s="128">
        <v>0.91900000000000004</v>
      </c>
      <c r="O33" s="128">
        <v>0.97399999999999998</v>
      </c>
      <c r="P33" s="128"/>
    </row>
    <row r="34" spans="1:16" x14ac:dyDescent="0.25">
      <c r="A34" s="104">
        <v>7</v>
      </c>
      <c r="B34" s="128">
        <v>0.52800000000000002</v>
      </c>
      <c r="C34" s="128">
        <v>0.54900000000000004</v>
      </c>
      <c r="D34" s="128">
        <v>0.57099999999999995</v>
      </c>
      <c r="E34" s="128">
        <v>0.59599999999999997</v>
      </c>
      <c r="F34" s="128">
        <v>0.622</v>
      </c>
      <c r="G34" s="128">
        <v>0.65</v>
      </c>
      <c r="H34" s="128">
        <v>0.67900000000000005</v>
      </c>
      <c r="I34" s="128">
        <v>0.71199999999999997</v>
      </c>
      <c r="J34" s="128">
        <v>0.748</v>
      </c>
      <c r="K34" s="128">
        <v>0.78600000000000003</v>
      </c>
      <c r="L34" s="128">
        <v>0.82799999999999996</v>
      </c>
      <c r="M34" s="128">
        <v>0.873</v>
      </c>
      <c r="N34" s="128">
        <v>0.92400000000000004</v>
      </c>
      <c r="O34" s="128">
        <v>0.97899999999999998</v>
      </c>
      <c r="P34" s="128"/>
    </row>
    <row r="35" spans="1:16" x14ac:dyDescent="0.25">
      <c r="A35" s="104">
        <v>8</v>
      </c>
      <c r="B35" s="128">
        <v>0.52900000000000003</v>
      </c>
      <c r="C35" s="128">
        <v>0.55100000000000005</v>
      </c>
      <c r="D35" s="128">
        <v>0.57299999999999995</v>
      </c>
      <c r="E35" s="128">
        <v>0.59799999999999998</v>
      </c>
      <c r="F35" s="128">
        <v>0.624</v>
      </c>
      <c r="G35" s="128">
        <v>0.65200000000000002</v>
      </c>
      <c r="H35" s="128">
        <v>0.68200000000000005</v>
      </c>
      <c r="I35" s="128">
        <v>0.71499999999999997</v>
      </c>
      <c r="J35" s="128">
        <v>0.751</v>
      </c>
      <c r="K35" s="128">
        <v>0.78900000000000003</v>
      </c>
      <c r="L35" s="128">
        <v>0.83099999999999996</v>
      </c>
      <c r="M35" s="128">
        <v>0.877</v>
      </c>
      <c r="N35" s="128">
        <v>0.92800000000000005</v>
      </c>
      <c r="O35" s="128">
        <v>0.98299999999999998</v>
      </c>
      <c r="P35" s="128"/>
    </row>
    <row r="36" spans="1:16" x14ac:dyDescent="0.25">
      <c r="A36" s="104">
        <v>9</v>
      </c>
      <c r="B36" s="128">
        <v>0.53100000000000003</v>
      </c>
      <c r="C36" s="128">
        <v>0.55200000000000005</v>
      </c>
      <c r="D36" s="128">
        <v>0.57499999999999996</v>
      </c>
      <c r="E36" s="128">
        <v>0.6</v>
      </c>
      <c r="F36" s="128">
        <v>0.626</v>
      </c>
      <c r="G36" s="128">
        <v>0.65400000000000003</v>
      </c>
      <c r="H36" s="128">
        <v>0.68500000000000005</v>
      </c>
      <c r="I36" s="128">
        <v>0.71799999999999997</v>
      </c>
      <c r="J36" s="128">
        <v>0.754</v>
      </c>
      <c r="K36" s="128">
        <v>0.79300000000000004</v>
      </c>
      <c r="L36" s="128">
        <v>0.83499999999999996</v>
      </c>
      <c r="M36" s="128">
        <v>0.88100000000000001</v>
      </c>
      <c r="N36" s="128">
        <v>0.93200000000000005</v>
      </c>
      <c r="O36" s="128">
        <v>0.98799999999999999</v>
      </c>
      <c r="P36" s="128"/>
    </row>
    <row r="37" spans="1:16" x14ac:dyDescent="0.25">
      <c r="A37" s="104">
        <v>10</v>
      </c>
      <c r="B37" s="128">
        <v>0.53300000000000003</v>
      </c>
      <c r="C37" s="128">
        <v>0.55400000000000005</v>
      </c>
      <c r="D37" s="128">
        <v>0.57699999999999996</v>
      </c>
      <c r="E37" s="128">
        <v>0.60199999999999998</v>
      </c>
      <c r="F37" s="128">
        <v>0.629</v>
      </c>
      <c r="G37" s="128">
        <v>0.65700000000000003</v>
      </c>
      <c r="H37" s="128">
        <v>0.68700000000000006</v>
      </c>
      <c r="I37" s="128">
        <v>0.72099999999999997</v>
      </c>
      <c r="J37" s="128">
        <v>0.75700000000000001</v>
      </c>
      <c r="K37" s="128">
        <v>0.79600000000000004</v>
      </c>
      <c r="L37" s="128">
        <v>0.83899999999999997</v>
      </c>
      <c r="M37" s="128">
        <v>0.88500000000000001</v>
      </c>
      <c r="N37" s="128">
        <v>0.93700000000000006</v>
      </c>
      <c r="O37" s="128">
        <v>0.99299999999999999</v>
      </c>
      <c r="P37" s="128"/>
    </row>
    <row r="38" spans="1:16" x14ac:dyDescent="0.25">
      <c r="A38" s="104">
        <v>11</v>
      </c>
      <c r="B38" s="128">
        <v>0.53400000000000003</v>
      </c>
      <c r="C38" s="128">
        <v>0.55600000000000005</v>
      </c>
      <c r="D38" s="128">
        <v>0.57899999999999996</v>
      </c>
      <c r="E38" s="128">
        <v>0.60399999999999998</v>
      </c>
      <c r="F38" s="128">
        <v>0.63100000000000001</v>
      </c>
      <c r="G38" s="128">
        <v>0.65900000000000003</v>
      </c>
      <c r="H38" s="128">
        <v>0.69</v>
      </c>
      <c r="I38" s="128">
        <v>0.72399999999999998</v>
      </c>
      <c r="J38" s="128">
        <v>0.76</v>
      </c>
      <c r="K38" s="128">
        <v>0.79900000000000004</v>
      </c>
      <c r="L38" s="128">
        <v>0.84199999999999997</v>
      </c>
      <c r="M38" s="128">
        <v>0.88900000000000001</v>
      </c>
      <c r="N38" s="128">
        <v>0.94099999999999995</v>
      </c>
      <c r="O38" s="128">
        <v>0.998</v>
      </c>
      <c r="P38" s="128"/>
    </row>
    <row r="39" spans="1:16" x14ac:dyDescent="0.25">
      <c r="A39"/>
      <c r="B39"/>
    </row>
    <row r="40" spans="1:16" x14ac:dyDescent="0.25">
      <c r="A40"/>
      <c r="B40"/>
    </row>
    <row r="41" spans="1:16" x14ac:dyDescent="0.25">
      <c r="A41"/>
      <c r="B41"/>
    </row>
    <row r="42" spans="1:16" x14ac:dyDescent="0.25">
      <c r="A42"/>
      <c r="B42"/>
    </row>
    <row r="43" spans="1:16" x14ac:dyDescent="0.25">
      <c r="A43"/>
      <c r="B43"/>
    </row>
    <row r="44" spans="1:16" ht="39.6" customHeight="1" x14ac:dyDescent="0.25">
      <c r="A44"/>
      <c r="B44"/>
    </row>
    <row r="45" spans="1:16" x14ac:dyDescent="0.25">
      <c r="A45"/>
      <c r="B45"/>
    </row>
    <row r="46" spans="1:16" ht="27.6" customHeight="1" x14ac:dyDescent="0.25">
      <c r="A46"/>
      <c r="B46"/>
    </row>
    <row r="47" spans="1:16" x14ac:dyDescent="0.25">
      <c r="A47"/>
      <c r="B47"/>
    </row>
    <row r="48" spans="1: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6eu3/c4RMEwPeEpV4R/9zxeuNck+WPt6wzQe0wMeMzEvBsH15S/rukJ6oMPjnGTWq6XG1SjffnjfTiNiMDcjVQ==" saltValue="2sH3cIn0CiIl3Cg667uQ4Q==" spinCount="100000" sheet="1" objects="1" scenarios="1"/>
  <conditionalFormatting sqref="A6:A21">
    <cfRule type="expression" dxfId="1091" priority="1" stopIfTrue="1">
      <formula>MOD(ROW(),2)=0</formula>
    </cfRule>
    <cfRule type="expression" dxfId="1090" priority="2" stopIfTrue="1">
      <formula>MOD(ROW(),2)&lt;&gt;0</formula>
    </cfRule>
  </conditionalFormatting>
  <conditionalFormatting sqref="A26:A38">
    <cfRule type="expression" dxfId="1089" priority="9" stopIfTrue="1">
      <formula>MOD(ROW(),2)=0</formula>
    </cfRule>
    <cfRule type="expression" dxfId="1088" priority="10" stopIfTrue="1">
      <formula>MOD(ROW(),2)&lt;&gt;0</formula>
    </cfRule>
  </conditionalFormatting>
  <conditionalFormatting sqref="B17:B21">
    <cfRule type="expression" dxfId="1087" priority="5" stopIfTrue="1">
      <formula>MOD(ROW(),2)=0</formula>
    </cfRule>
    <cfRule type="expression" dxfId="1086" priority="6" stopIfTrue="1">
      <formula>MOD(ROW(),2)&lt;&gt;0</formula>
    </cfRule>
  </conditionalFormatting>
  <conditionalFormatting sqref="B6:P21">
    <cfRule type="expression" dxfId="1085" priority="29" stopIfTrue="1">
      <formula>MOD(ROW(),2)=0</formula>
    </cfRule>
    <cfRule type="expression" dxfId="1084" priority="30" stopIfTrue="1">
      <formula>MOD(ROW(),2)&lt;&gt;0</formula>
    </cfRule>
  </conditionalFormatting>
  <conditionalFormatting sqref="B26:P38">
    <cfRule type="expression" dxfId="1083" priority="11" stopIfTrue="1">
      <formula>MOD(ROW(),2)=0</formula>
    </cfRule>
    <cfRule type="expression" dxfId="1082" priority="12" stopIfTrue="1">
      <formula>MOD(ROW(),2)&lt;&gt;0</formula>
    </cfRule>
  </conditionalFormatting>
  <hyperlinks>
    <hyperlink ref="B24" location="Sheet1!A1" display="Assumptions" xr:uid="{C86CBBA9-7A6F-4A0F-B51F-15703650DF7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2"/>
  <dimension ref="A1:L65"/>
  <sheetViews>
    <sheetView showGridLines="0" zoomScale="85" zoomScaleNormal="85" workbookViewId="0">
      <selection activeCell="B9" sqref="B9"/>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39" t="s">
        <v>0</v>
      </c>
      <c r="B1" s="40"/>
      <c r="C1" s="40"/>
      <c r="D1" s="40"/>
      <c r="E1" s="40"/>
      <c r="F1" s="40"/>
      <c r="G1" s="40"/>
      <c r="H1" s="40"/>
      <c r="I1" s="40"/>
    </row>
    <row r="2" spans="1:12"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2" ht="15.6" x14ac:dyDescent="0.3">
      <c r="A3" s="43" t="str">
        <f>TABLE_FACTOR_TYPE_1&amp;" - x-"&amp;TABLE_SERIES_NUMBER_1</f>
        <v>ERF - x-406</v>
      </c>
      <c r="B3" s="42"/>
      <c r="C3" s="42"/>
      <c r="D3" s="42"/>
      <c r="E3" s="42"/>
      <c r="F3" s="42"/>
      <c r="G3" s="42"/>
      <c r="H3" s="42"/>
      <c r="I3" s="42"/>
    </row>
    <row r="4" spans="1:12" x14ac:dyDescent="0.25">
      <c r="A4" s="44"/>
    </row>
    <row r="6" spans="1:12" x14ac:dyDescent="0.25">
      <c r="A6" s="76" t="s">
        <v>290</v>
      </c>
      <c r="B6" s="129" t="s">
        <v>291</v>
      </c>
      <c r="C6" s="129"/>
      <c r="D6" s="129"/>
      <c r="E6" s="129"/>
      <c r="F6" s="129"/>
      <c r="G6" s="129"/>
      <c r="H6" s="129"/>
      <c r="I6" s="129"/>
      <c r="J6" s="129"/>
      <c r="K6" s="129"/>
      <c r="L6" s="129"/>
    </row>
    <row r="7" spans="1:12" x14ac:dyDescent="0.25">
      <c r="A7" s="77" t="s">
        <v>804</v>
      </c>
      <c r="B7" s="129" t="s">
        <v>345</v>
      </c>
      <c r="C7" s="129"/>
      <c r="D7" s="129"/>
      <c r="E7" s="129"/>
      <c r="F7" s="129"/>
      <c r="G7" s="129"/>
      <c r="H7" s="129"/>
      <c r="I7" s="129"/>
      <c r="J7" s="129"/>
      <c r="K7" s="129"/>
      <c r="L7" s="129"/>
    </row>
    <row r="8" spans="1:12" x14ac:dyDescent="0.25">
      <c r="A8" s="77" t="s">
        <v>805</v>
      </c>
      <c r="B8" s="129" t="s">
        <v>442</v>
      </c>
      <c r="C8" s="129"/>
      <c r="D8" s="129"/>
      <c r="E8" s="129"/>
      <c r="F8" s="129"/>
      <c r="G8" s="129"/>
      <c r="H8" s="129"/>
      <c r="I8" s="129"/>
      <c r="J8" s="129"/>
      <c r="K8" s="129"/>
      <c r="L8" s="129"/>
    </row>
    <row r="9" spans="1:12" x14ac:dyDescent="0.25">
      <c r="A9" s="77" t="s">
        <v>296</v>
      </c>
      <c r="B9" s="129" t="s">
        <v>418</v>
      </c>
      <c r="C9" s="129"/>
      <c r="D9" s="129"/>
      <c r="E9" s="129"/>
      <c r="F9" s="129"/>
      <c r="G9" s="129"/>
      <c r="H9" s="129"/>
      <c r="I9" s="129"/>
      <c r="J9" s="129"/>
      <c r="K9" s="129"/>
      <c r="L9" s="129"/>
    </row>
    <row r="10" spans="1:12" x14ac:dyDescent="0.25">
      <c r="A10" s="77" t="s">
        <v>6</v>
      </c>
      <c r="B10" s="129" t="s">
        <v>435</v>
      </c>
      <c r="C10" s="129"/>
      <c r="D10" s="129"/>
      <c r="E10" s="129"/>
      <c r="F10" s="129"/>
      <c r="G10" s="129"/>
      <c r="H10" s="129"/>
      <c r="I10" s="129"/>
      <c r="J10" s="129"/>
      <c r="K10" s="129"/>
      <c r="L10" s="129"/>
    </row>
    <row r="11" spans="1:12" x14ac:dyDescent="0.25">
      <c r="A11" s="77" t="s">
        <v>299</v>
      </c>
      <c r="B11" s="129" t="s">
        <v>364</v>
      </c>
      <c r="C11" s="129"/>
      <c r="D11" s="129"/>
      <c r="E11" s="129"/>
      <c r="F11" s="129"/>
      <c r="G11" s="129"/>
      <c r="H11" s="129"/>
      <c r="I11" s="129"/>
      <c r="J11" s="129"/>
      <c r="K11" s="129"/>
      <c r="L11" s="129"/>
    </row>
    <row r="12" spans="1:12" x14ac:dyDescent="0.25">
      <c r="A12" s="77" t="s">
        <v>301</v>
      </c>
      <c r="B12" s="129" t="s">
        <v>436</v>
      </c>
      <c r="C12" s="129"/>
      <c r="D12" s="129"/>
      <c r="E12" s="129"/>
      <c r="F12" s="129"/>
      <c r="G12" s="129"/>
      <c r="H12" s="129"/>
      <c r="I12" s="129"/>
      <c r="J12" s="129"/>
      <c r="K12" s="129"/>
      <c r="L12" s="129"/>
    </row>
    <row r="13" spans="1:12" x14ac:dyDescent="0.25">
      <c r="A13" s="77" t="s">
        <v>806</v>
      </c>
      <c r="B13" s="129">
        <v>1</v>
      </c>
      <c r="C13" s="129"/>
      <c r="D13" s="129"/>
      <c r="E13" s="129"/>
      <c r="F13" s="129"/>
      <c r="G13" s="129"/>
      <c r="H13" s="129"/>
      <c r="I13" s="129"/>
      <c r="J13" s="129"/>
      <c r="K13" s="129"/>
      <c r="L13" s="129"/>
    </row>
    <row r="14" spans="1:12" x14ac:dyDescent="0.25">
      <c r="A14" s="77" t="s">
        <v>305</v>
      </c>
      <c r="B14" s="129">
        <v>406</v>
      </c>
      <c r="C14" s="129"/>
      <c r="D14" s="129"/>
      <c r="E14" s="129"/>
      <c r="F14" s="129"/>
      <c r="G14" s="129"/>
      <c r="H14" s="129"/>
      <c r="I14" s="129"/>
      <c r="J14" s="129"/>
      <c r="K14" s="129"/>
      <c r="L14" s="129"/>
    </row>
    <row r="15" spans="1:12" x14ac:dyDescent="0.25">
      <c r="A15" s="77" t="s">
        <v>307</v>
      </c>
      <c r="B15" s="129" t="s">
        <v>437</v>
      </c>
      <c r="C15" s="129"/>
      <c r="D15" s="129"/>
      <c r="E15" s="129"/>
      <c r="F15" s="129"/>
      <c r="G15" s="129"/>
      <c r="H15" s="129"/>
      <c r="I15" s="129"/>
      <c r="J15" s="129"/>
      <c r="K15" s="129"/>
      <c r="L15" s="129"/>
    </row>
    <row r="16" spans="1:12" x14ac:dyDescent="0.25">
      <c r="A16" s="77" t="s">
        <v>825</v>
      </c>
      <c r="B16" s="129" t="s">
        <v>438</v>
      </c>
      <c r="C16" s="129"/>
      <c r="D16" s="129"/>
      <c r="E16" s="129"/>
      <c r="F16" s="129"/>
      <c r="G16" s="129"/>
      <c r="H16" s="129"/>
      <c r="I16" s="129"/>
      <c r="J16" s="129"/>
      <c r="K16" s="129"/>
      <c r="L16" s="129"/>
    </row>
    <row r="17" spans="1:12" x14ac:dyDescent="0.25">
      <c r="A17" s="77" t="s">
        <v>803</v>
      </c>
      <c r="B17" s="129"/>
      <c r="C17" s="129"/>
      <c r="D17" s="129"/>
      <c r="E17" s="129"/>
      <c r="F17" s="129"/>
      <c r="G17" s="129"/>
      <c r="H17" s="129"/>
      <c r="I17" s="129"/>
      <c r="J17" s="129"/>
      <c r="K17" s="129"/>
      <c r="L17" s="129"/>
    </row>
    <row r="18" spans="1:12" x14ac:dyDescent="0.25">
      <c r="A18" s="77" t="s">
        <v>313</v>
      </c>
      <c r="B18" s="187">
        <v>45106</v>
      </c>
      <c r="C18" s="129"/>
      <c r="D18" s="129"/>
      <c r="E18" s="129"/>
      <c r="F18" s="129"/>
      <c r="G18" s="129"/>
      <c r="H18" s="129"/>
      <c r="I18" s="129"/>
      <c r="J18" s="129"/>
      <c r="K18" s="129"/>
      <c r="L18" s="129"/>
    </row>
    <row r="19" spans="1:12" x14ac:dyDescent="0.25">
      <c r="A19" s="77" t="s">
        <v>315</v>
      </c>
      <c r="B19" s="187"/>
      <c r="C19" s="129"/>
      <c r="D19" s="129"/>
      <c r="E19" s="129"/>
      <c r="F19" s="129"/>
      <c r="G19" s="129"/>
      <c r="H19" s="129"/>
      <c r="I19" s="129"/>
      <c r="J19" s="129"/>
      <c r="K19" s="129"/>
      <c r="L19" s="129"/>
    </row>
    <row r="20" spans="1:12" x14ac:dyDescent="0.25">
      <c r="A20" s="77" t="s">
        <v>317</v>
      </c>
      <c r="B20" s="129" t="s">
        <v>331</v>
      </c>
      <c r="C20" s="129"/>
      <c r="D20" s="129"/>
      <c r="E20" s="129"/>
      <c r="F20" s="129"/>
      <c r="G20" s="129"/>
      <c r="H20" s="129"/>
      <c r="I20" s="129"/>
      <c r="J20" s="129"/>
      <c r="K20" s="129"/>
      <c r="L20" s="129"/>
    </row>
    <row r="21" spans="1:12" x14ac:dyDescent="0.25">
      <c r="A21" s="77" t="s">
        <v>323</v>
      </c>
      <c r="B21" s="129" t="s">
        <v>332</v>
      </c>
      <c r="C21" s="129"/>
      <c r="D21" s="129"/>
      <c r="E21" s="129"/>
      <c r="F21" s="129"/>
      <c r="G21" s="129"/>
      <c r="H21" s="129"/>
      <c r="I21" s="129"/>
      <c r="J21" s="129"/>
      <c r="K21" s="129"/>
      <c r="L21" s="129"/>
    </row>
    <row r="23" spans="1:12" x14ac:dyDescent="0.25">
      <c r="B23" s="102" t="str">
        <f>HYPERLINK("#'Factor List'!A1","Back to Factor List")</f>
        <v>Back to Factor List</v>
      </c>
    </row>
    <row r="24" spans="1:12" x14ac:dyDescent="0.25">
      <c r="B24" s="102" t="s">
        <v>13</v>
      </c>
    </row>
    <row r="25" spans="1:12" x14ac:dyDescent="0.25">
      <c r="B25" s="102"/>
    </row>
    <row r="26" spans="1:12" x14ac:dyDescent="0.25">
      <c r="A26" s="103" t="s">
        <v>855</v>
      </c>
      <c r="B26" s="103">
        <v>50</v>
      </c>
      <c r="C26" s="103">
        <v>51</v>
      </c>
      <c r="D26" s="103">
        <v>52</v>
      </c>
      <c r="E26" s="103">
        <v>53</v>
      </c>
      <c r="F26" s="103">
        <v>54</v>
      </c>
      <c r="G26" s="103">
        <v>55</v>
      </c>
      <c r="H26" s="103">
        <v>56</v>
      </c>
      <c r="I26" s="103">
        <v>57</v>
      </c>
      <c r="J26" s="103">
        <v>58</v>
      </c>
      <c r="K26" s="103">
        <v>59</v>
      </c>
      <c r="L26" s="103">
        <v>60</v>
      </c>
    </row>
    <row r="27" spans="1:12" x14ac:dyDescent="0.25">
      <c r="A27" s="104">
        <v>0</v>
      </c>
      <c r="B27" s="128">
        <v>0.67300000000000004</v>
      </c>
      <c r="C27" s="128">
        <v>0.69599999999999995</v>
      </c>
      <c r="D27" s="128">
        <v>0.72</v>
      </c>
      <c r="E27" s="128">
        <v>0.747</v>
      </c>
      <c r="F27" s="128">
        <v>0.77500000000000002</v>
      </c>
      <c r="G27" s="128">
        <v>0.80600000000000005</v>
      </c>
      <c r="H27" s="128">
        <v>0.84099999999999997</v>
      </c>
      <c r="I27" s="128">
        <v>0.877</v>
      </c>
      <c r="J27" s="128">
        <v>0.91600000000000004</v>
      </c>
      <c r="K27" s="128">
        <v>0.95699999999999996</v>
      </c>
      <c r="L27" s="128">
        <v>1</v>
      </c>
    </row>
    <row r="28" spans="1:12" x14ac:dyDescent="0.25">
      <c r="A28" s="104">
        <v>1</v>
      </c>
      <c r="B28" s="128">
        <v>0.67500000000000004</v>
      </c>
      <c r="C28" s="128">
        <v>0.69799999999999995</v>
      </c>
      <c r="D28" s="128">
        <v>0.72199999999999998</v>
      </c>
      <c r="E28" s="128">
        <v>0.75</v>
      </c>
      <c r="F28" s="128">
        <v>0.77800000000000002</v>
      </c>
      <c r="G28" s="128">
        <v>0.80900000000000005</v>
      </c>
      <c r="H28" s="128">
        <v>0.84399999999999997</v>
      </c>
      <c r="I28" s="128">
        <v>0.88</v>
      </c>
      <c r="J28" s="128">
        <v>0.91900000000000004</v>
      </c>
      <c r="K28" s="128">
        <v>0.96099999999999997</v>
      </c>
      <c r="L28" s="128"/>
    </row>
    <row r="29" spans="1:12" x14ac:dyDescent="0.25">
      <c r="A29" s="104">
        <v>2</v>
      </c>
      <c r="B29" s="128">
        <v>0.67700000000000005</v>
      </c>
      <c r="C29" s="128">
        <v>0.7</v>
      </c>
      <c r="D29" s="128">
        <v>0.72499999999999998</v>
      </c>
      <c r="E29" s="128">
        <v>0.752</v>
      </c>
      <c r="F29" s="128">
        <v>0.78</v>
      </c>
      <c r="G29" s="128">
        <v>0.81200000000000006</v>
      </c>
      <c r="H29" s="128">
        <v>0.84699999999999998</v>
      </c>
      <c r="I29" s="128">
        <v>0.88300000000000001</v>
      </c>
      <c r="J29" s="128">
        <v>0.92300000000000004</v>
      </c>
      <c r="K29" s="128">
        <v>0.96399999999999997</v>
      </c>
      <c r="L29" s="128"/>
    </row>
    <row r="30" spans="1:12" x14ac:dyDescent="0.25">
      <c r="A30" s="104">
        <v>3</v>
      </c>
      <c r="B30" s="128">
        <v>0.67900000000000005</v>
      </c>
      <c r="C30" s="128">
        <v>0.70199999999999996</v>
      </c>
      <c r="D30" s="128">
        <v>0.72699999999999998</v>
      </c>
      <c r="E30" s="128">
        <v>0.754</v>
      </c>
      <c r="F30" s="128">
        <v>0.78300000000000003</v>
      </c>
      <c r="G30" s="128">
        <v>0.81499999999999995</v>
      </c>
      <c r="H30" s="128">
        <v>0.85</v>
      </c>
      <c r="I30" s="128">
        <v>0.88600000000000001</v>
      </c>
      <c r="J30" s="128">
        <v>0.92600000000000005</v>
      </c>
      <c r="K30" s="128">
        <v>0.96799999999999997</v>
      </c>
      <c r="L30" s="128"/>
    </row>
    <row r="31" spans="1:12" x14ac:dyDescent="0.25">
      <c r="A31" s="104">
        <v>4</v>
      </c>
      <c r="B31" s="128">
        <v>0.68100000000000005</v>
      </c>
      <c r="C31" s="128">
        <v>0.70399999999999996</v>
      </c>
      <c r="D31" s="128">
        <v>0.72899999999999998</v>
      </c>
      <c r="E31" s="128">
        <v>0.75700000000000001</v>
      </c>
      <c r="F31" s="128">
        <v>0.78600000000000003</v>
      </c>
      <c r="G31" s="128">
        <v>0.81799999999999995</v>
      </c>
      <c r="H31" s="128">
        <v>0.85299999999999998</v>
      </c>
      <c r="I31" s="128">
        <v>0.89</v>
      </c>
      <c r="J31" s="128">
        <v>0.92900000000000005</v>
      </c>
      <c r="K31" s="128">
        <v>0.97199999999999998</v>
      </c>
      <c r="L31" s="128"/>
    </row>
    <row r="32" spans="1:12" x14ac:dyDescent="0.25">
      <c r="A32" s="104">
        <v>5</v>
      </c>
      <c r="B32" s="128">
        <v>0.68300000000000005</v>
      </c>
      <c r="C32" s="128">
        <v>0.70599999999999996</v>
      </c>
      <c r="D32" s="128">
        <v>0.73099999999999998</v>
      </c>
      <c r="E32" s="128">
        <v>0.75900000000000001</v>
      </c>
      <c r="F32" s="128">
        <v>0.78800000000000003</v>
      </c>
      <c r="G32" s="128">
        <v>0.82099999999999995</v>
      </c>
      <c r="H32" s="128">
        <v>0.85599999999999998</v>
      </c>
      <c r="I32" s="128">
        <v>0.89300000000000002</v>
      </c>
      <c r="J32" s="128">
        <v>0.93300000000000005</v>
      </c>
      <c r="K32" s="128">
        <v>0.97599999999999998</v>
      </c>
      <c r="L32" s="128"/>
    </row>
    <row r="33" spans="1:12" x14ac:dyDescent="0.25">
      <c r="A33" s="104">
        <v>6</v>
      </c>
      <c r="B33" s="128">
        <v>0.68400000000000005</v>
      </c>
      <c r="C33" s="128">
        <v>0.70799999999999996</v>
      </c>
      <c r="D33" s="128">
        <v>0.73399999999999999</v>
      </c>
      <c r="E33" s="128">
        <v>0.76100000000000001</v>
      </c>
      <c r="F33" s="128">
        <v>0.79100000000000004</v>
      </c>
      <c r="G33" s="128">
        <v>0.82299999999999995</v>
      </c>
      <c r="H33" s="128">
        <v>0.85899999999999999</v>
      </c>
      <c r="I33" s="128">
        <v>0.89600000000000002</v>
      </c>
      <c r="J33" s="128">
        <v>0.93600000000000005</v>
      </c>
      <c r="K33" s="128">
        <v>0.97899999999999998</v>
      </c>
      <c r="L33" s="128"/>
    </row>
    <row r="34" spans="1:12" x14ac:dyDescent="0.25">
      <c r="A34" s="104">
        <v>7</v>
      </c>
      <c r="B34" s="128">
        <v>0.68600000000000005</v>
      </c>
      <c r="C34" s="128">
        <v>0.71</v>
      </c>
      <c r="D34" s="128">
        <v>0.73599999999999999</v>
      </c>
      <c r="E34" s="128">
        <v>0.76400000000000001</v>
      </c>
      <c r="F34" s="128">
        <v>0.79300000000000004</v>
      </c>
      <c r="G34" s="128">
        <v>0.82599999999999996</v>
      </c>
      <c r="H34" s="128">
        <v>0.86199999999999999</v>
      </c>
      <c r="I34" s="128">
        <v>0.89900000000000002</v>
      </c>
      <c r="J34" s="128">
        <v>0.94</v>
      </c>
      <c r="K34" s="128">
        <v>0.98299999999999998</v>
      </c>
      <c r="L34" s="128"/>
    </row>
    <row r="35" spans="1:12" x14ac:dyDescent="0.25">
      <c r="A35" s="104">
        <v>8</v>
      </c>
      <c r="B35" s="128">
        <v>0.68799999999999994</v>
      </c>
      <c r="C35" s="128">
        <v>0.71199999999999997</v>
      </c>
      <c r="D35" s="128">
        <v>0.73799999999999999</v>
      </c>
      <c r="E35" s="128">
        <v>0.76600000000000001</v>
      </c>
      <c r="F35" s="128">
        <v>0.79600000000000004</v>
      </c>
      <c r="G35" s="128">
        <v>0.82899999999999996</v>
      </c>
      <c r="H35" s="128">
        <v>0.86499999999999999</v>
      </c>
      <c r="I35" s="128">
        <v>0.90300000000000002</v>
      </c>
      <c r="J35" s="128">
        <v>0.94299999999999995</v>
      </c>
      <c r="K35" s="128">
        <v>0.98699999999999999</v>
      </c>
      <c r="L35" s="128"/>
    </row>
    <row r="36" spans="1:12" x14ac:dyDescent="0.25">
      <c r="A36" s="104">
        <v>9</v>
      </c>
      <c r="B36" s="128">
        <v>0.69</v>
      </c>
      <c r="C36" s="128">
        <v>0.71399999999999997</v>
      </c>
      <c r="D36" s="128">
        <v>0.74</v>
      </c>
      <c r="E36" s="128">
        <v>0.76800000000000002</v>
      </c>
      <c r="F36" s="128">
        <v>0.79900000000000004</v>
      </c>
      <c r="G36" s="128">
        <v>0.83199999999999996</v>
      </c>
      <c r="H36" s="128">
        <v>0.86799999999999999</v>
      </c>
      <c r="I36" s="128">
        <v>0.90600000000000003</v>
      </c>
      <c r="J36" s="128">
        <v>0.94599999999999995</v>
      </c>
      <c r="K36" s="128">
        <v>0.99099999999999999</v>
      </c>
      <c r="L36" s="128"/>
    </row>
    <row r="37" spans="1:12" x14ac:dyDescent="0.25">
      <c r="A37" s="104">
        <v>10</v>
      </c>
      <c r="B37" s="128">
        <v>0.69199999999999995</v>
      </c>
      <c r="C37" s="128">
        <v>0.71599999999999997</v>
      </c>
      <c r="D37" s="128">
        <v>0.74299999999999999</v>
      </c>
      <c r="E37" s="128">
        <v>0.77100000000000002</v>
      </c>
      <c r="F37" s="128">
        <v>0.80100000000000005</v>
      </c>
      <c r="G37" s="128">
        <v>0.83499999999999996</v>
      </c>
      <c r="H37" s="128">
        <v>0.871</v>
      </c>
      <c r="I37" s="128">
        <v>0.90900000000000003</v>
      </c>
      <c r="J37" s="128">
        <v>0.95</v>
      </c>
      <c r="K37" s="128">
        <v>0.99399999999999999</v>
      </c>
      <c r="L37" s="128"/>
    </row>
    <row r="38" spans="1:12" x14ac:dyDescent="0.25">
      <c r="A38" s="104">
        <v>11</v>
      </c>
      <c r="B38" s="128">
        <v>0.69399999999999995</v>
      </c>
      <c r="C38" s="128">
        <v>0.71799999999999997</v>
      </c>
      <c r="D38" s="128">
        <v>0.745</v>
      </c>
      <c r="E38" s="128">
        <v>0.77300000000000002</v>
      </c>
      <c r="F38" s="128">
        <v>0.80400000000000005</v>
      </c>
      <c r="G38" s="128">
        <v>0.83799999999999997</v>
      </c>
      <c r="H38" s="128">
        <v>0.874</v>
      </c>
      <c r="I38" s="128">
        <v>0.91200000000000003</v>
      </c>
      <c r="J38" s="128">
        <v>0.95299999999999996</v>
      </c>
      <c r="K38" s="128">
        <v>0.998</v>
      </c>
      <c r="L38" s="128"/>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ts07p0KetggMmUhiutIbid/lahGqYvcxpFK/odOFxVbI85DMinoA+TWH7WC3ctnI+ZcmE7tdM88YFO4WxAQ0tg==" saltValue="ooPkoeJdsOS5pQidmUhP4w==" spinCount="100000" sheet="1" objects="1" scenarios="1"/>
  <conditionalFormatting sqref="A6:A21">
    <cfRule type="expression" dxfId="1081" priority="1" stopIfTrue="1">
      <formula>MOD(ROW(),2)=0</formula>
    </cfRule>
    <cfRule type="expression" dxfId="1080" priority="2" stopIfTrue="1">
      <formula>MOD(ROW(),2)&lt;&gt;0</formula>
    </cfRule>
  </conditionalFormatting>
  <conditionalFormatting sqref="A26:A38">
    <cfRule type="expression" dxfId="1079" priority="9" stopIfTrue="1">
      <formula>MOD(ROW(),2)=0</formula>
    </cfRule>
    <cfRule type="expression" dxfId="1078" priority="10" stopIfTrue="1">
      <formula>MOD(ROW(),2)&lt;&gt;0</formula>
    </cfRule>
  </conditionalFormatting>
  <conditionalFormatting sqref="B18:B21">
    <cfRule type="expression" dxfId="1077" priority="5" stopIfTrue="1">
      <formula>MOD(ROW(),2)=0</formula>
    </cfRule>
    <cfRule type="expression" dxfId="1076" priority="6" stopIfTrue="1">
      <formula>MOD(ROW(),2)&lt;&gt;0</formula>
    </cfRule>
  </conditionalFormatting>
  <conditionalFormatting sqref="B6:L21">
    <cfRule type="expression" dxfId="1075" priority="27" stopIfTrue="1">
      <formula>MOD(ROW(),2)=0</formula>
    </cfRule>
    <cfRule type="expression" dxfId="1074" priority="28" stopIfTrue="1">
      <formula>MOD(ROW(),2)&lt;&gt;0</formula>
    </cfRule>
  </conditionalFormatting>
  <conditionalFormatting sqref="B26:L38">
    <cfRule type="expression" dxfId="1073" priority="11" stopIfTrue="1">
      <formula>MOD(ROW(),2)=0</formula>
    </cfRule>
    <cfRule type="expression" dxfId="1072" priority="12" stopIfTrue="1">
      <formula>MOD(ROW(),2)&lt;&gt;0</formula>
    </cfRule>
  </conditionalFormatting>
  <hyperlinks>
    <hyperlink ref="B24" location="Sheet1!A1" display="Assumptions" xr:uid="{82EF13B7-C78C-4AFA-9E60-82F02C73272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3"/>
  <dimension ref="A1:L65"/>
  <sheetViews>
    <sheetView showGridLines="0" zoomScale="85" zoomScaleNormal="85" workbookViewId="0">
      <selection activeCell="A4" sqref="A4"/>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39" t="s">
        <v>0</v>
      </c>
      <c r="B1" s="40"/>
      <c r="C1" s="40"/>
      <c r="D1" s="40"/>
      <c r="E1" s="40"/>
      <c r="F1" s="40"/>
      <c r="G1" s="40"/>
      <c r="H1" s="40"/>
      <c r="I1" s="40"/>
    </row>
    <row r="2" spans="1:12"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2" ht="15.6" x14ac:dyDescent="0.3">
      <c r="A3" s="43" t="str">
        <f>TABLE_FACTOR_TYPE_1&amp;" - x-"&amp;TABLE_SERIES_NUMBER_1</f>
        <v>ERF - x-407</v>
      </c>
      <c r="B3" s="42"/>
      <c r="C3" s="42"/>
      <c r="D3" s="42"/>
      <c r="E3" s="42"/>
      <c r="F3" s="42"/>
      <c r="G3" s="42"/>
      <c r="H3" s="42"/>
      <c r="I3" s="42"/>
    </row>
    <row r="4" spans="1:12" x14ac:dyDescent="0.25">
      <c r="A4" s="44"/>
    </row>
    <row r="6" spans="1:12" x14ac:dyDescent="0.25">
      <c r="A6" s="76" t="s">
        <v>290</v>
      </c>
      <c r="B6" s="129" t="s">
        <v>291</v>
      </c>
      <c r="C6" s="129"/>
      <c r="D6" s="129"/>
      <c r="E6" s="129"/>
      <c r="F6" s="129"/>
      <c r="G6" s="129"/>
      <c r="H6" s="129"/>
      <c r="I6" s="129"/>
      <c r="J6" s="129"/>
      <c r="K6" s="129"/>
      <c r="L6" s="129"/>
    </row>
    <row r="7" spans="1:12" x14ac:dyDescent="0.25">
      <c r="A7" s="77" t="s">
        <v>804</v>
      </c>
      <c r="B7" s="129" t="s">
        <v>345</v>
      </c>
      <c r="C7" s="129"/>
      <c r="D7" s="129"/>
      <c r="E7" s="129"/>
      <c r="F7" s="129"/>
      <c r="G7" s="129"/>
      <c r="H7" s="129"/>
      <c r="I7" s="129"/>
      <c r="J7" s="129"/>
      <c r="K7" s="129"/>
      <c r="L7" s="129"/>
    </row>
    <row r="8" spans="1:12" x14ac:dyDescent="0.25">
      <c r="A8" s="77" t="s">
        <v>805</v>
      </c>
      <c r="B8" s="129" t="s">
        <v>86</v>
      </c>
      <c r="C8" s="129"/>
      <c r="D8" s="129"/>
      <c r="E8" s="129"/>
      <c r="F8" s="129"/>
      <c r="G8" s="129"/>
      <c r="H8" s="129"/>
      <c r="I8" s="129"/>
      <c r="J8" s="129"/>
      <c r="K8" s="129"/>
      <c r="L8" s="129"/>
    </row>
    <row r="9" spans="1:12" x14ac:dyDescent="0.25">
      <c r="A9" s="77" t="s">
        <v>296</v>
      </c>
      <c r="B9" s="129" t="s">
        <v>418</v>
      </c>
      <c r="C9" s="129"/>
      <c r="D9" s="129"/>
      <c r="E9" s="129"/>
      <c r="F9" s="129"/>
      <c r="G9" s="129"/>
      <c r="H9" s="129"/>
      <c r="I9" s="129"/>
      <c r="J9" s="129"/>
      <c r="K9" s="129"/>
      <c r="L9" s="129"/>
    </row>
    <row r="10" spans="1:12" x14ac:dyDescent="0.25">
      <c r="A10" s="77" t="s">
        <v>6</v>
      </c>
      <c r="B10" s="129" t="s">
        <v>439</v>
      </c>
      <c r="C10" s="129"/>
      <c r="D10" s="129"/>
      <c r="E10" s="129"/>
      <c r="F10" s="129"/>
      <c r="G10" s="129"/>
      <c r="H10" s="129"/>
      <c r="I10" s="129"/>
      <c r="J10" s="129"/>
      <c r="K10" s="129"/>
      <c r="L10" s="129"/>
    </row>
    <row r="11" spans="1:12" x14ac:dyDescent="0.25">
      <c r="A11" s="77" t="s">
        <v>299</v>
      </c>
      <c r="B11" s="129" t="s">
        <v>364</v>
      </c>
      <c r="C11" s="129"/>
      <c r="D11" s="129"/>
      <c r="E11" s="129"/>
      <c r="F11" s="129"/>
      <c r="G11" s="129"/>
      <c r="H11" s="129"/>
      <c r="I11" s="129"/>
      <c r="J11" s="129"/>
      <c r="K11" s="129"/>
      <c r="L11" s="129"/>
    </row>
    <row r="12" spans="1:12" x14ac:dyDescent="0.25">
      <c r="A12" s="77" t="s">
        <v>301</v>
      </c>
      <c r="B12" s="129" t="s">
        <v>436</v>
      </c>
      <c r="C12" s="129"/>
      <c r="D12" s="129"/>
      <c r="E12" s="129"/>
      <c r="F12" s="129"/>
      <c r="G12" s="129"/>
      <c r="H12" s="129"/>
      <c r="I12" s="129"/>
      <c r="J12" s="129"/>
      <c r="K12" s="129"/>
      <c r="L12" s="129"/>
    </row>
    <row r="13" spans="1:12" x14ac:dyDescent="0.25">
      <c r="A13" s="77" t="s">
        <v>806</v>
      </c>
      <c r="B13" s="129">
        <v>1</v>
      </c>
      <c r="C13" s="129"/>
      <c r="D13" s="129"/>
      <c r="E13" s="129"/>
      <c r="F13" s="129"/>
      <c r="G13" s="129"/>
      <c r="H13" s="129"/>
      <c r="I13" s="129"/>
      <c r="J13" s="129"/>
      <c r="K13" s="129"/>
      <c r="L13" s="129"/>
    </row>
    <row r="14" spans="1:12" x14ac:dyDescent="0.25">
      <c r="A14" s="77" t="s">
        <v>305</v>
      </c>
      <c r="B14" s="129">
        <v>407</v>
      </c>
      <c r="C14" s="129"/>
      <c r="D14" s="129"/>
      <c r="E14" s="129"/>
      <c r="F14" s="129"/>
      <c r="G14" s="129"/>
      <c r="H14" s="129"/>
      <c r="I14" s="129"/>
      <c r="J14" s="129"/>
      <c r="K14" s="129"/>
      <c r="L14" s="129"/>
    </row>
    <row r="15" spans="1:12" x14ac:dyDescent="0.25">
      <c r="A15" s="77" t="s">
        <v>307</v>
      </c>
      <c r="B15" s="129" t="s">
        <v>440</v>
      </c>
      <c r="C15" s="129"/>
      <c r="D15" s="129"/>
      <c r="E15" s="129"/>
      <c r="F15" s="129"/>
      <c r="G15" s="129"/>
      <c r="H15" s="129"/>
      <c r="I15" s="129"/>
      <c r="J15" s="129"/>
      <c r="K15" s="129"/>
      <c r="L15" s="129"/>
    </row>
    <row r="16" spans="1:12" x14ac:dyDescent="0.25">
      <c r="A16" s="77" t="s">
        <v>825</v>
      </c>
      <c r="B16" s="129" t="s">
        <v>441</v>
      </c>
      <c r="C16" s="129"/>
      <c r="D16" s="129"/>
      <c r="E16" s="129"/>
      <c r="F16" s="129"/>
      <c r="G16" s="129"/>
      <c r="H16" s="129"/>
      <c r="I16" s="129"/>
      <c r="J16" s="129"/>
      <c r="K16" s="129"/>
      <c r="L16" s="129"/>
    </row>
    <row r="17" spans="1:12" x14ac:dyDescent="0.25">
      <c r="A17" s="77" t="s">
        <v>803</v>
      </c>
      <c r="B17" s="129"/>
      <c r="C17" s="129"/>
      <c r="D17" s="129"/>
      <c r="E17" s="129"/>
      <c r="F17" s="129"/>
      <c r="G17" s="129"/>
      <c r="H17" s="129"/>
      <c r="I17" s="129"/>
      <c r="J17" s="129"/>
      <c r="K17" s="129"/>
      <c r="L17" s="129"/>
    </row>
    <row r="18" spans="1:12" x14ac:dyDescent="0.25">
      <c r="A18" s="77" t="s">
        <v>313</v>
      </c>
      <c r="B18" s="187">
        <v>45106</v>
      </c>
      <c r="C18" s="129"/>
      <c r="D18" s="129"/>
      <c r="E18" s="129"/>
      <c r="F18" s="129"/>
      <c r="G18" s="129"/>
      <c r="H18" s="129"/>
      <c r="I18" s="129"/>
      <c r="J18" s="129"/>
      <c r="K18" s="129"/>
      <c r="L18" s="129"/>
    </row>
    <row r="19" spans="1:12" x14ac:dyDescent="0.25">
      <c r="A19" s="77" t="s">
        <v>315</v>
      </c>
      <c r="B19" s="187"/>
      <c r="C19" s="129"/>
      <c r="D19" s="129"/>
      <c r="E19" s="129"/>
      <c r="F19" s="129"/>
      <c r="G19" s="129"/>
      <c r="H19" s="129"/>
      <c r="I19" s="129"/>
      <c r="J19" s="129"/>
      <c r="K19" s="129"/>
      <c r="L19" s="129"/>
    </row>
    <row r="20" spans="1:12" x14ac:dyDescent="0.25">
      <c r="A20" s="77" t="s">
        <v>317</v>
      </c>
      <c r="B20" s="129" t="s">
        <v>331</v>
      </c>
      <c r="C20" s="129"/>
      <c r="D20" s="129"/>
      <c r="E20" s="129"/>
      <c r="F20" s="129"/>
      <c r="G20" s="129"/>
      <c r="H20" s="129"/>
      <c r="I20" s="129"/>
      <c r="J20" s="129"/>
      <c r="K20" s="129"/>
      <c r="L20" s="129"/>
    </row>
    <row r="21" spans="1:12" x14ac:dyDescent="0.25">
      <c r="A21" s="77" t="s">
        <v>323</v>
      </c>
      <c r="B21" s="129" t="s">
        <v>332</v>
      </c>
      <c r="C21" s="129"/>
      <c r="D21" s="129"/>
      <c r="E21" s="129"/>
      <c r="F21" s="129"/>
      <c r="G21" s="129"/>
      <c r="H21" s="129"/>
      <c r="I21" s="129"/>
      <c r="J21" s="129"/>
      <c r="K21" s="129"/>
      <c r="L21" s="129"/>
    </row>
    <row r="23" spans="1:12" x14ac:dyDescent="0.25">
      <c r="B23" s="102" t="str">
        <f>HYPERLINK("#'Factor List'!A1","Back to Factor List")</f>
        <v>Back to Factor List</v>
      </c>
    </row>
    <row r="24" spans="1:12" x14ac:dyDescent="0.25">
      <c r="B24" s="102" t="s">
        <v>13</v>
      </c>
    </row>
    <row r="25" spans="1:12" x14ac:dyDescent="0.25">
      <c r="B25" s="102"/>
    </row>
    <row r="26" spans="1:12" x14ac:dyDescent="0.25">
      <c r="A26" s="103" t="s">
        <v>855</v>
      </c>
      <c r="B26" s="103">
        <v>50</v>
      </c>
      <c r="C26" s="103">
        <v>51</v>
      </c>
      <c r="D26" s="103">
        <v>52</v>
      </c>
      <c r="E26" s="103">
        <v>53</v>
      </c>
      <c r="F26" s="103">
        <v>54</v>
      </c>
      <c r="G26" s="103">
        <v>55</v>
      </c>
      <c r="H26" s="103">
        <v>56</v>
      </c>
      <c r="I26" s="103">
        <v>57</v>
      </c>
      <c r="J26" s="103">
        <v>58</v>
      </c>
      <c r="K26" s="103">
        <v>59</v>
      </c>
      <c r="L26" s="103">
        <v>60</v>
      </c>
    </row>
    <row r="27" spans="1:12" x14ac:dyDescent="0.25">
      <c r="A27" s="104">
        <v>0</v>
      </c>
      <c r="B27" s="128">
        <v>0.84599999999999997</v>
      </c>
      <c r="C27" s="128">
        <v>0.86</v>
      </c>
      <c r="D27" s="128">
        <v>0.875</v>
      </c>
      <c r="E27" s="128">
        <v>0.89</v>
      </c>
      <c r="F27" s="128">
        <v>0.90500000000000003</v>
      </c>
      <c r="G27" s="128">
        <v>0.92</v>
      </c>
      <c r="H27" s="128">
        <v>0.93600000000000005</v>
      </c>
      <c r="I27" s="128">
        <v>0.95199999999999996</v>
      </c>
      <c r="J27" s="128">
        <v>0.96799999999999997</v>
      </c>
      <c r="K27" s="128">
        <v>0.98399999999999999</v>
      </c>
      <c r="L27" s="128">
        <v>1</v>
      </c>
    </row>
    <row r="28" spans="1:12" x14ac:dyDescent="0.25">
      <c r="A28" s="104">
        <v>1</v>
      </c>
      <c r="B28" s="128">
        <v>0.84699999999999998</v>
      </c>
      <c r="C28" s="128">
        <v>0.86099999999999999</v>
      </c>
      <c r="D28" s="128">
        <v>0.876</v>
      </c>
      <c r="E28" s="128">
        <v>0.89100000000000001</v>
      </c>
      <c r="F28" s="128">
        <v>0.90600000000000003</v>
      </c>
      <c r="G28" s="128">
        <v>0.92100000000000004</v>
      </c>
      <c r="H28" s="128">
        <v>0.93700000000000006</v>
      </c>
      <c r="I28" s="128">
        <v>0.95299999999999996</v>
      </c>
      <c r="J28" s="128">
        <v>0.96899999999999997</v>
      </c>
      <c r="K28" s="128">
        <v>0.98499999999999999</v>
      </c>
      <c r="L28" s="128"/>
    </row>
    <row r="29" spans="1:12" x14ac:dyDescent="0.25">
      <c r="A29" s="104">
        <v>2</v>
      </c>
      <c r="B29" s="128">
        <v>0.84799999999999998</v>
      </c>
      <c r="C29" s="128">
        <v>0.86199999999999999</v>
      </c>
      <c r="D29" s="128">
        <v>0.877</v>
      </c>
      <c r="E29" s="128">
        <v>0.89200000000000002</v>
      </c>
      <c r="F29" s="128">
        <v>0.90700000000000003</v>
      </c>
      <c r="G29" s="128">
        <v>0.92200000000000004</v>
      </c>
      <c r="H29" s="128">
        <v>0.93799999999999994</v>
      </c>
      <c r="I29" s="128">
        <v>0.95399999999999996</v>
      </c>
      <c r="J29" s="128">
        <v>0.97</v>
      </c>
      <c r="K29" s="128">
        <v>0.98699999999999999</v>
      </c>
      <c r="L29" s="128"/>
    </row>
    <row r="30" spans="1:12" x14ac:dyDescent="0.25">
      <c r="A30" s="104">
        <v>3</v>
      </c>
      <c r="B30" s="128">
        <v>0.84899999999999998</v>
      </c>
      <c r="C30" s="128">
        <v>0.86299999999999999</v>
      </c>
      <c r="D30" s="128">
        <v>0.878</v>
      </c>
      <c r="E30" s="128">
        <v>0.89300000000000002</v>
      </c>
      <c r="F30" s="128">
        <v>0.90800000000000003</v>
      </c>
      <c r="G30" s="128">
        <v>0.92400000000000004</v>
      </c>
      <c r="H30" s="128">
        <v>0.94</v>
      </c>
      <c r="I30" s="128">
        <v>0.95599999999999996</v>
      </c>
      <c r="J30" s="128">
        <v>0.97199999999999998</v>
      </c>
      <c r="K30" s="128">
        <v>0.98799999999999999</v>
      </c>
      <c r="L30" s="128"/>
    </row>
    <row r="31" spans="1:12" x14ac:dyDescent="0.25">
      <c r="A31" s="104">
        <v>4</v>
      </c>
      <c r="B31" s="128">
        <v>0.85</v>
      </c>
      <c r="C31" s="128">
        <v>0.86499999999999999</v>
      </c>
      <c r="D31" s="128">
        <v>0.88</v>
      </c>
      <c r="E31" s="128">
        <v>0.89500000000000002</v>
      </c>
      <c r="F31" s="128">
        <v>0.91</v>
      </c>
      <c r="G31" s="128">
        <v>0.92500000000000004</v>
      </c>
      <c r="H31" s="128">
        <v>0.94099999999999995</v>
      </c>
      <c r="I31" s="128">
        <v>0.95699999999999996</v>
      </c>
      <c r="J31" s="128">
        <v>0.97299999999999998</v>
      </c>
      <c r="K31" s="128">
        <v>0.98899999999999999</v>
      </c>
      <c r="L31" s="128"/>
    </row>
    <row r="32" spans="1:12" x14ac:dyDescent="0.25">
      <c r="A32" s="104">
        <v>5</v>
      </c>
      <c r="B32" s="128">
        <v>0.85099999999999998</v>
      </c>
      <c r="C32" s="128">
        <v>0.86599999999999999</v>
      </c>
      <c r="D32" s="128">
        <v>0.88100000000000001</v>
      </c>
      <c r="E32" s="128">
        <v>0.89600000000000002</v>
      </c>
      <c r="F32" s="128">
        <v>0.91100000000000003</v>
      </c>
      <c r="G32" s="128">
        <v>0.92600000000000005</v>
      </c>
      <c r="H32" s="128">
        <v>0.94199999999999995</v>
      </c>
      <c r="I32" s="128">
        <v>0.95799999999999996</v>
      </c>
      <c r="J32" s="128">
        <v>0.97399999999999998</v>
      </c>
      <c r="K32" s="128">
        <v>0.99099999999999999</v>
      </c>
      <c r="L32" s="128"/>
    </row>
    <row r="33" spans="1:12" x14ac:dyDescent="0.25">
      <c r="A33" s="104">
        <v>6</v>
      </c>
      <c r="B33" s="128">
        <v>0.85299999999999998</v>
      </c>
      <c r="C33" s="128">
        <v>0.86699999999999999</v>
      </c>
      <c r="D33" s="128">
        <v>0.88200000000000001</v>
      </c>
      <c r="E33" s="128">
        <v>0.89700000000000002</v>
      </c>
      <c r="F33" s="128">
        <v>0.91200000000000003</v>
      </c>
      <c r="G33" s="128">
        <v>0.92800000000000005</v>
      </c>
      <c r="H33" s="128">
        <v>0.94399999999999995</v>
      </c>
      <c r="I33" s="128">
        <v>0.96</v>
      </c>
      <c r="J33" s="128">
        <v>0.97599999999999998</v>
      </c>
      <c r="K33" s="128">
        <v>0.99199999999999999</v>
      </c>
      <c r="L33" s="128"/>
    </row>
    <row r="34" spans="1:12" x14ac:dyDescent="0.25">
      <c r="A34" s="104">
        <v>7</v>
      </c>
      <c r="B34" s="128">
        <v>0.85399999999999998</v>
      </c>
      <c r="C34" s="128">
        <v>0.86799999999999999</v>
      </c>
      <c r="D34" s="128">
        <v>0.88300000000000001</v>
      </c>
      <c r="E34" s="128">
        <v>0.89800000000000002</v>
      </c>
      <c r="F34" s="128">
        <v>0.91300000000000003</v>
      </c>
      <c r="G34" s="128">
        <v>0.92900000000000005</v>
      </c>
      <c r="H34" s="128">
        <v>0.94499999999999995</v>
      </c>
      <c r="I34" s="128">
        <v>0.96099999999999997</v>
      </c>
      <c r="J34" s="128">
        <v>0.97699999999999998</v>
      </c>
      <c r="K34" s="128">
        <v>0.99399999999999999</v>
      </c>
      <c r="L34" s="128"/>
    </row>
    <row r="35" spans="1:12" x14ac:dyDescent="0.25">
      <c r="A35" s="104">
        <v>8</v>
      </c>
      <c r="B35" s="128">
        <v>0.85499999999999998</v>
      </c>
      <c r="C35" s="128">
        <v>0.87</v>
      </c>
      <c r="D35" s="128">
        <v>0.88500000000000001</v>
      </c>
      <c r="E35" s="128">
        <v>0.9</v>
      </c>
      <c r="F35" s="128">
        <v>0.91500000000000004</v>
      </c>
      <c r="G35" s="128">
        <v>0.93</v>
      </c>
      <c r="H35" s="128">
        <v>0.94599999999999995</v>
      </c>
      <c r="I35" s="128">
        <v>0.96199999999999997</v>
      </c>
      <c r="J35" s="128">
        <v>0.97799999999999998</v>
      </c>
      <c r="K35" s="128">
        <v>0.995</v>
      </c>
      <c r="L35" s="128"/>
    </row>
    <row r="36" spans="1:12" x14ac:dyDescent="0.25">
      <c r="A36" s="104">
        <v>9</v>
      </c>
      <c r="B36" s="128">
        <v>0.85599999999999998</v>
      </c>
      <c r="C36" s="128">
        <v>0.871</v>
      </c>
      <c r="D36" s="128">
        <v>0.88600000000000001</v>
      </c>
      <c r="E36" s="128">
        <v>0.90100000000000002</v>
      </c>
      <c r="F36" s="128">
        <v>0.91600000000000004</v>
      </c>
      <c r="G36" s="128">
        <v>0.93200000000000005</v>
      </c>
      <c r="H36" s="128">
        <v>0.94799999999999995</v>
      </c>
      <c r="I36" s="128">
        <v>0.96399999999999997</v>
      </c>
      <c r="J36" s="128">
        <v>0.98</v>
      </c>
      <c r="K36" s="128">
        <v>0.996</v>
      </c>
      <c r="L36" s="128"/>
    </row>
    <row r="37" spans="1:12" x14ac:dyDescent="0.25">
      <c r="A37" s="104">
        <v>10</v>
      </c>
      <c r="B37" s="128">
        <v>0.85699999999999998</v>
      </c>
      <c r="C37" s="128">
        <v>0.872</v>
      </c>
      <c r="D37" s="128">
        <v>0.88700000000000001</v>
      </c>
      <c r="E37" s="128">
        <v>0.90200000000000002</v>
      </c>
      <c r="F37" s="128">
        <v>0.91700000000000004</v>
      </c>
      <c r="G37" s="128">
        <v>0.93300000000000005</v>
      </c>
      <c r="H37" s="128">
        <v>0.94899999999999995</v>
      </c>
      <c r="I37" s="128">
        <v>0.96499999999999997</v>
      </c>
      <c r="J37" s="128">
        <v>0.98099999999999998</v>
      </c>
      <c r="K37" s="128">
        <v>0.998</v>
      </c>
      <c r="L37" s="128"/>
    </row>
    <row r="38" spans="1:12" x14ac:dyDescent="0.25">
      <c r="A38" s="104">
        <v>11</v>
      </c>
      <c r="B38" s="128">
        <v>0.85799999999999998</v>
      </c>
      <c r="C38" s="128">
        <v>0.873</v>
      </c>
      <c r="D38" s="128">
        <v>0.88800000000000001</v>
      </c>
      <c r="E38" s="128">
        <v>0.90300000000000002</v>
      </c>
      <c r="F38" s="128">
        <v>0.91800000000000004</v>
      </c>
      <c r="G38" s="128">
        <v>0.93400000000000005</v>
      </c>
      <c r="H38" s="128">
        <v>0.95</v>
      </c>
      <c r="I38" s="128">
        <v>0.96599999999999997</v>
      </c>
      <c r="J38" s="128">
        <v>0.98199999999999998</v>
      </c>
      <c r="K38" s="128">
        <v>0.999</v>
      </c>
      <c r="L38" s="128"/>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k33Vmk9CvAD/AaO26HmfO2N5dZxLm+zyx7e1cPj5QDI10YgdwZ+Z4ROjkDCjV7Wy7uayvO2ZI4b9ZAMCXzs0lg==" saltValue="VENmOLjemE22OjLd4LMWVQ==" spinCount="100000" sheet="1" objects="1" scenarios="1"/>
  <conditionalFormatting sqref="A6:A21">
    <cfRule type="expression" dxfId="1071" priority="1" stopIfTrue="1">
      <formula>MOD(ROW(),2)=0</formula>
    </cfRule>
    <cfRule type="expression" dxfId="1070" priority="2" stopIfTrue="1">
      <formula>MOD(ROW(),2)&lt;&gt;0</formula>
    </cfRule>
  </conditionalFormatting>
  <conditionalFormatting sqref="A26:A38">
    <cfRule type="expression" dxfId="1069" priority="9" stopIfTrue="1">
      <formula>MOD(ROW(),2)=0</formula>
    </cfRule>
    <cfRule type="expression" dxfId="1068" priority="10" stopIfTrue="1">
      <formula>MOD(ROW(),2)&lt;&gt;0</formula>
    </cfRule>
  </conditionalFormatting>
  <conditionalFormatting sqref="B18:B21">
    <cfRule type="expression" dxfId="1067" priority="5" stopIfTrue="1">
      <formula>MOD(ROW(),2)=0</formula>
    </cfRule>
    <cfRule type="expression" dxfId="1066" priority="6" stopIfTrue="1">
      <formula>MOD(ROW(),2)&lt;&gt;0</formula>
    </cfRule>
  </conditionalFormatting>
  <conditionalFormatting sqref="B6:L21">
    <cfRule type="expression" dxfId="1065" priority="27" stopIfTrue="1">
      <formula>MOD(ROW(),2)=0</formula>
    </cfRule>
    <cfRule type="expression" dxfId="1064" priority="28" stopIfTrue="1">
      <formula>MOD(ROW(),2)&lt;&gt;0</formula>
    </cfRule>
  </conditionalFormatting>
  <conditionalFormatting sqref="B26:L38">
    <cfRule type="expression" dxfId="1063" priority="11" stopIfTrue="1">
      <formula>MOD(ROW(),2)=0</formula>
    </cfRule>
    <cfRule type="expression" dxfId="1062" priority="12" stopIfTrue="1">
      <formula>MOD(ROW(),2)&lt;&gt;0</formula>
    </cfRule>
  </conditionalFormatting>
  <hyperlinks>
    <hyperlink ref="B24" location="Sheet1!A1" display="Assumptions" xr:uid="{D34CD8AC-430A-4E8B-B59F-7BE038BA544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theme="4"/>
  </sheetPr>
  <dimension ref="A1:L224"/>
  <sheetViews>
    <sheetView view="pageBreakPreview" zoomScale="60" zoomScaleNormal="100" workbookViewId="0">
      <selection activeCell="E11" sqref="E11:J224"/>
    </sheetView>
  </sheetViews>
  <sheetFormatPr defaultRowHeight="13.2" x14ac:dyDescent="0.25"/>
  <cols>
    <col min="2" max="2" width="3.44140625" style="12" customWidth="1"/>
    <col min="3" max="3" width="7" style="12" customWidth="1"/>
    <col min="4" max="4" width="62" customWidth="1"/>
    <col min="5" max="9" width="16.5546875" style="12" customWidth="1"/>
    <col min="10" max="10" width="19.44140625" style="12" customWidth="1"/>
  </cols>
  <sheetData>
    <row r="1" spans="1:12" ht="21" x14ac:dyDescent="0.4">
      <c r="A1" s="4" t="s">
        <v>0</v>
      </c>
      <c r="B1" s="13"/>
      <c r="C1" s="13"/>
      <c r="D1" s="10"/>
      <c r="E1" s="13"/>
      <c r="F1" s="13"/>
      <c r="G1" s="13"/>
      <c r="H1" s="13"/>
      <c r="I1" s="13"/>
      <c r="J1" s="13"/>
      <c r="K1" s="10"/>
      <c r="L1" s="10"/>
    </row>
    <row r="2" spans="1:12" ht="15.6" x14ac:dyDescent="0.3">
      <c r="A2" s="11" t="str">
        <f>IF(title="&gt; Enter workbook title here","Enter workbook title in Cover sheet",title)</f>
        <v>Civil Service Pension Schemes - Consolidated Factor Spreadsheet</v>
      </c>
      <c r="B2" s="14"/>
      <c r="C2" s="14"/>
      <c r="D2" s="9"/>
      <c r="E2" s="14"/>
      <c r="F2" s="14"/>
      <c r="G2" s="14"/>
      <c r="H2" s="14"/>
      <c r="I2" s="14"/>
      <c r="J2" s="14"/>
      <c r="K2" s="9"/>
      <c r="L2" s="9"/>
    </row>
    <row r="3" spans="1:12" ht="15.6" x14ac:dyDescent="0.3">
      <c r="A3" s="6" t="s">
        <v>77</v>
      </c>
      <c r="B3" s="14"/>
      <c r="C3" s="14"/>
      <c r="D3" s="9"/>
      <c r="E3" s="14"/>
      <c r="F3" s="14"/>
      <c r="G3" s="14"/>
      <c r="H3" s="14"/>
      <c r="I3" s="14"/>
      <c r="J3" s="14"/>
      <c r="K3" s="9"/>
      <c r="L3" s="9"/>
    </row>
    <row r="4" spans="1:12" x14ac:dyDescent="0.25">
      <c r="A4" s="7" t="str">
        <f ca="1">CELL("filename",A1)</f>
        <v>https://tris42.sharepoint.com/sites/gad_wrkgrp_actuarial/pspsactuarialwork/Central/Factors &amp; Guidance/2024 Guidance Review/4. Online portal/3. Import data/3. Factor tables/0_client_friendly/Ready to be uploaded/2025-03/[CS GB Consolidated Factors 2025-02.xlsx]Summary - PCSPS_EW</v>
      </c>
    </row>
    <row r="7" spans="1:12" x14ac:dyDescent="0.25">
      <c r="E7" s="30" t="s">
        <v>78</v>
      </c>
      <c r="F7" s="30" t="s">
        <v>79</v>
      </c>
      <c r="G7" s="30" t="s">
        <v>80</v>
      </c>
      <c r="H7" s="30" t="s">
        <v>81</v>
      </c>
      <c r="I7" s="30" t="s">
        <v>82</v>
      </c>
      <c r="J7" s="30" t="s">
        <v>83</v>
      </c>
    </row>
    <row r="8" spans="1:12" ht="39.6" x14ac:dyDescent="0.25">
      <c r="B8" s="32" t="s">
        <v>84</v>
      </c>
      <c r="C8" s="21"/>
      <c r="D8" s="15"/>
      <c r="E8" s="31" t="s">
        <v>85</v>
      </c>
      <c r="F8" s="31" t="s">
        <v>86</v>
      </c>
      <c r="G8" s="31" t="s">
        <v>87</v>
      </c>
      <c r="H8" s="31" t="s">
        <v>88</v>
      </c>
      <c r="I8" s="31" t="s">
        <v>89</v>
      </c>
      <c r="J8" s="34" t="s">
        <v>90</v>
      </c>
    </row>
    <row r="9" spans="1:12" x14ac:dyDescent="0.25">
      <c r="B9" s="23"/>
      <c r="C9" s="22"/>
      <c r="D9" s="17"/>
      <c r="E9" s="16"/>
      <c r="F9" s="16"/>
      <c r="G9" s="16"/>
      <c r="H9" s="16"/>
      <c r="I9" s="16"/>
      <c r="J9" s="16"/>
    </row>
    <row r="10" spans="1:12" x14ac:dyDescent="0.25">
      <c r="B10" s="33" t="s">
        <v>91</v>
      </c>
      <c r="D10" s="18"/>
      <c r="E10" s="20"/>
      <c r="F10" s="20"/>
      <c r="G10" s="20"/>
      <c r="H10" s="20"/>
      <c r="I10" s="20"/>
      <c r="J10" s="20"/>
    </row>
    <row r="11" spans="1:12" x14ac:dyDescent="0.25">
      <c r="B11" s="24" t="s">
        <v>92</v>
      </c>
      <c r="C11" s="12">
        <v>101</v>
      </c>
      <c r="D11" s="18"/>
      <c r="E11" s="35"/>
      <c r="F11" s="35"/>
      <c r="G11" s="35"/>
      <c r="H11" s="35"/>
      <c r="I11" s="35"/>
      <c r="J11" s="35"/>
    </row>
    <row r="12" spans="1:12" x14ac:dyDescent="0.25">
      <c r="B12" s="24" t="s">
        <v>92</v>
      </c>
      <c r="C12" s="12">
        <v>102</v>
      </c>
      <c r="D12" s="18"/>
      <c r="E12" s="35"/>
      <c r="F12" s="35"/>
      <c r="G12" s="35"/>
      <c r="H12" s="35"/>
      <c r="I12" s="35"/>
      <c r="J12" s="35"/>
    </row>
    <row r="13" spans="1:12" x14ac:dyDescent="0.25">
      <c r="B13" s="24" t="s">
        <v>92</v>
      </c>
      <c r="C13" s="12">
        <v>103</v>
      </c>
      <c r="D13" s="18"/>
      <c r="E13" s="35"/>
      <c r="F13" s="35"/>
      <c r="G13" s="35"/>
      <c r="H13" s="35"/>
      <c r="I13" s="35"/>
      <c r="J13" s="35"/>
    </row>
    <row r="14" spans="1:12" x14ac:dyDescent="0.25">
      <c r="B14" s="24" t="s">
        <v>92</v>
      </c>
      <c r="C14" s="12">
        <v>104</v>
      </c>
      <c r="D14" s="18"/>
      <c r="E14" s="35"/>
      <c r="F14" s="35"/>
      <c r="G14" s="35"/>
      <c r="H14" s="35"/>
      <c r="I14" s="35"/>
      <c r="J14" s="35"/>
    </row>
    <row r="15" spans="1:12" x14ac:dyDescent="0.25">
      <c r="B15" s="24" t="s">
        <v>92</v>
      </c>
      <c r="C15" s="12">
        <v>105</v>
      </c>
      <c r="D15" s="18"/>
      <c r="E15" s="35"/>
      <c r="F15" s="35"/>
      <c r="G15" s="35"/>
      <c r="H15" s="35"/>
      <c r="I15" s="35"/>
      <c r="J15" s="35"/>
    </row>
    <row r="16" spans="1:12" x14ac:dyDescent="0.25">
      <c r="B16" s="24" t="s">
        <v>92</v>
      </c>
      <c r="C16" s="12">
        <v>106</v>
      </c>
      <c r="D16" s="18"/>
      <c r="E16" s="35"/>
      <c r="F16" s="35"/>
      <c r="G16" s="35"/>
      <c r="H16" s="35"/>
      <c r="I16" s="35"/>
      <c r="J16" s="35"/>
    </row>
    <row r="17" spans="2:11" x14ac:dyDescent="0.25">
      <c r="B17" s="24" t="s">
        <v>92</v>
      </c>
      <c r="C17" s="12">
        <v>107</v>
      </c>
      <c r="D17" s="18"/>
      <c r="E17" s="35"/>
      <c r="F17" s="35"/>
      <c r="G17" s="35"/>
      <c r="H17" s="35"/>
      <c r="I17" s="35"/>
      <c r="J17" s="35"/>
    </row>
    <row r="18" spans="2:11" x14ac:dyDescent="0.25">
      <c r="B18" s="24" t="s">
        <v>92</v>
      </c>
      <c r="C18" s="12">
        <v>108</v>
      </c>
      <c r="D18" s="18"/>
      <c r="E18" s="35"/>
      <c r="F18" s="35"/>
      <c r="G18" s="35"/>
      <c r="H18" s="35"/>
      <c r="I18" s="35"/>
      <c r="J18" s="35"/>
    </row>
    <row r="19" spans="2:11" x14ac:dyDescent="0.25">
      <c r="B19" s="24" t="s">
        <v>92</v>
      </c>
      <c r="C19" s="12">
        <v>109</v>
      </c>
      <c r="D19" s="18"/>
      <c r="E19" s="35"/>
      <c r="F19" s="35"/>
      <c r="G19" s="35"/>
      <c r="H19" s="35"/>
      <c r="I19" s="35"/>
      <c r="J19" s="35"/>
    </row>
    <row r="20" spans="2:11" x14ac:dyDescent="0.25">
      <c r="B20" s="24" t="s">
        <v>92</v>
      </c>
      <c r="C20" s="12">
        <v>110</v>
      </c>
      <c r="D20" s="18"/>
      <c r="E20" s="35"/>
      <c r="F20" s="35"/>
      <c r="G20" s="35"/>
      <c r="H20" s="35"/>
      <c r="I20" s="35"/>
      <c r="J20" s="35"/>
    </row>
    <row r="21" spans="2:11" x14ac:dyDescent="0.25">
      <c r="B21" s="24" t="s">
        <v>92</v>
      </c>
      <c r="C21" s="12">
        <v>111</v>
      </c>
      <c r="D21" s="18"/>
      <c r="E21" s="35"/>
      <c r="F21" s="35"/>
      <c r="G21" s="35"/>
      <c r="H21" s="35"/>
      <c r="I21" s="35"/>
      <c r="J21" s="35"/>
    </row>
    <row r="22" spans="2:11" x14ac:dyDescent="0.25">
      <c r="B22" s="24" t="s">
        <v>92</v>
      </c>
      <c r="C22" s="12">
        <v>112</v>
      </c>
      <c r="D22" s="18"/>
      <c r="E22" s="35"/>
      <c r="F22" s="35"/>
      <c r="G22" s="35"/>
      <c r="H22" s="35"/>
      <c r="I22" s="35"/>
      <c r="J22" s="35"/>
    </row>
    <row r="23" spans="2:11" x14ac:dyDescent="0.25">
      <c r="B23" s="24" t="s">
        <v>92</v>
      </c>
      <c r="C23" s="12">
        <v>113</v>
      </c>
      <c r="D23" s="18"/>
      <c r="E23" s="35"/>
      <c r="F23" s="35"/>
      <c r="G23" s="35"/>
      <c r="H23" s="35"/>
      <c r="I23" s="35"/>
      <c r="J23" s="35"/>
    </row>
    <row r="24" spans="2:11" x14ac:dyDescent="0.25">
      <c r="B24" s="24" t="s">
        <v>92</v>
      </c>
      <c r="C24" s="12">
        <v>114</v>
      </c>
      <c r="D24" s="18"/>
      <c r="E24" s="35"/>
      <c r="F24" s="35"/>
      <c r="G24" s="35"/>
      <c r="H24" s="35"/>
      <c r="I24" s="35"/>
      <c r="J24" s="35"/>
    </row>
    <row r="25" spans="2:11" x14ac:dyDescent="0.25">
      <c r="B25" s="24" t="s">
        <v>92</v>
      </c>
      <c r="C25" s="12">
        <v>115</v>
      </c>
      <c r="D25" s="18"/>
      <c r="E25" s="35"/>
      <c r="F25" s="35"/>
      <c r="G25" s="35"/>
      <c r="H25" s="35"/>
      <c r="I25" s="35"/>
      <c r="J25" s="35"/>
    </row>
    <row r="26" spans="2:11" x14ac:dyDescent="0.25">
      <c r="B26" s="24" t="s">
        <v>92</v>
      </c>
      <c r="C26" s="12">
        <v>116</v>
      </c>
      <c r="D26" s="18"/>
      <c r="E26" s="35"/>
      <c r="F26" s="35"/>
      <c r="G26" s="35"/>
      <c r="H26" s="35"/>
      <c r="I26" s="35"/>
      <c r="J26" s="35"/>
    </row>
    <row r="27" spans="2:11" x14ac:dyDescent="0.25">
      <c r="B27" s="24" t="s">
        <v>92</v>
      </c>
      <c r="C27" s="12">
        <v>117</v>
      </c>
      <c r="D27" s="18"/>
      <c r="E27" s="35"/>
      <c r="F27" s="35"/>
      <c r="G27" s="35"/>
      <c r="H27" s="35"/>
      <c r="I27" s="35"/>
      <c r="J27" s="35"/>
    </row>
    <row r="28" spans="2:11" x14ac:dyDescent="0.25">
      <c r="B28" s="24" t="s">
        <v>92</v>
      </c>
      <c r="C28" s="12">
        <v>118</v>
      </c>
      <c r="D28" s="18"/>
      <c r="E28" s="35"/>
      <c r="F28" s="35"/>
      <c r="G28" s="35"/>
      <c r="H28" s="35"/>
      <c r="I28" s="35"/>
      <c r="J28" s="35"/>
    </row>
    <row r="29" spans="2:11" x14ac:dyDescent="0.25">
      <c r="B29" s="24" t="s">
        <v>92</v>
      </c>
      <c r="C29" s="12">
        <v>119</v>
      </c>
      <c r="D29" s="18"/>
      <c r="E29" s="35"/>
      <c r="F29" s="35"/>
      <c r="G29" s="35"/>
      <c r="H29" s="35"/>
      <c r="I29" s="35"/>
      <c r="J29" s="35"/>
    </row>
    <row r="30" spans="2:11" x14ac:dyDescent="0.25">
      <c r="B30" s="24" t="s">
        <v>92</v>
      </c>
      <c r="C30" s="12">
        <v>120</v>
      </c>
      <c r="D30" s="18"/>
      <c r="E30" s="35"/>
      <c r="F30" s="35"/>
      <c r="G30" s="35"/>
      <c r="H30" s="35"/>
      <c r="I30" s="35"/>
      <c r="J30" s="35"/>
    </row>
    <row r="31" spans="2:11" x14ac:dyDescent="0.25">
      <c r="B31" s="24" t="s">
        <v>92</v>
      </c>
      <c r="C31" s="12">
        <v>121</v>
      </c>
      <c r="E31" s="36"/>
      <c r="F31" s="36"/>
      <c r="G31" s="36"/>
      <c r="H31" s="36"/>
      <c r="I31" s="36"/>
      <c r="J31" s="36"/>
      <c r="K31" s="29"/>
    </row>
    <row r="32" spans="2:11" x14ac:dyDescent="0.25">
      <c r="B32" s="24" t="s">
        <v>92</v>
      </c>
      <c r="C32" s="12">
        <v>122</v>
      </c>
      <c r="D32" s="18"/>
      <c r="E32" s="35"/>
      <c r="F32" s="35"/>
      <c r="G32" s="35"/>
      <c r="H32" s="35"/>
      <c r="I32" s="35"/>
      <c r="J32" s="35"/>
    </row>
    <row r="33" spans="2:11" x14ac:dyDescent="0.25">
      <c r="B33" s="24" t="s">
        <v>92</v>
      </c>
      <c r="C33" s="12">
        <v>123</v>
      </c>
      <c r="D33" s="18"/>
      <c r="E33" s="35"/>
      <c r="F33" s="35"/>
      <c r="G33" s="35"/>
      <c r="H33" s="35"/>
      <c r="I33" s="35"/>
      <c r="J33" s="35"/>
    </row>
    <row r="34" spans="2:11" x14ac:dyDescent="0.25">
      <c r="B34" s="24" t="s">
        <v>92</v>
      </c>
      <c r="C34" s="12">
        <v>124</v>
      </c>
      <c r="D34" s="18"/>
      <c r="E34" s="35"/>
      <c r="F34" s="35"/>
      <c r="G34" s="35"/>
      <c r="H34" s="35"/>
      <c r="I34" s="35"/>
      <c r="J34" s="35"/>
    </row>
    <row r="35" spans="2:11" x14ac:dyDescent="0.25">
      <c r="B35" s="24" t="s">
        <v>92</v>
      </c>
      <c r="C35" s="12">
        <v>125</v>
      </c>
      <c r="D35" s="18"/>
      <c r="E35" s="35"/>
      <c r="F35" s="35"/>
      <c r="G35" s="35"/>
      <c r="H35" s="35"/>
      <c r="I35" s="35"/>
      <c r="J35" s="35"/>
      <c r="K35" s="28"/>
    </row>
    <row r="36" spans="2:11" x14ac:dyDescent="0.25">
      <c r="B36" s="25"/>
      <c r="C36" s="22"/>
      <c r="D36" s="17"/>
      <c r="E36" s="37"/>
      <c r="F36" s="37"/>
      <c r="G36" s="37"/>
      <c r="H36" s="37"/>
      <c r="I36" s="37"/>
      <c r="J36" s="37"/>
    </row>
    <row r="37" spans="2:11" x14ac:dyDescent="0.25">
      <c r="B37" s="33" t="s">
        <v>93</v>
      </c>
      <c r="D37" s="18"/>
      <c r="E37" s="35"/>
      <c r="F37" s="35"/>
      <c r="G37" s="35"/>
      <c r="H37" s="35"/>
      <c r="I37" s="35"/>
      <c r="J37" s="35"/>
    </row>
    <row r="38" spans="2:11" x14ac:dyDescent="0.25">
      <c r="B38" s="24" t="s">
        <v>92</v>
      </c>
      <c r="C38" s="12">
        <v>201</v>
      </c>
      <c r="D38" s="18"/>
      <c r="E38" s="35"/>
      <c r="F38" s="35"/>
      <c r="G38" s="35"/>
      <c r="H38" s="35"/>
      <c r="I38" s="35"/>
      <c r="J38" s="35"/>
    </row>
    <row r="39" spans="2:11" x14ac:dyDescent="0.25">
      <c r="B39" s="24" t="s">
        <v>92</v>
      </c>
      <c r="C39" s="12">
        <v>202</v>
      </c>
      <c r="D39" s="18"/>
      <c r="E39" s="35"/>
      <c r="F39" s="35"/>
      <c r="G39" s="35"/>
      <c r="H39" s="35"/>
      <c r="I39" s="35"/>
      <c r="J39" s="35"/>
    </row>
    <row r="40" spans="2:11" x14ac:dyDescent="0.25">
      <c r="B40" s="24" t="s">
        <v>92</v>
      </c>
      <c r="C40" s="12">
        <v>203</v>
      </c>
      <c r="D40" s="18"/>
      <c r="E40" s="35"/>
      <c r="F40" s="35"/>
      <c r="G40" s="35"/>
      <c r="H40" s="35"/>
      <c r="I40" s="35"/>
      <c r="J40" s="35"/>
    </row>
    <row r="41" spans="2:11" x14ac:dyDescent="0.25">
      <c r="B41" s="24" t="s">
        <v>92</v>
      </c>
      <c r="C41" s="12">
        <v>204</v>
      </c>
      <c r="D41" s="18"/>
      <c r="E41" s="35"/>
      <c r="F41" s="35"/>
      <c r="G41" s="35"/>
      <c r="H41" s="35"/>
      <c r="I41" s="35"/>
      <c r="J41" s="35"/>
    </row>
    <row r="42" spans="2:11" x14ac:dyDescent="0.25">
      <c r="B42" s="24" t="s">
        <v>92</v>
      </c>
      <c r="C42" s="12">
        <v>205</v>
      </c>
      <c r="D42" s="18"/>
      <c r="E42" s="35"/>
      <c r="F42" s="35"/>
      <c r="G42" s="35"/>
      <c r="H42" s="35"/>
      <c r="I42" s="35"/>
      <c r="J42" s="35"/>
    </row>
    <row r="43" spans="2:11" x14ac:dyDescent="0.25">
      <c r="B43" s="24" t="s">
        <v>92</v>
      </c>
      <c r="C43" s="12">
        <v>206</v>
      </c>
      <c r="D43" s="18"/>
      <c r="E43" s="35"/>
      <c r="F43" s="35"/>
      <c r="G43" s="35"/>
      <c r="H43" s="35"/>
      <c r="I43" s="35"/>
      <c r="J43" s="35"/>
    </row>
    <row r="44" spans="2:11" x14ac:dyDescent="0.25">
      <c r="B44" s="24" t="s">
        <v>92</v>
      </c>
      <c r="C44" s="12">
        <v>207</v>
      </c>
      <c r="D44" s="18"/>
      <c r="E44" s="35"/>
      <c r="F44" s="35"/>
      <c r="G44" s="35"/>
      <c r="H44" s="35"/>
      <c r="I44" s="35"/>
      <c r="J44" s="35"/>
    </row>
    <row r="45" spans="2:11" x14ac:dyDescent="0.25">
      <c r="B45" s="24" t="s">
        <v>92</v>
      </c>
      <c r="C45" s="12">
        <v>208</v>
      </c>
      <c r="D45" s="18"/>
      <c r="E45" s="35"/>
      <c r="F45" s="35"/>
      <c r="G45" s="35"/>
      <c r="H45" s="35"/>
      <c r="I45" s="35"/>
      <c r="J45" s="35"/>
    </row>
    <row r="46" spans="2:11" x14ac:dyDescent="0.25">
      <c r="B46" s="24" t="s">
        <v>92</v>
      </c>
      <c r="C46" s="12">
        <v>209</v>
      </c>
      <c r="D46" s="18"/>
      <c r="E46" s="35"/>
      <c r="F46" s="35"/>
      <c r="G46" s="35"/>
      <c r="H46" s="35"/>
      <c r="I46" s="35"/>
      <c r="J46" s="35"/>
    </row>
    <row r="47" spans="2:11" x14ac:dyDescent="0.25">
      <c r="B47" s="24" t="s">
        <v>92</v>
      </c>
      <c r="C47" s="12">
        <v>210</v>
      </c>
      <c r="D47" s="18"/>
      <c r="E47" s="35"/>
      <c r="F47" s="35"/>
      <c r="G47" s="35"/>
      <c r="H47" s="35"/>
      <c r="I47" s="35"/>
      <c r="J47" s="35"/>
    </row>
    <row r="48" spans="2:11" x14ac:dyDescent="0.25">
      <c r="B48" s="24" t="s">
        <v>92</v>
      </c>
      <c r="C48" s="12">
        <v>211</v>
      </c>
      <c r="D48" s="18"/>
      <c r="E48" s="35"/>
      <c r="F48" s="35"/>
      <c r="G48" s="35"/>
      <c r="H48" s="35"/>
      <c r="I48" s="35"/>
      <c r="J48" s="35"/>
    </row>
    <row r="49" spans="2:10" x14ac:dyDescent="0.25">
      <c r="B49" s="24" t="s">
        <v>92</v>
      </c>
      <c r="C49" s="12">
        <v>212</v>
      </c>
      <c r="D49" s="18"/>
      <c r="E49" s="35"/>
      <c r="F49" s="35"/>
      <c r="G49" s="35"/>
      <c r="H49" s="35"/>
      <c r="I49" s="35"/>
      <c r="J49" s="35"/>
    </row>
    <row r="50" spans="2:10" x14ac:dyDescent="0.25">
      <c r="B50" s="24" t="s">
        <v>92</v>
      </c>
      <c r="C50" s="12">
        <v>213</v>
      </c>
      <c r="D50" s="18"/>
      <c r="E50" s="35"/>
      <c r="F50" s="35"/>
      <c r="G50" s="35"/>
      <c r="H50" s="35"/>
      <c r="I50" s="35"/>
      <c r="J50" s="35"/>
    </row>
    <row r="51" spans="2:10" x14ac:dyDescent="0.25">
      <c r="B51" s="24" t="s">
        <v>92</v>
      </c>
      <c r="C51" s="12">
        <v>214</v>
      </c>
      <c r="D51" s="18"/>
      <c r="E51" s="35"/>
      <c r="F51" s="35"/>
      <c r="G51" s="35"/>
      <c r="H51" s="35"/>
      <c r="I51" s="35"/>
      <c r="J51" s="35"/>
    </row>
    <row r="52" spans="2:10" x14ac:dyDescent="0.25">
      <c r="B52" s="24" t="s">
        <v>92</v>
      </c>
      <c r="C52" s="12">
        <v>215</v>
      </c>
      <c r="D52" s="18"/>
      <c r="E52" s="35"/>
      <c r="F52" s="35"/>
      <c r="G52" s="35"/>
      <c r="H52" s="35"/>
      <c r="I52" s="35"/>
      <c r="J52" s="35"/>
    </row>
    <row r="53" spans="2:10" x14ac:dyDescent="0.25">
      <c r="B53" s="24" t="s">
        <v>92</v>
      </c>
      <c r="C53" s="12">
        <v>216</v>
      </c>
      <c r="D53" s="18"/>
      <c r="E53" s="35"/>
      <c r="F53" s="35"/>
      <c r="G53" s="35"/>
      <c r="H53" s="35"/>
      <c r="I53" s="35"/>
      <c r="J53" s="35"/>
    </row>
    <row r="54" spans="2:10" x14ac:dyDescent="0.25">
      <c r="B54" s="24" t="s">
        <v>92</v>
      </c>
      <c r="C54" s="12">
        <v>217</v>
      </c>
      <c r="D54" s="18"/>
      <c r="E54" s="35"/>
      <c r="F54" s="35"/>
      <c r="G54" s="35"/>
      <c r="H54" s="35"/>
      <c r="I54" s="35"/>
      <c r="J54" s="35"/>
    </row>
    <row r="55" spans="2:10" x14ac:dyDescent="0.25">
      <c r="B55" s="24" t="s">
        <v>92</v>
      </c>
      <c r="C55" s="12">
        <v>218</v>
      </c>
      <c r="D55" s="18"/>
      <c r="E55" s="35"/>
      <c r="F55" s="35"/>
      <c r="G55" s="35"/>
      <c r="H55" s="35"/>
      <c r="I55" s="35"/>
      <c r="J55" s="35"/>
    </row>
    <row r="56" spans="2:10" x14ac:dyDescent="0.25">
      <c r="B56" s="24" t="s">
        <v>92</v>
      </c>
      <c r="C56" s="12">
        <v>219</v>
      </c>
      <c r="D56" s="18"/>
      <c r="E56" s="35"/>
      <c r="F56" s="35"/>
      <c r="G56" s="35"/>
      <c r="H56" s="35"/>
      <c r="I56" s="35"/>
      <c r="J56" s="35"/>
    </row>
    <row r="57" spans="2:10" x14ac:dyDescent="0.25">
      <c r="B57" s="24" t="s">
        <v>92</v>
      </c>
      <c r="C57" s="12">
        <v>220</v>
      </c>
      <c r="D57" s="18"/>
      <c r="E57" s="35"/>
      <c r="F57" s="35"/>
      <c r="G57" s="35"/>
      <c r="H57" s="35"/>
      <c r="I57" s="35"/>
      <c r="J57" s="35"/>
    </row>
    <row r="58" spans="2:10" x14ac:dyDescent="0.25">
      <c r="B58" s="24" t="s">
        <v>92</v>
      </c>
      <c r="C58" s="12">
        <v>221</v>
      </c>
      <c r="D58" s="18"/>
      <c r="E58" s="35"/>
      <c r="F58" s="35"/>
      <c r="G58" s="35"/>
      <c r="H58" s="35"/>
      <c r="I58" s="35"/>
      <c r="J58" s="35"/>
    </row>
    <row r="59" spans="2:10" x14ac:dyDescent="0.25">
      <c r="B59" s="24" t="s">
        <v>92</v>
      </c>
      <c r="C59" s="12">
        <v>222</v>
      </c>
      <c r="D59" s="18"/>
      <c r="E59" s="35"/>
      <c r="F59" s="35"/>
      <c r="G59" s="35"/>
      <c r="H59" s="35"/>
      <c r="I59" s="35"/>
      <c r="J59" s="35"/>
    </row>
    <row r="60" spans="2:10" x14ac:dyDescent="0.25">
      <c r="B60" s="24" t="s">
        <v>92</v>
      </c>
      <c r="C60" s="12">
        <v>223</v>
      </c>
      <c r="D60" s="18"/>
      <c r="E60" s="35"/>
      <c r="F60" s="35"/>
      <c r="G60" s="35"/>
      <c r="H60" s="35"/>
      <c r="I60" s="35"/>
      <c r="J60" s="35"/>
    </row>
    <row r="61" spans="2:10" x14ac:dyDescent="0.25">
      <c r="B61" s="24" t="s">
        <v>92</v>
      </c>
      <c r="C61" s="12">
        <v>224</v>
      </c>
      <c r="D61" s="18"/>
      <c r="E61" s="35"/>
      <c r="F61" s="35"/>
      <c r="G61" s="35"/>
      <c r="H61" s="35"/>
      <c r="I61" s="35"/>
      <c r="J61" s="35"/>
    </row>
    <row r="62" spans="2:10" x14ac:dyDescent="0.25">
      <c r="B62" s="24" t="s">
        <v>92</v>
      </c>
      <c r="C62" s="12">
        <v>225</v>
      </c>
      <c r="D62" s="19"/>
      <c r="E62" s="38"/>
      <c r="F62" s="38"/>
      <c r="G62" s="38"/>
      <c r="H62" s="38"/>
      <c r="I62" s="38"/>
      <c r="J62" s="38"/>
    </row>
    <row r="63" spans="2:10" x14ac:dyDescent="0.25">
      <c r="B63" s="25"/>
      <c r="C63" s="22"/>
      <c r="D63" s="17"/>
      <c r="E63" s="37"/>
      <c r="F63" s="37"/>
      <c r="G63" s="37"/>
      <c r="H63" s="37"/>
      <c r="I63" s="37"/>
      <c r="J63" s="37"/>
    </row>
    <row r="64" spans="2:10" x14ac:dyDescent="0.25">
      <c r="B64" s="33" t="s">
        <v>94</v>
      </c>
      <c r="D64" s="18"/>
      <c r="E64" s="35"/>
      <c r="F64" s="35"/>
      <c r="G64" s="35"/>
      <c r="H64" s="35"/>
      <c r="I64" s="35"/>
      <c r="J64" s="35"/>
    </row>
    <row r="65" spans="2:10" x14ac:dyDescent="0.25">
      <c r="B65" s="24" t="s">
        <v>92</v>
      </c>
      <c r="C65" s="12">
        <v>301</v>
      </c>
      <c r="D65" s="18"/>
      <c r="E65" s="35"/>
      <c r="F65" s="35"/>
      <c r="G65" s="35"/>
      <c r="H65" s="35"/>
      <c r="I65" s="35"/>
      <c r="J65" s="35"/>
    </row>
    <row r="66" spans="2:10" x14ac:dyDescent="0.25">
      <c r="B66" s="24" t="s">
        <v>92</v>
      </c>
      <c r="C66" s="12">
        <v>302</v>
      </c>
      <c r="D66" s="18"/>
      <c r="E66" s="35"/>
      <c r="F66" s="35"/>
      <c r="G66" s="35"/>
      <c r="H66" s="35"/>
      <c r="I66" s="35"/>
      <c r="J66" s="35"/>
    </row>
    <row r="67" spans="2:10" x14ac:dyDescent="0.25">
      <c r="B67" s="24" t="s">
        <v>92</v>
      </c>
      <c r="C67" s="12">
        <v>303</v>
      </c>
      <c r="D67" s="18"/>
      <c r="E67" s="35"/>
      <c r="F67" s="35"/>
      <c r="G67" s="35"/>
      <c r="H67" s="35"/>
      <c r="I67" s="35"/>
      <c r="J67" s="35"/>
    </row>
    <row r="68" spans="2:10" x14ac:dyDescent="0.25">
      <c r="B68" s="24" t="s">
        <v>92</v>
      </c>
      <c r="C68" s="12">
        <v>304</v>
      </c>
      <c r="D68" s="18"/>
      <c r="E68" s="35"/>
      <c r="F68" s="35"/>
      <c r="G68" s="35"/>
      <c r="H68" s="35"/>
      <c r="I68" s="35"/>
      <c r="J68" s="35"/>
    </row>
    <row r="69" spans="2:10" x14ac:dyDescent="0.25">
      <c r="B69" s="24" t="s">
        <v>92</v>
      </c>
      <c r="C69" s="12">
        <v>305</v>
      </c>
      <c r="D69" s="18"/>
      <c r="E69" s="35"/>
      <c r="F69" s="35"/>
      <c r="G69" s="35"/>
      <c r="H69" s="35"/>
      <c r="I69" s="35"/>
      <c r="J69" s="35"/>
    </row>
    <row r="70" spans="2:10" x14ac:dyDescent="0.25">
      <c r="B70" s="24" t="s">
        <v>92</v>
      </c>
      <c r="C70" s="12">
        <v>306</v>
      </c>
      <c r="D70" s="18"/>
      <c r="E70" s="35"/>
      <c r="F70" s="35"/>
      <c r="G70" s="35"/>
      <c r="H70" s="35"/>
      <c r="I70" s="35"/>
      <c r="J70" s="35"/>
    </row>
    <row r="71" spans="2:10" x14ac:dyDescent="0.25">
      <c r="B71" s="24" t="s">
        <v>92</v>
      </c>
      <c r="C71" s="12">
        <v>307</v>
      </c>
      <c r="D71" s="18"/>
      <c r="E71" s="35"/>
      <c r="F71" s="35"/>
      <c r="G71" s="35"/>
      <c r="H71" s="35"/>
      <c r="I71" s="35"/>
      <c r="J71" s="35"/>
    </row>
    <row r="72" spans="2:10" x14ac:dyDescent="0.25">
      <c r="B72" s="24" t="s">
        <v>92</v>
      </c>
      <c r="C72" s="12">
        <v>308</v>
      </c>
      <c r="D72" s="18"/>
      <c r="E72" s="35"/>
      <c r="F72" s="35"/>
      <c r="G72" s="35"/>
      <c r="H72" s="35"/>
      <c r="I72" s="35"/>
      <c r="J72" s="35"/>
    </row>
    <row r="73" spans="2:10" x14ac:dyDescent="0.25">
      <c r="B73" s="24" t="s">
        <v>92</v>
      </c>
      <c r="C73" s="12">
        <v>309</v>
      </c>
      <c r="D73" s="18"/>
      <c r="E73" s="35"/>
      <c r="F73" s="35"/>
      <c r="G73" s="35"/>
      <c r="H73" s="35"/>
      <c r="I73" s="35"/>
      <c r="J73" s="35"/>
    </row>
    <row r="74" spans="2:10" x14ac:dyDescent="0.25">
      <c r="B74" s="24" t="s">
        <v>92</v>
      </c>
      <c r="C74" s="12">
        <v>310</v>
      </c>
      <c r="D74" s="18"/>
      <c r="E74" s="35"/>
      <c r="F74" s="35"/>
      <c r="G74" s="35"/>
      <c r="H74" s="35"/>
      <c r="I74" s="35"/>
      <c r="J74" s="35"/>
    </row>
    <row r="75" spans="2:10" x14ac:dyDescent="0.25">
      <c r="B75" s="24" t="s">
        <v>92</v>
      </c>
      <c r="C75" s="12">
        <v>311</v>
      </c>
      <c r="D75" s="18"/>
      <c r="E75" s="35"/>
      <c r="F75" s="35"/>
      <c r="G75" s="35"/>
      <c r="H75" s="35"/>
      <c r="I75" s="35"/>
      <c r="J75" s="35"/>
    </row>
    <row r="76" spans="2:10" x14ac:dyDescent="0.25">
      <c r="B76" s="24" t="s">
        <v>92</v>
      </c>
      <c r="C76" s="12">
        <v>312</v>
      </c>
      <c r="D76" s="18"/>
      <c r="E76" s="35"/>
      <c r="F76" s="35"/>
      <c r="G76" s="35"/>
      <c r="H76" s="35"/>
      <c r="I76" s="35"/>
      <c r="J76" s="35"/>
    </row>
    <row r="77" spans="2:10" x14ac:dyDescent="0.25">
      <c r="B77" s="24" t="s">
        <v>92</v>
      </c>
      <c r="C77" s="12">
        <v>313</v>
      </c>
      <c r="D77" s="18"/>
      <c r="E77" s="35"/>
      <c r="F77" s="35"/>
      <c r="G77" s="35"/>
      <c r="H77" s="35"/>
      <c r="I77" s="35"/>
      <c r="J77" s="35"/>
    </row>
    <row r="78" spans="2:10" x14ac:dyDescent="0.25">
      <c r="B78" s="24" t="s">
        <v>92</v>
      </c>
      <c r="C78" s="12">
        <v>314</v>
      </c>
      <c r="D78" s="18"/>
      <c r="E78" s="35"/>
      <c r="F78" s="35"/>
      <c r="G78" s="35"/>
      <c r="H78" s="35"/>
      <c r="I78" s="35"/>
      <c r="J78" s="35"/>
    </row>
    <row r="79" spans="2:10" x14ac:dyDescent="0.25">
      <c r="B79" s="24" t="s">
        <v>92</v>
      </c>
      <c r="C79" s="12">
        <v>315</v>
      </c>
      <c r="D79" s="18"/>
      <c r="E79" s="35"/>
      <c r="F79" s="35"/>
      <c r="G79" s="35"/>
      <c r="H79" s="35"/>
      <c r="I79" s="35"/>
      <c r="J79" s="35"/>
    </row>
    <row r="80" spans="2:10" x14ac:dyDescent="0.25">
      <c r="B80" s="24" t="s">
        <v>92</v>
      </c>
      <c r="C80" s="12">
        <v>316</v>
      </c>
      <c r="D80" s="18"/>
      <c r="E80" s="35"/>
      <c r="F80" s="35"/>
      <c r="G80" s="35"/>
      <c r="H80" s="35"/>
      <c r="I80" s="35"/>
      <c r="J80" s="35"/>
    </row>
    <row r="81" spans="2:10" x14ac:dyDescent="0.25">
      <c r="B81" s="24" t="s">
        <v>92</v>
      </c>
      <c r="C81" s="12">
        <v>317</v>
      </c>
      <c r="D81" s="18"/>
      <c r="E81" s="35"/>
      <c r="F81" s="35"/>
      <c r="G81" s="35"/>
      <c r="H81" s="35"/>
      <c r="I81" s="35"/>
      <c r="J81" s="35"/>
    </row>
    <row r="82" spans="2:10" x14ac:dyDescent="0.25">
      <c r="B82" s="24" t="s">
        <v>92</v>
      </c>
      <c r="C82" s="12">
        <v>318</v>
      </c>
      <c r="D82" s="18"/>
      <c r="E82" s="35"/>
      <c r="F82" s="35"/>
      <c r="G82" s="35"/>
      <c r="H82" s="35"/>
      <c r="I82" s="35"/>
      <c r="J82" s="35"/>
    </row>
    <row r="83" spans="2:10" x14ac:dyDescent="0.25">
      <c r="B83" s="24" t="s">
        <v>92</v>
      </c>
      <c r="C83" s="12">
        <v>319</v>
      </c>
      <c r="D83" s="18"/>
      <c r="E83" s="35"/>
      <c r="F83" s="35"/>
      <c r="G83" s="35"/>
      <c r="H83" s="35"/>
      <c r="I83" s="35"/>
      <c r="J83" s="35"/>
    </row>
    <row r="84" spans="2:10" x14ac:dyDescent="0.25">
      <c r="B84" s="24" t="s">
        <v>92</v>
      </c>
      <c r="C84" s="12">
        <v>320</v>
      </c>
      <c r="D84" s="18"/>
      <c r="E84" s="35"/>
      <c r="F84" s="35"/>
      <c r="G84" s="35"/>
      <c r="H84" s="35"/>
      <c r="I84" s="35"/>
      <c r="J84" s="35"/>
    </row>
    <row r="85" spans="2:10" x14ac:dyDescent="0.25">
      <c r="B85" s="24" t="s">
        <v>92</v>
      </c>
      <c r="C85" s="12">
        <v>321</v>
      </c>
      <c r="D85" s="18"/>
      <c r="E85" s="35"/>
      <c r="F85" s="35"/>
      <c r="G85" s="35"/>
      <c r="H85" s="35"/>
      <c r="I85" s="35"/>
      <c r="J85" s="35"/>
    </row>
    <row r="86" spans="2:10" x14ac:dyDescent="0.25">
      <c r="B86" s="24" t="s">
        <v>92</v>
      </c>
      <c r="C86" s="12">
        <v>322</v>
      </c>
      <c r="D86" s="18"/>
      <c r="E86" s="35"/>
      <c r="F86" s="35"/>
      <c r="G86" s="35"/>
      <c r="H86" s="35"/>
      <c r="I86" s="35"/>
      <c r="J86" s="35"/>
    </row>
    <row r="87" spans="2:10" x14ac:dyDescent="0.25">
      <c r="B87" s="24" t="s">
        <v>92</v>
      </c>
      <c r="C87" s="12">
        <v>323</v>
      </c>
      <c r="D87" s="18"/>
      <c r="E87" s="35"/>
      <c r="F87" s="35"/>
      <c r="G87" s="35"/>
      <c r="H87" s="35"/>
      <c r="I87" s="35"/>
      <c r="J87" s="35"/>
    </row>
    <row r="88" spans="2:10" x14ac:dyDescent="0.25">
      <c r="B88" s="24" t="s">
        <v>92</v>
      </c>
      <c r="C88" s="12">
        <v>324</v>
      </c>
      <c r="D88" s="18"/>
      <c r="E88" s="35"/>
      <c r="F88" s="35"/>
      <c r="G88" s="35"/>
      <c r="H88" s="35"/>
      <c r="I88" s="35"/>
      <c r="J88" s="35"/>
    </row>
    <row r="89" spans="2:10" x14ac:dyDescent="0.25">
      <c r="B89" s="24" t="s">
        <v>92</v>
      </c>
      <c r="C89" s="12">
        <v>325</v>
      </c>
      <c r="D89" s="19"/>
      <c r="E89" s="38"/>
      <c r="F89" s="38"/>
      <c r="G89" s="38"/>
      <c r="H89" s="38"/>
      <c r="I89" s="38"/>
      <c r="J89" s="38"/>
    </row>
    <row r="90" spans="2:10" x14ac:dyDescent="0.25">
      <c r="B90" s="25"/>
      <c r="C90" s="22"/>
      <c r="D90" s="17"/>
      <c r="E90" s="37"/>
      <c r="F90" s="37"/>
      <c r="G90" s="37"/>
      <c r="H90" s="37"/>
      <c r="I90" s="37"/>
      <c r="J90" s="37"/>
    </row>
    <row r="91" spans="2:10" x14ac:dyDescent="0.25">
      <c r="B91" s="33" t="s">
        <v>95</v>
      </c>
      <c r="D91" s="18"/>
      <c r="E91" s="35"/>
      <c r="F91" s="35"/>
      <c r="G91" s="35"/>
      <c r="H91" s="35"/>
      <c r="I91" s="35"/>
      <c r="J91" s="35"/>
    </row>
    <row r="92" spans="2:10" x14ac:dyDescent="0.25">
      <c r="B92" s="24" t="s">
        <v>92</v>
      </c>
      <c r="C92" s="12">
        <v>401</v>
      </c>
      <c r="D92" s="18"/>
      <c r="E92" s="35"/>
      <c r="F92" s="35"/>
      <c r="G92" s="35"/>
      <c r="H92" s="35"/>
      <c r="I92" s="35"/>
      <c r="J92" s="35"/>
    </row>
    <row r="93" spans="2:10" x14ac:dyDescent="0.25">
      <c r="B93" s="24" t="s">
        <v>92</v>
      </c>
      <c r="C93" s="12">
        <v>402</v>
      </c>
      <c r="D93" s="18"/>
      <c r="E93" s="35"/>
      <c r="F93" s="35"/>
      <c r="G93" s="35"/>
      <c r="H93" s="35"/>
      <c r="I93" s="35"/>
      <c r="J93" s="35"/>
    </row>
    <row r="94" spans="2:10" x14ac:dyDescent="0.25">
      <c r="B94" s="24" t="s">
        <v>92</v>
      </c>
      <c r="C94" s="12">
        <v>403</v>
      </c>
      <c r="D94" s="18"/>
      <c r="E94" s="35"/>
      <c r="F94" s="35"/>
      <c r="G94" s="35"/>
      <c r="H94" s="35"/>
      <c r="I94" s="35"/>
      <c r="J94" s="35"/>
    </row>
    <row r="95" spans="2:10" x14ac:dyDescent="0.25">
      <c r="B95" s="24" t="s">
        <v>92</v>
      </c>
      <c r="C95" s="12">
        <v>404</v>
      </c>
      <c r="D95" s="18"/>
      <c r="E95" s="35"/>
      <c r="F95" s="35"/>
      <c r="G95" s="35"/>
      <c r="H95" s="35"/>
      <c r="I95" s="35"/>
      <c r="J95" s="35"/>
    </row>
    <row r="96" spans="2:10" x14ac:dyDescent="0.25">
      <c r="B96" s="24" t="s">
        <v>92</v>
      </c>
      <c r="C96" s="12">
        <v>405</v>
      </c>
      <c r="D96" s="18"/>
      <c r="E96" s="35"/>
      <c r="F96" s="35"/>
      <c r="G96" s="35"/>
      <c r="H96" s="35"/>
      <c r="I96" s="35"/>
      <c r="J96" s="35"/>
    </row>
    <row r="97" spans="2:10" x14ac:dyDescent="0.25">
      <c r="B97" s="24" t="s">
        <v>92</v>
      </c>
      <c r="C97" s="12">
        <v>406</v>
      </c>
      <c r="D97" s="18"/>
      <c r="E97" s="35"/>
      <c r="F97" s="35"/>
      <c r="G97" s="35"/>
      <c r="H97" s="35"/>
      <c r="I97" s="35"/>
      <c r="J97" s="35"/>
    </row>
    <row r="98" spans="2:10" x14ac:dyDescent="0.25">
      <c r="B98" s="24" t="s">
        <v>92</v>
      </c>
      <c r="C98" s="12">
        <v>407</v>
      </c>
      <c r="D98" s="18"/>
      <c r="E98" s="35"/>
      <c r="F98" s="35"/>
      <c r="G98" s="35"/>
      <c r="H98" s="35"/>
      <c r="I98" s="35"/>
      <c r="J98" s="35"/>
    </row>
    <row r="99" spans="2:10" x14ac:dyDescent="0.25">
      <c r="B99" s="24" t="s">
        <v>92</v>
      </c>
      <c r="C99" s="12">
        <v>408</v>
      </c>
      <c r="D99" s="18"/>
      <c r="E99" s="35"/>
      <c r="F99" s="35"/>
      <c r="G99" s="35"/>
      <c r="H99" s="35"/>
      <c r="I99" s="35"/>
      <c r="J99" s="35"/>
    </row>
    <row r="100" spans="2:10" x14ac:dyDescent="0.25">
      <c r="B100" s="24" t="s">
        <v>92</v>
      </c>
      <c r="C100" s="12">
        <v>409</v>
      </c>
      <c r="D100" s="18"/>
      <c r="E100" s="35"/>
      <c r="F100" s="35"/>
      <c r="G100" s="35"/>
      <c r="H100" s="35"/>
      <c r="I100" s="35"/>
      <c r="J100" s="35"/>
    </row>
    <row r="101" spans="2:10" x14ac:dyDescent="0.25">
      <c r="B101" s="24" t="s">
        <v>92</v>
      </c>
      <c r="C101" s="12">
        <v>410</v>
      </c>
      <c r="D101" s="18"/>
      <c r="E101" s="35"/>
      <c r="F101" s="35"/>
      <c r="G101" s="35"/>
      <c r="H101" s="35"/>
      <c r="I101" s="35"/>
      <c r="J101" s="35"/>
    </row>
    <row r="102" spans="2:10" x14ac:dyDescent="0.25">
      <c r="B102" s="24" t="s">
        <v>92</v>
      </c>
      <c r="C102" s="12">
        <v>411</v>
      </c>
      <c r="D102" s="18"/>
      <c r="E102" s="35"/>
      <c r="F102" s="35"/>
      <c r="G102" s="35"/>
      <c r="H102" s="35"/>
      <c r="I102" s="35"/>
      <c r="J102" s="35"/>
    </row>
    <row r="103" spans="2:10" x14ac:dyDescent="0.25">
      <c r="B103" s="24" t="s">
        <v>92</v>
      </c>
      <c r="C103" s="12">
        <v>412</v>
      </c>
      <c r="D103" s="18"/>
      <c r="E103" s="35"/>
      <c r="F103" s="35"/>
      <c r="G103" s="35"/>
      <c r="H103" s="35"/>
      <c r="I103" s="35"/>
      <c r="J103" s="35"/>
    </row>
    <row r="104" spans="2:10" x14ac:dyDescent="0.25">
      <c r="B104" s="24" t="s">
        <v>92</v>
      </c>
      <c r="C104" s="12">
        <v>413</v>
      </c>
      <c r="D104" s="18"/>
      <c r="E104" s="35"/>
      <c r="F104" s="35"/>
      <c r="G104" s="35"/>
      <c r="H104" s="35"/>
      <c r="I104" s="35"/>
      <c r="J104" s="35"/>
    </row>
    <row r="105" spans="2:10" x14ac:dyDescent="0.25">
      <c r="B105" s="24" t="s">
        <v>92</v>
      </c>
      <c r="C105" s="12">
        <v>414</v>
      </c>
      <c r="D105" s="18"/>
      <c r="E105" s="35"/>
      <c r="F105" s="35"/>
      <c r="G105" s="35"/>
      <c r="H105" s="35"/>
      <c r="I105" s="35"/>
      <c r="J105" s="35"/>
    </row>
    <row r="106" spans="2:10" x14ac:dyDescent="0.25">
      <c r="B106" s="24" t="s">
        <v>92</v>
      </c>
      <c r="C106" s="12">
        <v>415</v>
      </c>
      <c r="D106" s="18"/>
      <c r="E106" s="35"/>
      <c r="F106" s="35"/>
      <c r="G106" s="35"/>
      <c r="H106" s="35"/>
      <c r="I106" s="35"/>
      <c r="J106" s="35"/>
    </row>
    <row r="107" spans="2:10" x14ac:dyDescent="0.25">
      <c r="B107" s="24" t="s">
        <v>92</v>
      </c>
      <c r="C107" s="12">
        <v>416</v>
      </c>
      <c r="D107" s="18"/>
      <c r="E107" s="35"/>
      <c r="F107" s="35"/>
      <c r="G107" s="35"/>
      <c r="H107" s="35"/>
      <c r="I107" s="35"/>
      <c r="J107" s="35"/>
    </row>
    <row r="108" spans="2:10" x14ac:dyDescent="0.25">
      <c r="B108" s="24" t="s">
        <v>92</v>
      </c>
      <c r="C108" s="12">
        <v>417</v>
      </c>
      <c r="D108" s="18"/>
      <c r="E108" s="35"/>
      <c r="F108" s="35"/>
      <c r="G108" s="35"/>
      <c r="H108" s="35"/>
      <c r="I108" s="35"/>
      <c r="J108" s="35"/>
    </row>
    <row r="109" spans="2:10" x14ac:dyDescent="0.25">
      <c r="B109" s="24" t="s">
        <v>92</v>
      </c>
      <c r="C109" s="12">
        <v>418</v>
      </c>
      <c r="D109" s="18"/>
      <c r="E109" s="35"/>
      <c r="F109" s="35"/>
      <c r="G109" s="35"/>
      <c r="H109" s="35"/>
      <c r="I109" s="35"/>
      <c r="J109" s="35"/>
    </row>
    <row r="110" spans="2:10" x14ac:dyDescent="0.25">
      <c r="B110" s="24" t="s">
        <v>92</v>
      </c>
      <c r="C110" s="12">
        <v>419</v>
      </c>
      <c r="D110" s="18"/>
      <c r="E110" s="35"/>
      <c r="F110" s="35"/>
      <c r="G110" s="35"/>
      <c r="H110" s="35"/>
      <c r="I110" s="35"/>
      <c r="J110" s="35"/>
    </row>
    <row r="111" spans="2:10" x14ac:dyDescent="0.25">
      <c r="B111" s="24" t="s">
        <v>92</v>
      </c>
      <c r="C111" s="12">
        <v>420</v>
      </c>
      <c r="D111" s="18"/>
      <c r="E111" s="35"/>
      <c r="F111" s="35"/>
      <c r="G111" s="35"/>
      <c r="H111" s="35"/>
      <c r="I111" s="35"/>
      <c r="J111" s="35"/>
    </row>
    <row r="112" spans="2:10" x14ac:dyDescent="0.25">
      <c r="B112" s="24" t="s">
        <v>92</v>
      </c>
      <c r="C112" s="12">
        <v>421</v>
      </c>
      <c r="D112" s="18"/>
      <c r="E112" s="35"/>
      <c r="F112" s="35"/>
      <c r="G112" s="35"/>
      <c r="H112" s="35"/>
      <c r="I112" s="35"/>
      <c r="J112" s="35"/>
    </row>
    <row r="113" spans="2:10" x14ac:dyDescent="0.25">
      <c r="B113" s="24" t="s">
        <v>92</v>
      </c>
      <c r="C113" s="12">
        <v>422</v>
      </c>
      <c r="D113" s="18"/>
      <c r="E113" s="35"/>
      <c r="F113" s="35"/>
      <c r="G113" s="35"/>
      <c r="H113" s="35"/>
      <c r="I113" s="35"/>
      <c r="J113" s="35"/>
    </row>
    <row r="114" spans="2:10" x14ac:dyDescent="0.25">
      <c r="B114" s="24" t="s">
        <v>92</v>
      </c>
      <c r="C114" s="12">
        <v>423</v>
      </c>
      <c r="D114" s="18"/>
      <c r="E114" s="35"/>
      <c r="F114" s="35"/>
      <c r="G114" s="35"/>
      <c r="H114" s="35"/>
      <c r="I114" s="35"/>
      <c r="J114" s="35"/>
    </row>
    <row r="115" spans="2:10" x14ac:dyDescent="0.25">
      <c r="B115" s="24" t="s">
        <v>92</v>
      </c>
      <c r="C115" s="12">
        <v>424</v>
      </c>
      <c r="D115" s="18"/>
      <c r="E115" s="35"/>
      <c r="F115" s="35"/>
      <c r="G115" s="35"/>
      <c r="H115" s="35"/>
      <c r="I115" s="35"/>
      <c r="J115" s="35"/>
    </row>
    <row r="116" spans="2:10" x14ac:dyDescent="0.25">
      <c r="B116" s="24" t="s">
        <v>92</v>
      </c>
      <c r="C116" s="12">
        <v>425</v>
      </c>
      <c r="D116" s="19"/>
      <c r="E116" s="38"/>
      <c r="F116" s="38"/>
      <c r="G116" s="38"/>
      <c r="H116" s="38"/>
      <c r="I116" s="38"/>
      <c r="J116" s="38"/>
    </row>
    <row r="117" spans="2:10" x14ac:dyDescent="0.25">
      <c r="B117" s="25"/>
      <c r="C117" s="22"/>
      <c r="D117" s="17"/>
      <c r="E117" s="37"/>
      <c r="F117" s="37"/>
      <c r="G117" s="37"/>
      <c r="H117" s="37"/>
      <c r="I117" s="37"/>
      <c r="J117" s="37"/>
    </row>
    <row r="118" spans="2:10" x14ac:dyDescent="0.25">
      <c r="B118" s="33" t="s">
        <v>96</v>
      </c>
      <c r="D118" s="18"/>
      <c r="E118" s="35"/>
      <c r="F118" s="35"/>
      <c r="G118" s="35"/>
      <c r="H118" s="35"/>
      <c r="I118" s="35"/>
      <c r="J118" s="35"/>
    </row>
    <row r="119" spans="2:10" x14ac:dyDescent="0.25">
      <c r="B119" s="24" t="s">
        <v>92</v>
      </c>
      <c r="C119" s="12">
        <v>501</v>
      </c>
      <c r="D119" s="18"/>
      <c r="E119" s="35"/>
      <c r="F119" s="35"/>
      <c r="G119" s="35"/>
      <c r="H119" s="35"/>
      <c r="I119" s="35"/>
      <c r="J119" s="35"/>
    </row>
    <row r="120" spans="2:10" x14ac:dyDescent="0.25">
      <c r="B120" s="24" t="s">
        <v>92</v>
      </c>
      <c r="C120" s="12">
        <v>502</v>
      </c>
      <c r="D120" s="18"/>
      <c r="E120" s="35"/>
      <c r="F120" s="35"/>
      <c r="G120" s="35"/>
      <c r="H120" s="35"/>
      <c r="I120" s="35"/>
      <c r="J120" s="35"/>
    </row>
    <row r="121" spans="2:10" x14ac:dyDescent="0.25">
      <c r="B121" s="24" t="s">
        <v>92</v>
      </c>
      <c r="C121" s="12">
        <v>503</v>
      </c>
      <c r="D121" s="18"/>
      <c r="E121" s="35"/>
      <c r="F121" s="35"/>
      <c r="G121" s="35"/>
      <c r="H121" s="35"/>
      <c r="I121" s="35"/>
      <c r="J121" s="35"/>
    </row>
    <row r="122" spans="2:10" x14ac:dyDescent="0.25">
      <c r="B122" s="24" t="s">
        <v>92</v>
      </c>
      <c r="C122" s="12">
        <v>504</v>
      </c>
      <c r="D122" s="18"/>
      <c r="E122" s="35"/>
      <c r="F122" s="35"/>
      <c r="G122" s="35"/>
      <c r="H122" s="35"/>
      <c r="I122" s="35"/>
      <c r="J122" s="35"/>
    </row>
    <row r="123" spans="2:10" x14ac:dyDescent="0.25">
      <c r="B123" s="24" t="s">
        <v>92</v>
      </c>
      <c r="C123" s="12">
        <v>505</v>
      </c>
      <c r="D123" s="18"/>
      <c r="E123" s="35"/>
      <c r="F123" s="35"/>
      <c r="G123" s="35"/>
      <c r="H123" s="35"/>
      <c r="I123" s="35"/>
      <c r="J123" s="35"/>
    </row>
    <row r="124" spans="2:10" x14ac:dyDescent="0.25">
      <c r="B124" s="24" t="s">
        <v>92</v>
      </c>
      <c r="C124" s="12">
        <v>506</v>
      </c>
      <c r="D124" s="18"/>
      <c r="E124" s="35"/>
      <c r="F124" s="35"/>
      <c r="G124" s="35"/>
      <c r="H124" s="35"/>
      <c r="I124" s="35"/>
      <c r="J124" s="35"/>
    </row>
    <row r="125" spans="2:10" x14ac:dyDescent="0.25">
      <c r="B125" s="24" t="s">
        <v>92</v>
      </c>
      <c r="C125" s="12">
        <v>507</v>
      </c>
      <c r="D125" s="18"/>
      <c r="E125" s="35"/>
      <c r="F125" s="35"/>
      <c r="G125" s="35"/>
      <c r="H125" s="35"/>
      <c r="I125" s="35"/>
      <c r="J125" s="35"/>
    </row>
    <row r="126" spans="2:10" x14ac:dyDescent="0.25">
      <c r="B126" s="24" t="s">
        <v>92</v>
      </c>
      <c r="C126" s="12">
        <v>508</v>
      </c>
      <c r="D126" s="18"/>
      <c r="E126" s="35"/>
      <c r="F126" s="35"/>
      <c r="G126" s="35"/>
      <c r="H126" s="35"/>
      <c r="I126" s="35"/>
      <c r="J126" s="35"/>
    </row>
    <row r="127" spans="2:10" x14ac:dyDescent="0.25">
      <c r="B127" s="24" t="s">
        <v>92</v>
      </c>
      <c r="C127" s="12">
        <v>509</v>
      </c>
      <c r="D127" s="18"/>
      <c r="E127" s="35"/>
      <c r="F127" s="35"/>
      <c r="G127" s="35"/>
      <c r="H127" s="35"/>
      <c r="I127" s="35"/>
      <c r="J127" s="35"/>
    </row>
    <row r="128" spans="2:10" x14ac:dyDescent="0.25">
      <c r="B128" s="24" t="s">
        <v>92</v>
      </c>
      <c r="C128" s="12">
        <v>510</v>
      </c>
      <c r="D128" s="18"/>
      <c r="E128" s="35"/>
      <c r="F128" s="35"/>
      <c r="G128" s="35"/>
      <c r="H128" s="35"/>
      <c r="I128" s="35"/>
      <c r="J128" s="35"/>
    </row>
    <row r="129" spans="2:10" x14ac:dyDescent="0.25">
      <c r="B129" s="24" t="s">
        <v>92</v>
      </c>
      <c r="C129" s="12">
        <v>511</v>
      </c>
      <c r="D129" s="18"/>
      <c r="E129" s="35"/>
      <c r="F129" s="35"/>
      <c r="G129" s="35"/>
      <c r="H129" s="35"/>
      <c r="I129" s="35"/>
      <c r="J129" s="35"/>
    </row>
    <row r="130" spans="2:10" x14ac:dyDescent="0.25">
      <c r="B130" s="24" t="s">
        <v>92</v>
      </c>
      <c r="C130" s="12">
        <v>512</v>
      </c>
      <c r="D130" s="18"/>
      <c r="E130" s="35"/>
      <c r="F130" s="35"/>
      <c r="G130" s="35"/>
      <c r="H130" s="35"/>
      <c r="I130" s="35"/>
      <c r="J130" s="35"/>
    </row>
    <row r="131" spans="2:10" x14ac:dyDescent="0.25">
      <c r="B131" s="24" t="s">
        <v>92</v>
      </c>
      <c r="C131" s="12">
        <v>513</v>
      </c>
      <c r="D131" s="18"/>
      <c r="E131" s="35"/>
      <c r="F131" s="35"/>
      <c r="G131" s="35"/>
      <c r="H131" s="35"/>
      <c r="I131" s="35"/>
      <c r="J131" s="35"/>
    </row>
    <row r="132" spans="2:10" x14ac:dyDescent="0.25">
      <c r="B132" s="24" t="s">
        <v>92</v>
      </c>
      <c r="C132" s="12">
        <v>514</v>
      </c>
      <c r="D132" s="18"/>
      <c r="E132" s="35"/>
      <c r="F132" s="35"/>
      <c r="G132" s="35"/>
      <c r="H132" s="35"/>
      <c r="I132" s="35"/>
      <c r="J132" s="35"/>
    </row>
    <row r="133" spans="2:10" x14ac:dyDescent="0.25">
      <c r="B133" s="24" t="s">
        <v>92</v>
      </c>
      <c r="C133" s="12">
        <v>515</v>
      </c>
      <c r="D133" s="18"/>
      <c r="E133" s="35"/>
      <c r="F133" s="35"/>
      <c r="G133" s="35"/>
      <c r="H133" s="35"/>
      <c r="I133" s="35"/>
      <c r="J133" s="35"/>
    </row>
    <row r="134" spans="2:10" x14ac:dyDescent="0.25">
      <c r="B134" s="24" t="s">
        <v>92</v>
      </c>
      <c r="C134" s="12">
        <v>516</v>
      </c>
      <c r="D134" s="18"/>
      <c r="E134" s="35"/>
      <c r="F134" s="35"/>
      <c r="G134" s="35"/>
      <c r="H134" s="35"/>
      <c r="I134" s="35"/>
      <c r="J134" s="35"/>
    </row>
    <row r="135" spans="2:10" x14ac:dyDescent="0.25">
      <c r="B135" s="24" t="s">
        <v>92</v>
      </c>
      <c r="C135" s="12">
        <v>517</v>
      </c>
      <c r="D135" s="18"/>
      <c r="E135" s="35"/>
      <c r="F135" s="35"/>
      <c r="G135" s="35"/>
      <c r="H135" s="35"/>
      <c r="I135" s="35"/>
      <c r="J135" s="35"/>
    </row>
    <row r="136" spans="2:10" x14ac:dyDescent="0.25">
      <c r="B136" s="24" t="s">
        <v>92</v>
      </c>
      <c r="C136" s="12">
        <v>518</v>
      </c>
      <c r="D136" s="18"/>
      <c r="E136" s="35"/>
      <c r="F136" s="35"/>
      <c r="G136" s="35"/>
      <c r="H136" s="35"/>
      <c r="I136" s="35"/>
      <c r="J136" s="35"/>
    </row>
    <row r="137" spans="2:10" x14ac:dyDescent="0.25">
      <c r="B137" s="24" t="s">
        <v>92</v>
      </c>
      <c r="C137" s="12">
        <v>519</v>
      </c>
      <c r="D137" s="18"/>
      <c r="E137" s="35"/>
      <c r="F137" s="35"/>
      <c r="G137" s="35"/>
      <c r="H137" s="35"/>
      <c r="I137" s="35"/>
      <c r="J137" s="35"/>
    </row>
    <row r="138" spans="2:10" x14ac:dyDescent="0.25">
      <c r="B138" s="24" t="s">
        <v>92</v>
      </c>
      <c r="C138" s="12">
        <v>520</v>
      </c>
      <c r="D138" s="18"/>
      <c r="E138" s="35"/>
      <c r="F138" s="35"/>
      <c r="G138" s="35"/>
      <c r="H138" s="35"/>
      <c r="I138" s="35"/>
      <c r="J138" s="35"/>
    </row>
    <row r="139" spans="2:10" x14ac:dyDescent="0.25">
      <c r="B139" s="24" t="s">
        <v>92</v>
      </c>
      <c r="C139" s="12">
        <v>521</v>
      </c>
      <c r="D139" s="18"/>
      <c r="E139" s="35"/>
      <c r="F139" s="35"/>
      <c r="G139" s="35"/>
      <c r="H139" s="35"/>
      <c r="I139" s="35"/>
      <c r="J139" s="35"/>
    </row>
    <row r="140" spans="2:10" x14ac:dyDescent="0.25">
      <c r="B140" s="24" t="s">
        <v>92</v>
      </c>
      <c r="C140" s="12">
        <v>522</v>
      </c>
      <c r="D140" s="18"/>
      <c r="E140" s="35"/>
      <c r="F140" s="35"/>
      <c r="G140" s="35"/>
      <c r="H140" s="35"/>
      <c r="I140" s="35"/>
      <c r="J140" s="35"/>
    </row>
    <row r="141" spans="2:10" x14ac:dyDescent="0.25">
      <c r="B141" s="24" t="s">
        <v>92</v>
      </c>
      <c r="C141" s="12">
        <v>523</v>
      </c>
      <c r="D141" s="18"/>
      <c r="E141" s="35"/>
      <c r="F141" s="35"/>
      <c r="G141" s="35"/>
      <c r="H141" s="35"/>
      <c r="I141" s="35"/>
      <c r="J141" s="35"/>
    </row>
    <row r="142" spans="2:10" x14ac:dyDescent="0.25">
      <c r="B142" s="24" t="s">
        <v>92</v>
      </c>
      <c r="C142" s="12">
        <v>524</v>
      </c>
      <c r="D142" s="18"/>
      <c r="E142" s="35"/>
      <c r="F142" s="35"/>
      <c r="G142" s="35"/>
      <c r="H142" s="35"/>
      <c r="I142" s="35"/>
      <c r="J142" s="35"/>
    </row>
    <row r="143" spans="2:10" x14ac:dyDescent="0.25">
      <c r="B143" s="24" t="s">
        <v>92</v>
      </c>
      <c r="C143" s="12">
        <v>525</v>
      </c>
      <c r="D143" s="19"/>
      <c r="E143" s="38"/>
      <c r="F143" s="38"/>
      <c r="G143" s="38"/>
      <c r="H143" s="38"/>
      <c r="I143" s="38"/>
      <c r="J143" s="38"/>
    </row>
    <row r="144" spans="2:10" x14ac:dyDescent="0.25">
      <c r="B144" s="25"/>
      <c r="C144" s="22"/>
      <c r="D144" s="17"/>
      <c r="E144" s="37"/>
      <c r="F144" s="37"/>
      <c r="G144" s="37"/>
      <c r="H144" s="37"/>
      <c r="I144" s="37"/>
      <c r="J144" s="37"/>
    </row>
    <row r="145" spans="2:10" x14ac:dyDescent="0.25">
      <c r="B145" s="33" t="s">
        <v>97</v>
      </c>
      <c r="D145" s="18"/>
      <c r="E145" s="35"/>
      <c r="F145" s="35"/>
      <c r="G145" s="35"/>
      <c r="H145" s="35"/>
      <c r="I145" s="35"/>
      <c r="J145" s="35"/>
    </row>
    <row r="146" spans="2:10" x14ac:dyDescent="0.25">
      <c r="B146" s="24" t="s">
        <v>92</v>
      </c>
      <c r="C146" s="12">
        <v>601</v>
      </c>
      <c r="D146" s="18"/>
      <c r="E146" s="35"/>
      <c r="F146" s="35"/>
      <c r="G146" s="35"/>
      <c r="H146" s="35"/>
      <c r="I146" s="35"/>
      <c r="J146" s="35"/>
    </row>
    <row r="147" spans="2:10" x14ac:dyDescent="0.25">
      <c r="B147" s="24" t="s">
        <v>92</v>
      </c>
      <c r="C147" s="12">
        <v>602</v>
      </c>
      <c r="D147" s="18"/>
      <c r="E147" s="35"/>
      <c r="F147" s="35"/>
      <c r="G147" s="35"/>
      <c r="H147" s="35"/>
      <c r="I147" s="35"/>
      <c r="J147" s="35"/>
    </row>
    <row r="148" spans="2:10" x14ac:dyDescent="0.25">
      <c r="B148" s="24" t="s">
        <v>92</v>
      </c>
      <c r="C148" s="12">
        <v>603</v>
      </c>
      <c r="D148" s="18"/>
      <c r="E148" s="35"/>
      <c r="F148" s="35"/>
      <c r="G148" s="35"/>
      <c r="H148" s="35"/>
      <c r="I148" s="35"/>
      <c r="J148" s="35"/>
    </row>
    <row r="149" spans="2:10" x14ac:dyDescent="0.25">
      <c r="B149" s="24" t="s">
        <v>92</v>
      </c>
      <c r="C149" s="12">
        <v>604</v>
      </c>
      <c r="D149" s="18"/>
      <c r="E149" s="35"/>
      <c r="F149" s="35"/>
      <c r="G149" s="35"/>
      <c r="H149" s="35"/>
      <c r="I149" s="35"/>
      <c r="J149" s="35"/>
    </row>
    <row r="150" spans="2:10" x14ac:dyDescent="0.25">
      <c r="B150" s="24" t="s">
        <v>92</v>
      </c>
      <c r="C150" s="12">
        <v>605</v>
      </c>
      <c r="D150" s="18"/>
      <c r="E150" s="35"/>
      <c r="F150" s="35"/>
      <c r="G150" s="35"/>
      <c r="H150" s="35"/>
      <c r="I150" s="35"/>
      <c r="J150" s="35"/>
    </row>
    <row r="151" spans="2:10" x14ac:dyDescent="0.25">
      <c r="B151" s="24" t="s">
        <v>92</v>
      </c>
      <c r="C151" s="12">
        <v>606</v>
      </c>
      <c r="D151" s="18"/>
      <c r="E151" s="35"/>
      <c r="F151" s="35"/>
      <c r="G151" s="35"/>
      <c r="H151" s="35"/>
      <c r="I151" s="35"/>
      <c r="J151" s="35"/>
    </row>
    <row r="152" spans="2:10" x14ac:dyDescent="0.25">
      <c r="B152" s="24" t="s">
        <v>92</v>
      </c>
      <c r="C152" s="12">
        <v>607</v>
      </c>
      <c r="D152" s="18"/>
      <c r="E152" s="35"/>
      <c r="F152" s="35"/>
      <c r="G152" s="35"/>
      <c r="H152" s="35"/>
      <c r="I152" s="35"/>
      <c r="J152" s="35"/>
    </row>
    <row r="153" spans="2:10" x14ac:dyDescent="0.25">
      <c r="B153" s="24" t="s">
        <v>92</v>
      </c>
      <c r="C153" s="12">
        <v>608</v>
      </c>
      <c r="D153" s="18"/>
      <c r="E153" s="35"/>
      <c r="F153" s="35"/>
      <c r="G153" s="35"/>
      <c r="H153" s="35"/>
      <c r="I153" s="35"/>
      <c r="J153" s="35"/>
    </row>
    <row r="154" spans="2:10" x14ac:dyDescent="0.25">
      <c r="B154" s="24" t="s">
        <v>92</v>
      </c>
      <c r="C154" s="12">
        <v>609</v>
      </c>
      <c r="D154" s="18"/>
      <c r="E154" s="35"/>
      <c r="F154" s="35"/>
      <c r="G154" s="35"/>
      <c r="H154" s="35"/>
      <c r="I154" s="35"/>
      <c r="J154" s="35"/>
    </row>
    <row r="155" spans="2:10" x14ac:dyDescent="0.25">
      <c r="B155" s="24" t="s">
        <v>92</v>
      </c>
      <c r="C155" s="12">
        <v>610</v>
      </c>
      <c r="D155" s="18"/>
      <c r="E155" s="35"/>
      <c r="F155" s="35"/>
      <c r="G155" s="35"/>
      <c r="H155" s="35"/>
      <c r="I155" s="35"/>
      <c r="J155" s="35"/>
    </row>
    <row r="156" spans="2:10" x14ac:dyDescent="0.25">
      <c r="B156" s="24" t="s">
        <v>92</v>
      </c>
      <c r="C156" s="12">
        <v>611</v>
      </c>
      <c r="D156" s="18"/>
      <c r="E156" s="35"/>
      <c r="F156" s="35"/>
      <c r="G156" s="35"/>
      <c r="H156" s="35"/>
      <c r="I156" s="35"/>
      <c r="J156" s="35"/>
    </row>
    <row r="157" spans="2:10" x14ac:dyDescent="0.25">
      <c r="B157" s="24" t="s">
        <v>92</v>
      </c>
      <c r="C157" s="12">
        <v>612</v>
      </c>
      <c r="D157" s="18"/>
      <c r="E157" s="35"/>
      <c r="F157" s="35"/>
      <c r="G157" s="35"/>
      <c r="H157" s="35"/>
      <c r="I157" s="35"/>
      <c r="J157" s="35"/>
    </row>
    <row r="158" spans="2:10" x14ac:dyDescent="0.25">
      <c r="B158" s="24" t="s">
        <v>92</v>
      </c>
      <c r="C158" s="12">
        <v>613</v>
      </c>
      <c r="D158" s="18"/>
      <c r="E158" s="35"/>
      <c r="F158" s="35"/>
      <c r="G158" s="35"/>
      <c r="H158" s="35"/>
      <c r="I158" s="35"/>
      <c r="J158" s="35"/>
    </row>
    <row r="159" spans="2:10" x14ac:dyDescent="0.25">
      <c r="B159" s="24" t="s">
        <v>92</v>
      </c>
      <c r="C159" s="12">
        <v>614</v>
      </c>
      <c r="D159" s="18"/>
      <c r="E159" s="35"/>
      <c r="F159" s="35"/>
      <c r="G159" s="35"/>
      <c r="H159" s="35"/>
      <c r="I159" s="35"/>
      <c r="J159" s="35"/>
    </row>
    <row r="160" spans="2:10" x14ac:dyDescent="0.25">
      <c r="B160" s="24" t="s">
        <v>92</v>
      </c>
      <c r="C160" s="12">
        <v>615</v>
      </c>
      <c r="D160" s="18"/>
      <c r="E160" s="35"/>
      <c r="F160" s="35"/>
      <c r="G160" s="35"/>
      <c r="H160" s="35"/>
      <c r="I160" s="35"/>
      <c r="J160" s="35"/>
    </row>
    <row r="161" spans="2:10" x14ac:dyDescent="0.25">
      <c r="B161" s="24" t="s">
        <v>92</v>
      </c>
      <c r="C161" s="12">
        <v>616</v>
      </c>
      <c r="D161" s="18"/>
      <c r="E161" s="35"/>
      <c r="F161" s="35"/>
      <c r="G161" s="35"/>
      <c r="H161" s="35"/>
      <c r="I161" s="35"/>
      <c r="J161" s="35"/>
    </row>
    <row r="162" spans="2:10" x14ac:dyDescent="0.25">
      <c r="B162" s="24" t="s">
        <v>92</v>
      </c>
      <c r="C162" s="12">
        <v>617</v>
      </c>
      <c r="D162" s="18"/>
      <c r="E162" s="35"/>
      <c r="F162" s="35"/>
      <c r="G162" s="35"/>
      <c r="H162" s="35"/>
      <c r="I162" s="35"/>
      <c r="J162" s="35"/>
    </row>
    <row r="163" spans="2:10" x14ac:dyDescent="0.25">
      <c r="B163" s="24" t="s">
        <v>92</v>
      </c>
      <c r="C163" s="12">
        <v>618</v>
      </c>
      <c r="D163" s="18"/>
      <c r="E163" s="35"/>
      <c r="F163" s="35"/>
      <c r="G163" s="35"/>
      <c r="H163" s="35"/>
      <c r="I163" s="35"/>
      <c r="J163" s="35"/>
    </row>
    <row r="164" spans="2:10" x14ac:dyDescent="0.25">
      <c r="B164" s="24" t="s">
        <v>92</v>
      </c>
      <c r="C164" s="12">
        <v>619</v>
      </c>
      <c r="D164" s="18"/>
      <c r="E164" s="35"/>
      <c r="F164" s="35"/>
      <c r="G164" s="35"/>
      <c r="H164" s="35"/>
      <c r="I164" s="35"/>
      <c r="J164" s="35"/>
    </row>
    <row r="165" spans="2:10" x14ac:dyDescent="0.25">
      <c r="B165" s="24" t="s">
        <v>92</v>
      </c>
      <c r="C165" s="12">
        <v>620</v>
      </c>
      <c r="D165" s="18"/>
      <c r="E165" s="35"/>
      <c r="F165" s="35"/>
      <c r="G165" s="35"/>
      <c r="H165" s="35"/>
      <c r="I165" s="35"/>
      <c r="J165" s="35"/>
    </row>
    <row r="166" spans="2:10" x14ac:dyDescent="0.25">
      <c r="B166" s="24" t="s">
        <v>92</v>
      </c>
      <c r="C166" s="12">
        <v>621</v>
      </c>
      <c r="D166" s="18"/>
      <c r="E166" s="35"/>
      <c r="F166" s="35"/>
      <c r="G166" s="35"/>
      <c r="H166" s="35"/>
      <c r="I166" s="35"/>
      <c r="J166" s="35"/>
    </row>
    <row r="167" spans="2:10" x14ac:dyDescent="0.25">
      <c r="B167" s="24" t="s">
        <v>92</v>
      </c>
      <c r="C167" s="12">
        <v>622</v>
      </c>
      <c r="D167" s="18"/>
      <c r="E167" s="35"/>
      <c r="F167" s="35"/>
      <c r="G167" s="35"/>
      <c r="H167" s="35"/>
      <c r="I167" s="35"/>
      <c r="J167" s="35"/>
    </row>
    <row r="168" spans="2:10" x14ac:dyDescent="0.25">
      <c r="B168" s="24" t="s">
        <v>92</v>
      </c>
      <c r="C168" s="12">
        <v>623</v>
      </c>
      <c r="D168" s="18"/>
      <c r="E168" s="35"/>
      <c r="F168" s="35"/>
      <c r="G168" s="35"/>
      <c r="H168" s="35"/>
      <c r="I168" s="35"/>
      <c r="J168" s="35"/>
    </row>
    <row r="169" spans="2:10" x14ac:dyDescent="0.25">
      <c r="B169" s="24" t="s">
        <v>92</v>
      </c>
      <c r="C169" s="12">
        <v>624</v>
      </c>
      <c r="D169" s="18"/>
      <c r="E169" s="35"/>
      <c r="F169" s="35"/>
      <c r="G169" s="35"/>
      <c r="H169" s="35"/>
      <c r="I169" s="35"/>
      <c r="J169" s="35"/>
    </row>
    <row r="170" spans="2:10" x14ac:dyDescent="0.25">
      <c r="B170" s="24" t="s">
        <v>92</v>
      </c>
      <c r="C170" s="12">
        <v>625</v>
      </c>
      <c r="D170" s="19"/>
      <c r="E170" s="38"/>
      <c r="F170" s="38"/>
      <c r="G170" s="38"/>
      <c r="H170" s="38"/>
      <c r="I170" s="38"/>
      <c r="J170" s="38"/>
    </row>
    <row r="171" spans="2:10" x14ac:dyDescent="0.25">
      <c r="B171" s="25"/>
      <c r="C171" s="22"/>
      <c r="D171" s="17"/>
      <c r="E171" s="37"/>
      <c r="F171" s="37"/>
      <c r="G171" s="37"/>
      <c r="H171" s="37"/>
      <c r="I171" s="37"/>
      <c r="J171" s="37"/>
    </row>
    <row r="172" spans="2:10" x14ac:dyDescent="0.25">
      <c r="B172" s="33" t="s">
        <v>98</v>
      </c>
      <c r="D172" s="18"/>
      <c r="E172" s="35"/>
      <c r="F172" s="35"/>
      <c r="G172" s="35"/>
      <c r="H172" s="35"/>
      <c r="I172" s="35"/>
      <c r="J172" s="35"/>
    </row>
    <row r="173" spans="2:10" x14ac:dyDescent="0.25">
      <c r="B173" s="24" t="s">
        <v>92</v>
      </c>
      <c r="C173" s="12">
        <v>701</v>
      </c>
      <c r="D173" s="18"/>
      <c r="E173" s="35"/>
      <c r="F173" s="35"/>
      <c r="G173" s="35"/>
      <c r="H173" s="35"/>
      <c r="I173" s="35"/>
      <c r="J173" s="35"/>
    </row>
    <row r="174" spans="2:10" x14ac:dyDescent="0.25">
      <c r="B174" s="24" t="s">
        <v>92</v>
      </c>
      <c r="C174" s="12">
        <v>702</v>
      </c>
      <c r="D174" s="18"/>
      <c r="E174" s="35"/>
      <c r="F174" s="35"/>
      <c r="G174" s="35"/>
      <c r="H174" s="35"/>
      <c r="I174" s="35"/>
      <c r="J174" s="35"/>
    </row>
    <row r="175" spans="2:10" x14ac:dyDescent="0.25">
      <c r="B175" s="24" t="s">
        <v>92</v>
      </c>
      <c r="C175" s="12">
        <v>703</v>
      </c>
      <c r="D175" s="18"/>
      <c r="E175" s="35"/>
      <c r="F175" s="35"/>
      <c r="G175" s="35"/>
      <c r="H175" s="35"/>
      <c r="I175" s="35"/>
      <c r="J175" s="35"/>
    </row>
    <row r="176" spans="2:10" x14ac:dyDescent="0.25">
      <c r="B176" s="24" t="s">
        <v>92</v>
      </c>
      <c r="C176" s="12">
        <v>704</v>
      </c>
      <c r="D176" s="18"/>
      <c r="E176" s="35"/>
      <c r="F176" s="35"/>
      <c r="G176" s="35"/>
      <c r="H176" s="35"/>
      <c r="I176" s="35"/>
      <c r="J176" s="35"/>
    </row>
    <row r="177" spans="2:10" x14ac:dyDescent="0.25">
      <c r="B177" s="24" t="s">
        <v>92</v>
      </c>
      <c r="C177" s="12">
        <v>705</v>
      </c>
      <c r="D177" s="18"/>
      <c r="E177" s="35"/>
      <c r="F177" s="35"/>
      <c r="G177" s="35"/>
      <c r="H177" s="35"/>
      <c r="I177" s="35"/>
      <c r="J177" s="35"/>
    </row>
    <row r="178" spans="2:10" x14ac:dyDescent="0.25">
      <c r="B178" s="24" t="s">
        <v>92</v>
      </c>
      <c r="C178" s="12">
        <v>706</v>
      </c>
      <c r="D178" s="18"/>
      <c r="E178" s="35"/>
      <c r="F178" s="35"/>
      <c r="G178" s="35"/>
      <c r="H178" s="35"/>
      <c r="I178" s="35"/>
      <c r="J178" s="35"/>
    </row>
    <row r="179" spans="2:10" x14ac:dyDescent="0.25">
      <c r="B179" s="24" t="s">
        <v>92</v>
      </c>
      <c r="C179" s="12">
        <v>707</v>
      </c>
      <c r="D179" s="18"/>
      <c r="E179" s="35"/>
      <c r="F179" s="35"/>
      <c r="G179" s="35"/>
      <c r="H179" s="35"/>
      <c r="I179" s="35"/>
      <c r="J179" s="35"/>
    </row>
    <row r="180" spans="2:10" x14ac:dyDescent="0.25">
      <c r="B180" s="24" t="s">
        <v>92</v>
      </c>
      <c r="C180" s="12">
        <v>708</v>
      </c>
      <c r="D180" s="18"/>
      <c r="E180" s="35"/>
      <c r="F180" s="35"/>
      <c r="G180" s="35"/>
      <c r="H180" s="35"/>
      <c r="I180" s="35"/>
      <c r="J180" s="35"/>
    </row>
    <row r="181" spans="2:10" x14ac:dyDescent="0.25">
      <c r="B181" s="24" t="s">
        <v>92</v>
      </c>
      <c r="C181" s="12">
        <v>709</v>
      </c>
      <c r="D181" s="18"/>
      <c r="E181" s="35"/>
      <c r="F181" s="35"/>
      <c r="G181" s="35"/>
      <c r="H181" s="35"/>
      <c r="I181" s="35"/>
      <c r="J181" s="35"/>
    </row>
    <row r="182" spans="2:10" x14ac:dyDescent="0.25">
      <c r="B182" s="24" t="s">
        <v>92</v>
      </c>
      <c r="C182" s="12">
        <v>710</v>
      </c>
      <c r="D182" s="18"/>
      <c r="E182" s="35"/>
      <c r="F182" s="35"/>
      <c r="G182" s="35"/>
      <c r="H182" s="35"/>
      <c r="I182" s="35"/>
      <c r="J182" s="35"/>
    </row>
    <row r="183" spans="2:10" x14ac:dyDescent="0.25">
      <c r="B183" s="24" t="s">
        <v>92</v>
      </c>
      <c r="C183" s="12">
        <v>711</v>
      </c>
      <c r="D183" s="18"/>
      <c r="E183" s="35"/>
      <c r="F183" s="35"/>
      <c r="G183" s="35"/>
      <c r="H183" s="35"/>
      <c r="I183" s="35"/>
      <c r="J183" s="35"/>
    </row>
    <row r="184" spans="2:10" x14ac:dyDescent="0.25">
      <c r="B184" s="24" t="s">
        <v>92</v>
      </c>
      <c r="C184" s="12">
        <v>712</v>
      </c>
      <c r="D184" s="18"/>
      <c r="E184" s="35"/>
      <c r="F184" s="35"/>
      <c r="G184" s="35"/>
      <c r="H184" s="35"/>
      <c r="I184" s="35"/>
      <c r="J184" s="35"/>
    </row>
    <row r="185" spans="2:10" x14ac:dyDescent="0.25">
      <c r="B185" s="24" t="s">
        <v>92</v>
      </c>
      <c r="C185" s="12">
        <v>713</v>
      </c>
      <c r="D185" s="18"/>
      <c r="E185" s="35"/>
      <c r="F185" s="35"/>
      <c r="G185" s="35"/>
      <c r="H185" s="35"/>
      <c r="I185" s="35"/>
      <c r="J185" s="35"/>
    </row>
    <row r="186" spans="2:10" x14ac:dyDescent="0.25">
      <c r="B186" s="24" t="s">
        <v>92</v>
      </c>
      <c r="C186" s="12">
        <v>714</v>
      </c>
      <c r="D186" s="18"/>
      <c r="E186" s="35"/>
      <c r="F186" s="35"/>
      <c r="G186" s="35"/>
      <c r="H186" s="35"/>
      <c r="I186" s="35"/>
      <c r="J186" s="35"/>
    </row>
    <row r="187" spans="2:10" x14ac:dyDescent="0.25">
      <c r="B187" s="24" t="s">
        <v>92</v>
      </c>
      <c r="C187" s="12">
        <v>715</v>
      </c>
      <c r="D187" s="18"/>
      <c r="E187" s="35"/>
      <c r="F187" s="35"/>
      <c r="G187" s="35"/>
      <c r="H187" s="35"/>
      <c r="I187" s="35"/>
      <c r="J187" s="35"/>
    </row>
    <row r="188" spans="2:10" x14ac:dyDescent="0.25">
      <c r="B188" s="24" t="s">
        <v>92</v>
      </c>
      <c r="C188" s="12">
        <v>716</v>
      </c>
      <c r="D188" s="18"/>
      <c r="E188" s="35"/>
      <c r="F188" s="35"/>
      <c r="G188" s="35"/>
      <c r="H188" s="35"/>
      <c r="I188" s="35"/>
      <c r="J188" s="35"/>
    </row>
    <row r="189" spans="2:10" x14ac:dyDescent="0.25">
      <c r="B189" s="24" t="s">
        <v>92</v>
      </c>
      <c r="C189" s="12">
        <v>717</v>
      </c>
      <c r="D189" s="18"/>
      <c r="E189" s="35"/>
      <c r="F189" s="35"/>
      <c r="G189" s="35"/>
      <c r="H189" s="35"/>
      <c r="I189" s="35"/>
      <c r="J189" s="35"/>
    </row>
    <row r="190" spans="2:10" x14ac:dyDescent="0.25">
      <c r="B190" s="24" t="s">
        <v>92</v>
      </c>
      <c r="C190" s="12">
        <v>718</v>
      </c>
      <c r="D190" s="18"/>
      <c r="E190" s="35"/>
      <c r="F190" s="35"/>
      <c r="G190" s="35"/>
      <c r="H190" s="35"/>
      <c r="I190" s="35"/>
      <c r="J190" s="35"/>
    </row>
    <row r="191" spans="2:10" x14ac:dyDescent="0.25">
      <c r="B191" s="24" t="s">
        <v>92</v>
      </c>
      <c r="C191" s="12">
        <v>719</v>
      </c>
      <c r="D191" s="18"/>
      <c r="E191" s="35"/>
      <c r="F191" s="35"/>
      <c r="G191" s="35"/>
      <c r="H191" s="35"/>
      <c r="I191" s="35"/>
      <c r="J191" s="35"/>
    </row>
    <row r="192" spans="2:10" x14ac:dyDescent="0.25">
      <c r="B192" s="24" t="s">
        <v>92</v>
      </c>
      <c r="C192" s="12">
        <v>720</v>
      </c>
      <c r="D192" s="18"/>
      <c r="E192" s="35"/>
      <c r="F192" s="35"/>
      <c r="G192" s="35"/>
      <c r="H192" s="35"/>
      <c r="I192" s="35"/>
      <c r="J192" s="35"/>
    </row>
    <row r="193" spans="2:10" x14ac:dyDescent="0.25">
      <c r="B193" s="24" t="s">
        <v>92</v>
      </c>
      <c r="C193" s="12">
        <v>721</v>
      </c>
      <c r="D193" s="18"/>
      <c r="E193" s="35"/>
      <c r="F193" s="35"/>
      <c r="G193" s="35"/>
      <c r="H193" s="35"/>
      <c r="I193" s="35"/>
      <c r="J193" s="35"/>
    </row>
    <row r="194" spans="2:10" x14ac:dyDescent="0.25">
      <c r="B194" s="24" t="s">
        <v>92</v>
      </c>
      <c r="C194" s="12">
        <v>722</v>
      </c>
      <c r="D194" s="18"/>
      <c r="E194" s="35"/>
      <c r="F194" s="35"/>
      <c r="G194" s="35"/>
      <c r="H194" s="35"/>
      <c r="I194" s="35"/>
      <c r="J194" s="35"/>
    </row>
    <row r="195" spans="2:10" x14ac:dyDescent="0.25">
      <c r="B195" s="24" t="s">
        <v>92</v>
      </c>
      <c r="C195" s="12">
        <v>723</v>
      </c>
      <c r="D195" s="18"/>
      <c r="E195" s="35"/>
      <c r="F195" s="35"/>
      <c r="G195" s="35"/>
      <c r="H195" s="35"/>
      <c r="I195" s="35"/>
      <c r="J195" s="35"/>
    </row>
    <row r="196" spans="2:10" x14ac:dyDescent="0.25">
      <c r="B196" s="24" t="s">
        <v>92</v>
      </c>
      <c r="C196" s="12">
        <v>724</v>
      </c>
      <c r="D196" s="18"/>
      <c r="E196" s="35"/>
      <c r="F196" s="35"/>
      <c r="G196" s="35"/>
      <c r="H196" s="35"/>
      <c r="I196" s="35"/>
      <c r="J196" s="35"/>
    </row>
    <row r="197" spans="2:10" x14ac:dyDescent="0.25">
      <c r="B197" s="24" t="s">
        <v>92</v>
      </c>
      <c r="C197" s="12">
        <v>725</v>
      </c>
      <c r="D197" s="18"/>
      <c r="E197" s="35"/>
      <c r="F197" s="35"/>
      <c r="G197" s="35"/>
      <c r="H197" s="35"/>
      <c r="I197" s="35"/>
      <c r="J197" s="35"/>
    </row>
    <row r="198" spans="2:10" x14ac:dyDescent="0.25">
      <c r="B198" s="25"/>
      <c r="C198" s="22"/>
      <c r="D198" s="17"/>
      <c r="E198" s="37"/>
      <c r="F198" s="37"/>
      <c r="G198" s="37"/>
      <c r="H198" s="37"/>
      <c r="I198" s="37"/>
      <c r="J198" s="37"/>
    </row>
    <row r="199" spans="2:10" x14ac:dyDescent="0.25">
      <c r="B199" s="33" t="s">
        <v>99</v>
      </c>
      <c r="D199" s="18"/>
      <c r="E199" s="35"/>
      <c r="F199" s="35"/>
      <c r="G199" s="35"/>
      <c r="H199" s="35"/>
      <c r="I199" s="35"/>
      <c r="J199" s="35"/>
    </row>
    <row r="200" spans="2:10" x14ac:dyDescent="0.25">
      <c r="B200" s="24" t="s">
        <v>92</v>
      </c>
      <c r="C200" s="12">
        <v>801</v>
      </c>
      <c r="D200" s="18"/>
      <c r="E200" s="35"/>
      <c r="F200" s="35"/>
      <c r="G200" s="35"/>
      <c r="H200" s="35"/>
      <c r="I200" s="35"/>
      <c r="J200" s="35"/>
    </row>
    <row r="201" spans="2:10" x14ac:dyDescent="0.25">
      <c r="B201" s="24" t="s">
        <v>92</v>
      </c>
      <c r="C201" s="12">
        <v>802</v>
      </c>
      <c r="D201" s="18"/>
      <c r="E201" s="35"/>
      <c r="F201" s="35"/>
      <c r="G201" s="35"/>
      <c r="H201" s="35"/>
      <c r="I201" s="35"/>
      <c r="J201" s="35"/>
    </row>
    <row r="202" spans="2:10" x14ac:dyDescent="0.25">
      <c r="B202" s="24" t="s">
        <v>92</v>
      </c>
      <c r="C202" s="12">
        <v>803</v>
      </c>
      <c r="D202" s="18"/>
      <c r="E202" s="35"/>
      <c r="F202" s="35"/>
      <c r="G202" s="35"/>
      <c r="H202" s="35"/>
      <c r="I202" s="35"/>
      <c r="J202" s="35"/>
    </row>
    <row r="203" spans="2:10" x14ac:dyDescent="0.25">
      <c r="B203" s="24" t="s">
        <v>92</v>
      </c>
      <c r="C203" s="12">
        <v>804</v>
      </c>
      <c r="D203" s="18"/>
      <c r="E203" s="35"/>
      <c r="F203" s="35"/>
      <c r="G203" s="35"/>
      <c r="H203" s="35"/>
      <c r="I203" s="35"/>
      <c r="J203" s="35"/>
    </row>
    <row r="204" spans="2:10" x14ac:dyDescent="0.25">
      <c r="B204" s="24" t="s">
        <v>92</v>
      </c>
      <c r="C204" s="12">
        <v>805</v>
      </c>
      <c r="D204" s="18"/>
      <c r="E204" s="35"/>
      <c r="F204" s="35"/>
      <c r="G204" s="35"/>
      <c r="H204" s="35"/>
      <c r="I204" s="35"/>
      <c r="J204" s="35"/>
    </row>
    <row r="205" spans="2:10" x14ac:dyDescent="0.25">
      <c r="B205" s="24" t="s">
        <v>92</v>
      </c>
      <c r="C205" s="12">
        <v>806</v>
      </c>
      <c r="D205" s="18"/>
      <c r="E205" s="35"/>
      <c r="F205" s="35"/>
      <c r="G205" s="35"/>
      <c r="H205" s="35"/>
      <c r="I205" s="35"/>
      <c r="J205" s="35"/>
    </row>
    <row r="206" spans="2:10" x14ac:dyDescent="0.25">
      <c r="B206" s="24" t="s">
        <v>92</v>
      </c>
      <c r="C206" s="12">
        <v>807</v>
      </c>
      <c r="D206" s="18"/>
      <c r="E206" s="35"/>
      <c r="F206" s="35"/>
      <c r="G206" s="35"/>
      <c r="H206" s="35"/>
      <c r="I206" s="35"/>
      <c r="J206" s="35"/>
    </row>
    <row r="207" spans="2:10" x14ac:dyDescent="0.25">
      <c r="B207" s="24" t="s">
        <v>92</v>
      </c>
      <c r="C207" s="12">
        <v>808</v>
      </c>
      <c r="D207" s="18"/>
      <c r="E207" s="35"/>
      <c r="F207" s="35"/>
      <c r="G207" s="35"/>
      <c r="H207" s="35"/>
      <c r="I207" s="35"/>
      <c r="J207" s="35"/>
    </row>
    <row r="208" spans="2:10" x14ac:dyDescent="0.25">
      <c r="B208" s="24" t="s">
        <v>92</v>
      </c>
      <c r="C208" s="12">
        <v>809</v>
      </c>
      <c r="D208" s="18"/>
      <c r="E208" s="35"/>
      <c r="F208" s="35"/>
      <c r="G208" s="35"/>
      <c r="H208" s="35"/>
      <c r="I208" s="35"/>
      <c r="J208" s="35"/>
    </row>
    <row r="209" spans="2:10" x14ac:dyDescent="0.25">
      <c r="B209" s="24" t="s">
        <v>92</v>
      </c>
      <c r="C209" s="12">
        <v>810</v>
      </c>
      <c r="D209" s="18"/>
      <c r="E209" s="35"/>
      <c r="F209" s="35"/>
      <c r="G209" s="35"/>
      <c r="H209" s="35"/>
      <c r="I209" s="35"/>
      <c r="J209" s="35"/>
    </row>
    <row r="210" spans="2:10" x14ac:dyDescent="0.25">
      <c r="B210" s="24" t="s">
        <v>92</v>
      </c>
      <c r="C210" s="12">
        <v>811</v>
      </c>
      <c r="D210" s="18"/>
      <c r="E210" s="35"/>
      <c r="F210" s="35"/>
      <c r="G210" s="35"/>
      <c r="H210" s="35"/>
      <c r="I210" s="35"/>
      <c r="J210" s="35"/>
    </row>
    <row r="211" spans="2:10" x14ac:dyDescent="0.25">
      <c r="B211" s="24" t="s">
        <v>92</v>
      </c>
      <c r="C211" s="12">
        <v>812</v>
      </c>
      <c r="D211" s="18"/>
      <c r="E211" s="35"/>
      <c r="F211" s="35"/>
      <c r="G211" s="35"/>
      <c r="H211" s="35"/>
      <c r="I211" s="35"/>
      <c r="J211" s="35"/>
    </row>
    <row r="212" spans="2:10" x14ac:dyDescent="0.25">
      <c r="B212" s="24" t="s">
        <v>92</v>
      </c>
      <c r="C212" s="12">
        <v>813</v>
      </c>
      <c r="D212" s="18"/>
      <c r="E212" s="35"/>
      <c r="F212" s="35"/>
      <c r="G212" s="35"/>
      <c r="H212" s="35"/>
      <c r="I212" s="35"/>
      <c r="J212" s="35"/>
    </row>
    <row r="213" spans="2:10" x14ac:dyDescent="0.25">
      <c r="B213" s="24" t="s">
        <v>92</v>
      </c>
      <c r="C213" s="12">
        <v>814</v>
      </c>
      <c r="D213" s="18"/>
      <c r="E213" s="35"/>
      <c r="F213" s="35"/>
      <c r="G213" s="35"/>
      <c r="H213" s="35"/>
      <c r="I213" s="35"/>
      <c r="J213" s="35"/>
    </row>
    <row r="214" spans="2:10" x14ac:dyDescent="0.25">
      <c r="B214" s="24" t="s">
        <v>92</v>
      </c>
      <c r="C214" s="12">
        <v>815</v>
      </c>
      <c r="D214" s="18"/>
      <c r="E214" s="35"/>
      <c r="F214" s="35"/>
      <c r="G214" s="35"/>
      <c r="H214" s="35"/>
      <c r="I214" s="35"/>
      <c r="J214" s="35"/>
    </row>
    <row r="215" spans="2:10" x14ac:dyDescent="0.25">
      <c r="B215" s="24" t="s">
        <v>92</v>
      </c>
      <c r="C215" s="12">
        <v>816</v>
      </c>
      <c r="D215" s="18"/>
      <c r="E215" s="35"/>
      <c r="F215" s="35"/>
      <c r="G215" s="35"/>
      <c r="H215" s="35"/>
      <c r="I215" s="35"/>
      <c r="J215" s="35"/>
    </row>
    <row r="216" spans="2:10" x14ac:dyDescent="0.25">
      <c r="B216" s="24" t="s">
        <v>92</v>
      </c>
      <c r="C216" s="12">
        <v>817</v>
      </c>
      <c r="D216" s="18"/>
      <c r="E216" s="35"/>
      <c r="F216" s="35"/>
      <c r="G216" s="35"/>
      <c r="H216" s="35"/>
      <c r="I216" s="35"/>
      <c r="J216" s="35"/>
    </row>
    <row r="217" spans="2:10" x14ac:dyDescent="0.25">
      <c r="B217" s="24" t="s">
        <v>92</v>
      </c>
      <c r="C217" s="12">
        <v>818</v>
      </c>
      <c r="D217" s="18"/>
      <c r="E217" s="35"/>
      <c r="F217" s="35"/>
      <c r="G217" s="35"/>
      <c r="H217" s="35"/>
      <c r="I217" s="35"/>
      <c r="J217" s="35"/>
    </row>
    <row r="218" spans="2:10" x14ac:dyDescent="0.25">
      <c r="B218" s="24" t="s">
        <v>92</v>
      </c>
      <c r="C218" s="12">
        <v>819</v>
      </c>
      <c r="D218" s="18"/>
      <c r="E218" s="35"/>
      <c r="F218" s="35"/>
      <c r="G218" s="35"/>
      <c r="H218" s="35"/>
      <c r="I218" s="35"/>
      <c r="J218" s="35"/>
    </row>
    <row r="219" spans="2:10" x14ac:dyDescent="0.25">
      <c r="B219" s="24" t="s">
        <v>92</v>
      </c>
      <c r="C219" s="12">
        <v>820</v>
      </c>
      <c r="D219" s="18"/>
      <c r="E219" s="35"/>
      <c r="F219" s="35"/>
      <c r="G219" s="35"/>
      <c r="H219" s="35"/>
      <c r="I219" s="35"/>
      <c r="J219" s="35"/>
    </row>
    <row r="220" spans="2:10" x14ac:dyDescent="0.25">
      <c r="B220" s="24" t="s">
        <v>92</v>
      </c>
      <c r="C220" s="12">
        <v>821</v>
      </c>
      <c r="D220" s="18"/>
      <c r="E220" s="35"/>
      <c r="F220" s="35"/>
      <c r="G220" s="35"/>
      <c r="H220" s="35"/>
      <c r="I220" s="35"/>
      <c r="J220" s="35"/>
    </row>
    <row r="221" spans="2:10" x14ac:dyDescent="0.25">
      <c r="B221" s="24" t="s">
        <v>92</v>
      </c>
      <c r="C221" s="12">
        <v>822</v>
      </c>
      <c r="D221" s="18"/>
      <c r="E221" s="35"/>
      <c r="F221" s="35"/>
      <c r="G221" s="35"/>
      <c r="H221" s="35"/>
      <c r="I221" s="35"/>
      <c r="J221" s="35"/>
    </row>
    <row r="222" spans="2:10" x14ac:dyDescent="0.25">
      <c r="B222" s="24" t="s">
        <v>92</v>
      </c>
      <c r="C222" s="12">
        <v>823</v>
      </c>
      <c r="D222" s="18"/>
      <c r="E222" s="35"/>
      <c r="F222" s="35"/>
      <c r="G222" s="35"/>
      <c r="H222" s="35"/>
      <c r="I222" s="35"/>
      <c r="J222" s="35"/>
    </row>
    <row r="223" spans="2:10" x14ac:dyDescent="0.25">
      <c r="B223" s="24" t="s">
        <v>92</v>
      </c>
      <c r="C223" s="12">
        <v>824</v>
      </c>
      <c r="D223" s="18"/>
      <c r="E223" s="35"/>
      <c r="F223" s="35"/>
      <c r="G223" s="35"/>
      <c r="H223" s="35"/>
      <c r="I223" s="35"/>
      <c r="J223" s="35"/>
    </row>
    <row r="224" spans="2:10" x14ac:dyDescent="0.25">
      <c r="B224" s="24" t="s">
        <v>92</v>
      </c>
      <c r="C224" s="12">
        <v>825</v>
      </c>
      <c r="D224" s="19"/>
      <c r="E224" s="38"/>
      <c r="F224" s="38"/>
      <c r="G224" s="38"/>
      <c r="H224" s="38"/>
      <c r="I224" s="38"/>
      <c r="J224" s="38"/>
    </row>
  </sheetData>
  <sheetProtection algorithmName="SHA-512" hashValue="Y5cJYDuQqt+trqSnBZfIO3UAqFYU77SGKtVKzjs3BtZQOO27OzFuS5Dp9ZHogjEfIlRNl36XozZOXFsoTFEOXA==" saltValue="xFLy0FeqvZYHXXTqUr+ZxQ=="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11"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4">
    <pageSetUpPr fitToPage="1"/>
  </sheetPr>
  <dimension ref="A1:I65"/>
  <sheetViews>
    <sheetView showGridLines="0" zoomScale="85" zoomScaleNormal="85" workbookViewId="0">
      <selection activeCell="A4" sqref="A4"/>
    </sheetView>
  </sheetViews>
  <sheetFormatPr defaultColWidth="10" defaultRowHeight="13.2" x14ac:dyDescent="0.25"/>
  <cols>
    <col min="1" max="1" width="31.5546875" style="27" customWidth="1"/>
    <col min="2" max="7" width="22.5546875" style="27" customWidth="1"/>
    <col min="8"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ERF - x-408</v>
      </c>
      <c r="B3" s="42"/>
      <c r="C3" s="42"/>
      <c r="D3" s="42"/>
      <c r="E3" s="42"/>
      <c r="F3" s="42"/>
      <c r="G3" s="42"/>
      <c r="H3" s="42"/>
      <c r="I3" s="42"/>
    </row>
    <row r="4" spans="1:9" x14ac:dyDescent="0.25">
      <c r="A4" s="44"/>
    </row>
    <row r="6" spans="1:9" x14ac:dyDescent="0.25">
      <c r="A6" s="76" t="s">
        <v>290</v>
      </c>
      <c r="B6" s="129" t="s">
        <v>291</v>
      </c>
      <c r="C6" s="129"/>
      <c r="D6" s="129"/>
      <c r="E6" s="129"/>
      <c r="F6" s="129"/>
      <c r="G6" s="129"/>
    </row>
    <row r="7" spans="1:9" x14ac:dyDescent="0.25">
      <c r="A7" s="77" t="s">
        <v>804</v>
      </c>
      <c r="B7" s="129" t="s">
        <v>345</v>
      </c>
      <c r="C7" s="129"/>
      <c r="D7" s="129"/>
      <c r="E7" s="129"/>
      <c r="F7" s="129"/>
      <c r="G7" s="129"/>
    </row>
    <row r="8" spans="1:9" x14ac:dyDescent="0.25">
      <c r="A8" s="77" t="s">
        <v>805</v>
      </c>
      <c r="B8" s="129" t="s">
        <v>442</v>
      </c>
      <c r="C8" s="129"/>
      <c r="D8" s="129"/>
      <c r="E8" s="129"/>
      <c r="F8" s="129"/>
      <c r="G8" s="129"/>
    </row>
    <row r="9" spans="1:9" x14ac:dyDescent="0.25">
      <c r="A9" s="77" t="s">
        <v>296</v>
      </c>
      <c r="B9" s="129" t="s">
        <v>418</v>
      </c>
      <c r="C9" s="129"/>
      <c r="D9" s="129"/>
      <c r="E9" s="129"/>
      <c r="F9" s="129"/>
      <c r="G9" s="129"/>
    </row>
    <row r="10" spans="1:9" x14ac:dyDescent="0.25">
      <c r="A10" s="77" t="s">
        <v>6</v>
      </c>
      <c r="B10" s="129" t="s">
        <v>443</v>
      </c>
      <c r="C10" s="129"/>
      <c r="D10" s="129"/>
      <c r="E10" s="129"/>
      <c r="F10" s="129"/>
      <c r="G10" s="129"/>
    </row>
    <row r="11" spans="1:9" x14ac:dyDescent="0.25">
      <c r="A11" s="77" t="s">
        <v>299</v>
      </c>
      <c r="B11" s="129" t="s">
        <v>364</v>
      </c>
      <c r="C11" s="129"/>
      <c r="D11" s="129"/>
      <c r="E11" s="129"/>
      <c r="F11" s="129"/>
      <c r="G11" s="129"/>
    </row>
    <row r="12" spans="1:9" x14ac:dyDescent="0.25">
      <c r="A12" s="77" t="s">
        <v>301</v>
      </c>
      <c r="B12" s="129" t="s">
        <v>436</v>
      </c>
      <c r="C12" s="129"/>
      <c r="D12" s="129"/>
      <c r="E12" s="129"/>
      <c r="F12" s="129"/>
      <c r="G12" s="129"/>
    </row>
    <row r="13" spans="1:9" x14ac:dyDescent="0.25">
      <c r="A13" s="77" t="s">
        <v>806</v>
      </c>
      <c r="B13" s="129">
        <v>1</v>
      </c>
      <c r="C13" s="129"/>
      <c r="D13" s="129"/>
      <c r="E13" s="129"/>
      <c r="F13" s="129"/>
      <c r="G13" s="129"/>
    </row>
    <row r="14" spans="1:9" x14ac:dyDescent="0.25">
      <c r="A14" s="77" t="s">
        <v>305</v>
      </c>
      <c r="B14" s="129">
        <v>408</v>
      </c>
      <c r="C14" s="129"/>
      <c r="D14" s="129"/>
      <c r="E14" s="129"/>
      <c r="F14" s="129"/>
      <c r="G14" s="129"/>
    </row>
    <row r="15" spans="1:9" x14ac:dyDescent="0.25">
      <c r="A15" s="77" t="s">
        <v>307</v>
      </c>
      <c r="B15" s="129" t="s">
        <v>444</v>
      </c>
      <c r="C15" s="129"/>
      <c r="D15" s="129"/>
      <c r="E15" s="129"/>
      <c r="F15" s="129"/>
      <c r="G15" s="129"/>
    </row>
    <row r="16" spans="1:9" x14ac:dyDescent="0.25">
      <c r="A16" s="77" t="s">
        <v>825</v>
      </c>
      <c r="B16" s="129" t="s">
        <v>445</v>
      </c>
      <c r="C16" s="129"/>
      <c r="D16" s="129"/>
      <c r="E16" s="129"/>
      <c r="F16" s="129"/>
      <c r="G16" s="129"/>
    </row>
    <row r="17" spans="1:7" x14ac:dyDescent="0.25">
      <c r="A17" s="77" t="s">
        <v>803</v>
      </c>
      <c r="B17" s="129"/>
      <c r="C17" s="129"/>
      <c r="D17" s="129"/>
      <c r="E17" s="129"/>
      <c r="F17" s="129"/>
      <c r="G17" s="129"/>
    </row>
    <row r="18" spans="1:7" x14ac:dyDescent="0.25">
      <c r="A18" s="77" t="s">
        <v>313</v>
      </c>
      <c r="B18" s="187">
        <v>45106</v>
      </c>
      <c r="C18" s="129"/>
      <c r="D18" s="129"/>
      <c r="E18" s="129"/>
      <c r="F18" s="129"/>
      <c r="G18" s="129"/>
    </row>
    <row r="19" spans="1:7" x14ac:dyDescent="0.25">
      <c r="A19" s="77" t="s">
        <v>315</v>
      </c>
      <c r="B19" s="187"/>
      <c r="C19" s="129"/>
      <c r="D19" s="129"/>
      <c r="E19" s="129"/>
      <c r="F19" s="129"/>
      <c r="G19" s="129"/>
    </row>
    <row r="20" spans="1:7" x14ac:dyDescent="0.25">
      <c r="A20" s="77" t="s">
        <v>317</v>
      </c>
      <c r="B20" s="129" t="s">
        <v>331</v>
      </c>
      <c r="C20" s="129"/>
      <c r="D20" s="129"/>
      <c r="E20" s="129"/>
      <c r="F20" s="129"/>
      <c r="G20" s="129"/>
    </row>
    <row r="21" spans="1:7" x14ac:dyDescent="0.25">
      <c r="A21" s="77" t="s">
        <v>323</v>
      </c>
      <c r="B21" s="129" t="s">
        <v>332</v>
      </c>
      <c r="C21" s="129"/>
      <c r="D21" s="129"/>
      <c r="E21" s="129"/>
      <c r="F21" s="129"/>
      <c r="G21" s="129"/>
    </row>
    <row r="23" spans="1:7" x14ac:dyDescent="0.25">
      <c r="B23" s="102" t="str">
        <f>HYPERLINK("#'Factor List'!A1","Back to Factor List")</f>
        <v>Back to Factor List</v>
      </c>
    </row>
    <row r="24" spans="1:7" x14ac:dyDescent="0.25">
      <c r="B24" s="102" t="s">
        <v>13</v>
      </c>
    </row>
    <row r="25" spans="1:7" x14ac:dyDescent="0.25">
      <c r="B25" s="102"/>
    </row>
    <row r="26" spans="1:7" x14ac:dyDescent="0.25">
      <c r="A26" s="103" t="s">
        <v>855</v>
      </c>
      <c r="B26" s="103">
        <v>50</v>
      </c>
      <c r="C26" s="103">
        <v>51</v>
      </c>
      <c r="D26" s="103">
        <v>52</v>
      </c>
      <c r="E26" s="103">
        <v>53</v>
      </c>
      <c r="F26" s="103">
        <v>54</v>
      </c>
      <c r="G26" s="103">
        <v>55</v>
      </c>
    </row>
    <row r="27" spans="1:7" x14ac:dyDescent="0.25">
      <c r="A27" s="104">
        <v>0</v>
      </c>
      <c r="B27" s="128">
        <v>0.245</v>
      </c>
      <c r="C27" s="128">
        <v>0.19600000000000001</v>
      </c>
      <c r="D27" s="128">
        <v>0.14699999999999999</v>
      </c>
      <c r="E27" s="128">
        <v>9.8000000000000004E-2</v>
      </c>
      <c r="F27" s="128">
        <v>4.8000000000000001E-2</v>
      </c>
      <c r="G27" s="128">
        <v>0</v>
      </c>
    </row>
    <row r="28" spans="1:7" x14ac:dyDescent="0.25">
      <c r="A28" s="104">
        <v>1</v>
      </c>
      <c r="B28" s="128">
        <v>0.24099999999999999</v>
      </c>
      <c r="C28" s="128">
        <v>0.192</v>
      </c>
      <c r="D28" s="128">
        <v>0.14299999999999999</v>
      </c>
      <c r="E28" s="128">
        <v>9.4E-2</v>
      </c>
      <c r="F28" s="128">
        <v>4.3999999999999997E-2</v>
      </c>
      <c r="G28" s="128"/>
    </row>
    <row r="29" spans="1:7" x14ac:dyDescent="0.25">
      <c r="A29" s="104">
        <v>2</v>
      </c>
      <c r="B29" s="128">
        <v>0.23699999999999999</v>
      </c>
      <c r="C29" s="128">
        <v>0.188</v>
      </c>
      <c r="D29" s="128">
        <v>0.13900000000000001</v>
      </c>
      <c r="E29" s="128">
        <v>0.09</v>
      </c>
      <c r="F29" s="128">
        <v>0.04</v>
      </c>
      <c r="G29" s="128"/>
    </row>
    <row r="30" spans="1:7" x14ac:dyDescent="0.25">
      <c r="A30" s="104">
        <v>3</v>
      </c>
      <c r="B30" s="128">
        <v>0.23300000000000001</v>
      </c>
      <c r="C30" s="128">
        <v>0.184</v>
      </c>
      <c r="D30" s="128">
        <v>0.13500000000000001</v>
      </c>
      <c r="E30" s="128">
        <v>8.5000000000000006E-2</v>
      </c>
      <c r="F30" s="128">
        <v>3.5000000000000003E-2</v>
      </c>
      <c r="G30" s="128"/>
    </row>
    <row r="31" spans="1:7" x14ac:dyDescent="0.25">
      <c r="A31" s="104">
        <v>4</v>
      </c>
      <c r="B31" s="128">
        <v>0.22900000000000001</v>
      </c>
      <c r="C31" s="128">
        <v>0.18</v>
      </c>
      <c r="D31" s="128">
        <v>0.13100000000000001</v>
      </c>
      <c r="E31" s="128">
        <v>8.1000000000000003E-2</v>
      </c>
      <c r="F31" s="128">
        <v>3.1E-2</v>
      </c>
      <c r="G31" s="128"/>
    </row>
    <row r="32" spans="1:7" x14ac:dyDescent="0.25">
      <c r="A32" s="104">
        <v>5</v>
      </c>
      <c r="B32" s="128">
        <v>0.22500000000000001</v>
      </c>
      <c r="C32" s="128">
        <v>0.17599999999999999</v>
      </c>
      <c r="D32" s="128">
        <v>0.127</v>
      </c>
      <c r="E32" s="128">
        <v>7.6999999999999999E-2</v>
      </c>
      <c r="F32" s="128">
        <v>2.7E-2</v>
      </c>
      <c r="G32" s="128"/>
    </row>
    <row r="33" spans="1:7" x14ac:dyDescent="0.25">
      <c r="A33" s="104">
        <v>6</v>
      </c>
      <c r="B33" s="128">
        <v>0.22</v>
      </c>
      <c r="C33" s="128">
        <v>0.17100000000000001</v>
      </c>
      <c r="D33" s="128">
        <v>0.122</v>
      </c>
      <c r="E33" s="128">
        <v>7.2999999999999995E-2</v>
      </c>
      <c r="F33" s="128">
        <v>2.3E-2</v>
      </c>
      <c r="G33" s="128"/>
    </row>
    <row r="34" spans="1:7" x14ac:dyDescent="0.25">
      <c r="A34" s="104">
        <v>7</v>
      </c>
      <c r="B34" s="128">
        <v>0.216</v>
      </c>
      <c r="C34" s="128">
        <v>0.16700000000000001</v>
      </c>
      <c r="D34" s="128">
        <v>0.11799999999999999</v>
      </c>
      <c r="E34" s="128">
        <v>6.9000000000000006E-2</v>
      </c>
      <c r="F34" s="128">
        <v>1.9E-2</v>
      </c>
      <c r="G34" s="128"/>
    </row>
    <row r="35" spans="1:7" x14ac:dyDescent="0.25">
      <c r="A35" s="104">
        <v>8</v>
      </c>
      <c r="B35" s="128">
        <v>0.21199999999999999</v>
      </c>
      <c r="C35" s="128">
        <v>0.16300000000000001</v>
      </c>
      <c r="D35" s="128">
        <v>0.114</v>
      </c>
      <c r="E35" s="128">
        <v>6.5000000000000002E-2</v>
      </c>
      <c r="F35" s="128">
        <v>1.4999999999999999E-2</v>
      </c>
      <c r="G35" s="128"/>
    </row>
    <row r="36" spans="1:7" x14ac:dyDescent="0.25">
      <c r="A36" s="104">
        <v>9</v>
      </c>
      <c r="B36" s="128">
        <v>0.20799999999999999</v>
      </c>
      <c r="C36" s="128">
        <v>0.159</v>
      </c>
      <c r="D36" s="128">
        <v>0.11</v>
      </c>
      <c r="E36" s="128">
        <v>0.06</v>
      </c>
      <c r="F36" s="128">
        <v>0.01</v>
      </c>
      <c r="G36" s="128"/>
    </row>
    <row r="37" spans="1:7" x14ac:dyDescent="0.25">
      <c r="A37" s="104">
        <v>10</v>
      </c>
      <c r="B37" s="128">
        <v>0.20399999999999999</v>
      </c>
      <c r="C37" s="128">
        <v>0.155</v>
      </c>
      <c r="D37" s="128">
        <v>0.106</v>
      </c>
      <c r="E37" s="128">
        <v>5.6000000000000001E-2</v>
      </c>
      <c r="F37" s="128">
        <v>6.0000000000000001E-3</v>
      </c>
      <c r="G37" s="128"/>
    </row>
    <row r="38" spans="1:7" x14ac:dyDescent="0.25">
      <c r="A38" s="104">
        <v>11</v>
      </c>
      <c r="B38" s="128">
        <v>0.2</v>
      </c>
      <c r="C38" s="128">
        <v>0.151</v>
      </c>
      <c r="D38" s="128">
        <v>0.10199999999999999</v>
      </c>
      <c r="E38" s="128">
        <v>5.1999999999999998E-2</v>
      </c>
      <c r="F38" s="128">
        <v>2E-3</v>
      </c>
      <c r="G38" s="128"/>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 customHeight="1" x14ac:dyDescent="0.25">
      <c r="A44"/>
      <c r="B44"/>
    </row>
    <row r="45" spans="1:7" x14ac:dyDescent="0.25">
      <c r="A45"/>
      <c r="B45"/>
    </row>
    <row r="46" spans="1:7" ht="27.6"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9D5G6o+zAKFtR7+QFPAW8fAYlw/gfgzk90RKOPGkmbBe/9qVzXFVMvXwWhzvcqc/mjOmB4T3eZH+A72MFjPqSQ==" saltValue="dXffsgjANMxEfeO99FT4Gg==" spinCount="100000" sheet="1" objects="1" scenarios="1"/>
  <conditionalFormatting sqref="A6:A21">
    <cfRule type="expression" dxfId="1061" priority="3" stopIfTrue="1">
      <formula>MOD(ROW(),2)=0</formula>
    </cfRule>
    <cfRule type="expression" dxfId="1060" priority="4" stopIfTrue="1">
      <formula>MOD(ROW(),2)&lt;&gt;0</formula>
    </cfRule>
  </conditionalFormatting>
  <conditionalFormatting sqref="A26:A38">
    <cfRule type="expression" dxfId="1059" priority="11" stopIfTrue="1">
      <formula>MOD(ROW(),2)=0</formula>
    </cfRule>
    <cfRule type="expression" dxfId="1058" priority="12" stopIfTrue="1">
      <formula>MOD(ROW(),2)&lt;&gt;0</formula>
    </cfRule>
  </conditionalFormatting>
  <conditionalFormatting sqref="B8">
    <cfRule type="expression" dxfId="1057" priority="1" stopIfTrue="1">
      <formula>MOD(ROW(),2)=0</formula>
    </cfRule>
    <cfRule type="expression" dxfId="1056" priority="2" stopIfTrue="1">
      <formula>MOD(ROW(),2)&lt;&gt;0</formula>
    </cfRule>
  </conditionalFormatting>
  <conditionalFormatting sqref="B18:B21">
    <cfRule type="expression" dxfId="1055" priority="7" stopIfTrue="1">
      <formula>MOD(ROW(),2)=0</formula>
    </cfRule>
    <cfRule type="expression" dxfId="1054" priority="8" stopIfTrue="1">
      <formula>MOD(ROW(),2)&lt;&gt;0</formula>
    </cfRule>
  </conditionalFormatting>
  <conditionalFormatting sqref="B6:G6 C7:G8 B9:G17 C18:G21">
    <cfRule type="expression" dxfId="1053" priority="31" stopIfTrue="1">
      <formula>MOD(ROW(),2)=0</formula>
    </cfRule>
    <cfRule type="expression" dxfId="1052" priority="32" stopIfTrue="1">
      <formula>MOD(ROW(),2)&lt;&gt;0</formula>
    </cfRule>
  </conditionalFormatting>
  <conditionalFormatting sqref="B6:G21">
    <cfRule type="expression" dxfId="1051" priority="23" stopIfTrue="1">
      <formula>MOD(ROW(),2)=0</formula>
    </cfRule>
    <cfRule type="expression" dxfId="1050" priority="24" stopIfTrue="1">
      <formula>MOD(ROW(),2)&lt;&gt;0</formula>
    </cfRule>
  </conditionalFormatting>
  <conditionalFormatting sqref="B26:G38">
    <cfRule type="expression" dxfId="1049" priority="13" stopIfTrue="1">
      <formula>MOD(ROW(),2)=0</formula>
    </cfRule>
    <cfRule type="expression" dxfId="1048" priority="14" stopIfTrue="1">
      <formula>MOD(ROW(),2)&lt;&gt;0</formula>
    </cfRule>
  </conditionalFormatting>
  <hyperlinks>
    <hyperlink ref="B24" location="Sheet1!A1" display="Assumptions" xr:uid="{933515E1-7139-4661-A9ED-8101A4B988CA}"/>
  </hyperlinks>
  <pageMargins left="0.74803149606299213" right="0.74803149606299213" top="0.98425196850393704" bottom="0.98425196850393704" header="0.51181102362204722" footer="0.51181102362204722"/>
  <pageSetup paperSize="9" scale="47" orientation="landscape" horizontalDpi="1200" verticalDpi="12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5"/>
  <dimension ref="A1:P65"/>
  <sheetViews>
    <sheetView showGridLines="0" zoomScale="85" zoomScaleNormal="85" workbookViewId="0">
      <selection activeCell="K17" sqref="K17"/>
    </sheetView>
  </sheetViews>
  <sheetFormatPr defaultColWidth="10" defaultRowHeight="13.2" x14ac:dyDescent="0.25"/>
  <cols>
    <col min="1" max="1" width="31.5546875" style="27" customWidth="1"/>
    <col min="2" max="7" width="22.5546875" style="27" customWidth="1"/>
    <col min="8" max="9" width="10" style="27"/>
    <col min="10" max="10" width="31.5546875" style="27" customWidth="1"/>
    <col min="11" max="16" width="22.5546875" style="27" customWidth="1"/>
    <col min="17" max="16384" width="10" style="27"/>
  </cols>
  <sheetData>
    <row r="1" spans="1:16" ht="21" x14ac:dyDescent="0.4">
      <c r="A1" s="39" t="s">
        <v>0</v>
      </c>
      <c r="B1" s="40"/>
      <c r="C1" s="40"/>
      <c r="D1" s="40"/>
      <c r="E1" s="40"/>
      <c r="F1" s="40"/>
      <c r="G1" s="40"/>
      <c r="H1" s="40"/>
      <c r="I1" s="40"/>
    </row>
    <row r="2" spans="1:16"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6" ht="15.6" x14ac:dyDescent="0.3">
      <c r="A3" s="43" t="str">
        <f>TABLE_FACTOR_TYPE_1&amp;" - x-"&amp;TABLE_SERIES_NUMBER_1</f>
        <v>ERF - x-409</v>
      </c>
      <c r="B3" s="42"/>
      <c r="C3" s="42"/>
      <c r="D3" s="42"/>
      <c r="E3" s="42"/>
      <c r="F3" s="42"/>
      <c r="G3" s="42"/>
      <c r="H3" s="42"/>
      <c r="I3" s="42"/>
    </row>
    <row r="4" spans="1:16" x14ac:dyDescent="0.25">
      <c r="A4" s="44"/>
    </row>
    <row r="6" spans="1:16" x14ac:dyDescent="0.25">
      <c r="A6" s="76" t="s">
        <v>290</v>
      </c>
      <c r="B6" s="129" t="s">
        <v>291</v>
      </c>
      <c r="C6" s="129"/>
      <c r="D6" s="129"/>
      <c r="E6" s="129"/>
      <c r="F6" s="129"/>
      <c r="G6" s="129"/>
      <c r="J6" s="76" t="s">
        <v>290</v>
      </c>
      <c r="K6" s="129" t="s">
        <v>291</v>
      </c>
      <c r="L6" s="129"/>
      <c r="M6" s="129"/>
      <c r="N6" s="129"/>
      <c r="O6" s="129"/>
      <c r="P6" s="129"/>
    </row>
    <row r="7" spans="1:16" x14ac:dyDescent="0.25">
      <c r="A7" s="77" t="s">
        <v>804</v>
      </c>
      <c r="B7" s="129" t="s">
        <v>345</v>
      </c>
      <c r="C7" s="129"/>
      <c r="D7" s="129"/>
      <c r="E7" s="129"/>
      <c r="F7" s="129"/>
      <c r="G7" s="129"/>
      <c r="J7" s="77" t="s">
        <v>804</v>
      </c>
      <c r="K7" s="129" t="s">
        <v>345</v>
      </c>
      <c r="L7" s="129"/>
      <c r="M7" s="129"/>
      <c r="N7" s="129"/>
      <c r="O7" s="129"/>
      <c r="P7" s="129"/>
    </row>
    <row r="8" spans="1:16" x14ac:dyDescent="0.25">
      <c r="A8" s="77" t="s">
        <v>805</v>
      </c>
      <c r="B8" s="129" t="s">
        <v>86</v>
      </c>
      <c r="C8" s="129"/>
      <c r="D8" s="129"/>
      <c r="E8" s="129"/>
      <c r="F8" s="129"/>
      <c r="G8" s="129"/>
      <c r="J8" s="77" t="s">
        <v>805</v>
      </c>
      <c r="K8" s="129" t="s">
        <v>86</v>
      </c>
      <c r="L8" s="129"/>
      <c r="M8" s="129"/>
      <c r="N8" s="129"/>
      <c r="O8" s="129"/>
      <c r="P8" s="129"/>
    </row>
    <row r="9" spans="1:16" x14ac:dyDescent="0.25">
      <c r="A9" s="77" t="s">
        <v>296</v>
      </c>
      <c r="B9" s="129" t="s">
        <v>418</v>
      </c>
      <c r="C9" s="129"/>
      <c r="D9" s="129"/>
      <c r="E9" s="129"/>
      <c r="F9" s="129"/>
      <c r="G9" s="129"/>
      <c r="J9" s="77" t="s">
        <v>296</v>
      </c>
      <c r="K9" s="129" t="s">
        <v>418</v>
      </c>
      <c r="L9" s="129"/>
      <c r="M9" s="129"/>
      <c r="N9" s="129"/>
      <c r="O9" s="129"/>
      <c r="P9" s="129"/>
    </row>
    <row r="10" spans="1:16" x14ac:dyDescent="0.25">
      <c r="A10" s="77" t="s">
        <v>6</v>
      </c>
      <c r="B10" s="129" t="s">
        <v>446</v>
      </c>
      <c r="C10" s="129"/>
      <c r="D10" s="129"/>
      <c r="E10" s="129"/>
      <c r="F10" s="129"/>
      <c r="G10" s="129"/>
      <c r="J10" s="77" t="s">
        <v>6</v>
      </c>
      <c r="K10" s="129" t="s">
        <v>446</v>
      </c>
      <c r="L10" s="129"/>
      <c r="M10" s="129"/>
      <c r="N10" s="129"/>
      <c r="O10" s="129"/>
      <c r="P10" s="129"/>
    </row>
    <row r="11" spans="1:16" x14ac:dyDescent="0.25">
      <c r="A11" s="77" t="s">
        <v>299</v>
      </c>
      <c r="B11" s="129" t="s">
        <v>364</v>
      </c>
      <c r="C11" s="129"/>
      <c r="D11" s="129"/>
      <c r="E11" s="129"/>
      <c r="F11" s="129"/>
      <c r="G11" s="129"/>
      <c r="J11" s="77" t="s">
        <v>299</v>
      </c>
      <c r="K11" s="129" t="s">
        <v>364</v>
      </c>
      <c r="L11" s="129"/>
      <c r="M11" s="129"/>
      <c r="N11" s="129"/>
      <c r="O11" s="129"/>
      <c r="P11" s="129"/>
    </row>
    <row r="12" spans="1:16" x14ac:dyDescent="0.25">
      <c r="A12" s="77" t="s">
        <v>301</v>
      </c>
      <c r="B12" s="129" t="s">
        <v>436</v>
      </c>
      <c r="C12" s="129"/>
      <c r="D12" s="129"/>
      <c r="E12" s="129"/>
      <c r="F12" s="129"/>
      <c r="G12" s="129"/>
      <c r="J12" s="77" t="s">
        <v>301</v>
      </c>
      <c r="K12" s="129" t="s">
        <v>436</v>
      </c>
      <c r="L12" s="129"/>
      <c r="M12" s="129"/>
      <c r="N12" s="129"/>
      <c r="O12" s="129"/>
      <c r="P12" s="129"/>
    </row>
    <row r="13" spans="1:16" x14ac:dyDescent="0.25">
      <c r="A13" s="77" t="s">
        <v>806</v>
      </c>
      <c r="B13" s="129">
        <v>1</v>
      </c>
      <c r="C13" s="129"/>
      <c r="D13" s="129"/>
      <c r="E13" s="129"/>
      <c r="F13" s="129"/>
      <c r="G13" s="129"/>
      <c r="J13" s="77" t="s">
        <v>806</v>
      </c>
      <c r="K13" s="129">
        <v>1</v>
      </c>
      <c r="L13" s="129"/>
      <c r="M13" s="129"/>
      <c r="N13" s="129"/>
      <c r="O13" s="129"/>
      <c r="P13" s="129"/>
    </row>
    <row r="14" spans="1:16" x14ac:dyDescent="0.25">
      <c r="A14" s="77" t="s">
        <v>305</v>
      </c>
      <c r="B14" s="129">
        <v>409</v>
      </c>
      <c r="C14" s="129"/>
      <c r="D14" s="129"/>
      <c r="E14" s="129"/>
      <c r="F14" s="129"/>
      <c r="G14" s="129"/>
      <c r="J14" s="77" t="s">
        <v>305</v>
      </c>
      <c r="K14" s="129">
        <v>409</v>
      </c>
      <c r="L14" s="129"/>
      <c r="M14" s="129"/>
      <c r="N14" s="129"/>
      <c r="O14" s="129"/>
      <c r="P14" s="129"/>
    </row>
    <row r="15" spans="1:16" x14ac:dyDescent="0.25">
      <c r="A15" s="77" t="s">
        <v>307</v>
      </c>
      <c r="B15" s="129" t="s">
        <v>447</v>
      </c>
      <c r="C15" s="129"/>
      <c r="D15" s="129"/>
      <c r="E15" s="129"/>
      <c r="F15" s="129"/>
      <c r="G15" s="129"/>
      <c r="J15" s="77" t="s">
        <v>307</v>
      </c>
      <c r="K15" s="129" t="s">
        <v>449</v>
      </c>
      <c r="L15" s="129"/>
      <c r="M15" s="129"/>
      <c r="N15" s="129"/>
      <c r="O15" s="129"/>
      <c r="P15" s="129"/>
    </row>
    <row r="16" spans="1:16" x14ac:dyDescent="0.25">
      <c r="A16" s="77" t="s">
        <v>825</v>
      </c>
      <c r="B16" s="129" t="s">
        <v>448</v>
      </c>
      <c r="C16" s="129"/>
      <c r="D16" s="129"/>
      <c r="E16" s="129"/>
      <c r="F16" s="129"/>
      <c r="G16" s="129"/>
      <c r="J16" s="77" t="s">
        <v>825</v>
      </c>
      <c r="K16" s="129" t="s">
        <v>450</v>
      </c>
      <c r="L16" s="129"/>
      <c r="M16" s="129"/>
      <c r="N16" s="129"/>
      <c r="O16" s="129"/>
      <c r="P16" s="129"/>
    </row>
    <row r="17" spans="1:16" x14ac:dyDescent="0.25">
      <c r="A17" s="77" t="s">
        <v>803</v>
      </c>
      <c r="B17" s="129"/>
      <c r="C17" s="129"/>
      <c r="D17" s="129"/>
      <c r="E17" s="129"/>
      <c r="F17" s="129"/>
      <c r="G17" s="129"/>
      <c r="J17" s="77" t="s">
        <v>803</v>
      </c>
      <c r="K17" s="129"/>
      <c r="L17" s="129"/>
      <c r="M17" s="129"/>
      <c r="N17" s="129"/>
      <c r="O17" s="129"/>
      <c r="P17" s="129"/>
    </row>
    <row r="18" spans="1:16" x14ac:dyDescent="0.25">
      <c r="A18" s="77" t="s">
        <v>313</v>
      </c>
      <c r="B18" s="187">
        <v>45106</v>
      </c>
      <c r="C18" s="129"/>
      <c r="D18" s="129"/>
      <c r="E18" s="129"/>
      <c r="F18" s="129"/>
      <c r="G18" s="129"/>
      <c r="J18" s="77" t="s">
        <v>313</v>
      </c>
      <c r="K18" s="187">
        <v>45106</v>
      </c>
      <c r="L18" s="129"/>
      <c r="M18" s="129"/>
      <c r="N18" s="129"/>
      <c r="O18" s="129"/>
      <c r="P18" s="129"/>
    </row>
    <row r="19" spans="1:16" x14ac:dyDescent="0.25">
      <c r="A19" s="77" t="s">
        <v>315</v>
      </c>
      <c r="B19" s="187"/>
      <c r="C19" s="129"/>
      <c r="D19" s="129"/>
      <c r="E19" s="129"/>
      <c r="F19" s="129"/>
      <c r="G19" s="129"/>
      <c r="J19" s="77" t="s">
        <v>315</v>
      </c>
      <c r="K19" s="187"/>
      <c r="L19" s="129"/>
      <c r="M19" s="129"/>
      <c r="N19" s="129"/>
      <c r="O19" s="129"/>
      <c r="P19" s="129"/>
    </row>
    <row r="20" spans="1:16" x14ac:dyDescent="0.25">
      <c r="A20" s="77" t="s">
        <v>317</v>
      </c>
      <c r="B20" s="129" t="s">
        <v>331</v>
      </c>
      <c r="C20" s="129"/>
      <c r="D20" s="129"/>
      <c r="E20" s="129"/>
      <c r="F20" s="129"/>
      <c r="G20" s="129"/>
      <c r="J20" s="77" t="s">
        <v>317</v>
      </c>
      <c r="K20" s="129" t="s">
        <v>331</v>
      </c>
      <c r="L20" s="129"/>
      <c r="M20" s="129"/>
      <c r="N20" s="129"/>
      <c r="O20" s="129"/>
      <c r="P20" s="129"/>
    </row>
    <row r="21" spans="1:16" x14ac:dyDescent="0.25">
      <c r="A21" s="77" t="s">
        <v>323</v>
      </c>
      <c r="B21" s="129" t="s">
        <v>332</v>
      </c>
      <c r="C21" s="129"/>
      <c r="D21" s="129"/>
      <c r="E21" s="129"/>
      <c r="F21" s="129"/>
      <c r="G21" s="129"/>
      <c r="J21" s="77" t="s">
        <v>323</v>
      </c>
      <c r="K21" s="129" t="s">
        <v>332</v>
      </c>
      <c r="L21" s="129"/>
      <c r="M21" s="129"/>
      <c r="N21" s="129"/>
      <c r="O21" s="129"/>
      <c r="P21" s="129"/>
    </row>
    <row r="23" spans="1:16" x14ac:dyDescent="0.25">
      <c r="B23" s="102" t="str">
        <f>HYPERLINK("#'Factor List'!A1","Back to Factor List")</f>
        <v>Back to Factor List</v>
      </c>
    </row>
    <row r="24" spans="1:16" x14ac:dyDescent="0.25">
      <c r="B24" s="102" t="s">
        <v>13</v>
      </c>
    </row>
    <row r="25" spans="1:16" x14ac:dyDescent="0.25">
      <c r="B25" s="102"/>
    </row>
    <row r="26" spans="1:16" x14ac:dyDescent="0.25">
      <c r="A26" s="103" t="s">
        <v>855</v>
      </c>
      <c r="B26" s="103">
        <v>50</v>
      </c>
      <c r="C26" s="103">
        <v>51</v>
      </c>
      <c r="D26" s="103">
        <v>52</v>
      </c>
      <c r="E26" s="103">
        <v>53</v>
      </c>
      <c r="F26" s="103">
        <v>54</v>
      </c>
      <c r="G26" s="103">
        <v>55</v>
      </c>
      <c r="J26" s="103" t="s">
        <v>855</v>
      </c>
      <c r="K26" s="103">
        <v>50</v>
      </c>
      <c r="L26" s="103">
        <v>51</v>
      </c>
      <c r="M26" s="103">
        <v>52</v>
      </c>
      <c r="N26" s="103">
        <v>53</v>
      </c>
      <c r="O26" s="103">
        <v>54</v>
      </c>
      <c r="P26" s="103">
        <v>55</v>
      </c>
    </row>
    <row r="27" spans="1:16" x14ac:dyDescent="0.25">
      <c r="A27" s="104">
        <v>0</v>
      </c>
      <c r="B27" s="128">
        <v>0.19600000000000001</v>
      </c>
      <c r="C27" s="128">
        <v>0.157</v>
      </c>
      <c r="D27" s="128">
        <v>0.11700000000000001</v>
      </c>
      <c r="E27" s="128">
        <v>7.8E-2</v>
      </c>
      <c r="F27" s="128">
        <v>3.7999999999999999E-2</v>
      </c>
      <c r="G27" s="128">
        <v>0</v>
      </c>
      <c r="J27" s="104">
        <v>0</v>
      </c>
      <c r="K27" s="128">
        <v>0.98599999999999999</v>
      </c>
      <c r="L27" s="128">
        <v>1.006</v>
      </c>
      <c r="M27" s="128">
        <v>1.026</v>
      </c>
      <c r="N27" s="128">
        <v>1.0469999999999999</v>
      </c>
      <c r="O27" s="128">
        <v>1.0680000000000001</v>
      </c>
      <c r="P27" s="128">
        <v>1.0880000000000001</v>
      </c>
    </row>
    <row r="28" spans="1:16" x14ac:dyDescent="0.25">
      <c r="A28" s="104">
        <v>1</v>
      </c>
      <c r="B28" s="128">
        <v>0.193</v>
      </c>
      <c r="C28" s="128">
        <v>0.154</v>
      </c>
      <c r="D28" s="128">
        <v>0.114</v>
      </c>
      <c r="E28" s="128">
        <v>7.4999999999999997E-2</v>
      </c>
      <c r="F28" s="128">
        <v>3.5000000000000003E-2</v>
      </c>
      <c r="G28" s="128"/>
      <c r="J28" s="104">
        <v>1</v>
      </c>
      <c r="K28" s="128">
        <v>0.98799999999999999</v>
      </c>
      <c r="L28" s="128">
        <v>1.008</v>
      </c>
      <c r="M28" s="128">
        <v>1.028</v>
      </c>
      <c r="N28" s="128">
        <v>1.0489999999999999</v>
      </c>
      <c r="O28" s="128">
        <v>1.07</v>
      </c>
      <c r="P28" s="128"/>
    </row>
    <row r="29" spans="1:16" x14ac:dyDescent="0.25">
      <c r="A29" s="104">
        <v>2</v>
      </c>
      <c r="B29" s="128">
        <v>0.19</v>
      </c>
      <c r="C29" s="128">
        <v>0.151</v>
      </c>
      <c r="D29" s="128">
        <v>0.111</v>
      </c>
      <c r="E29" s="128">
        <v>7.1999999999999995E-2</v>
      </c>
      <c r="F29" s="128">
        <v>3.2000000000000001E-2</v>
      </c>
      <c r="G29" s="128"/>
      <c r="J29" s="104">
        <v>2</v>
      </c>
      <c r="K29" s="128">
        <v>0.98899999999999999</v>
      </c>
      <c r="L29" s="128">
        <v>1.0089999999999999</v>
      </c>
      <c r="M29" s="128">
        <v>1.0289999999999999</v>
      </c>
      <c r="N29" s="128">
        <v>1.05</v>
      </c>
      <c r="O29" s="128">
        <v>1.071</v>
      </c>
      <c r="P29" s="128"/>
    </row>
    <row r="30" spans="1:16" x14ac:dyDescent="0.25">
      <c r="A30" s="104">
        <v>3</v>
      </c>
      <c r="B30" s="128">
        <v>0.187</v>
      </c>
      <c r="C30" s="128">
        <v>0.14699999999999999</v>
      </c>
      <c r="D30" s="128">
        <v>0.108</v>
      </c>
      <c r="E30" s="128">
        <v>6.8000000000000005E-2</v>
      </c>
      <c r="F30" s="128">
        <v>2.8000000000000001E-2</v>
      </c>
      <c r="G30" s="128"/>
      <c r="J30" s="104">
        <v>3</v>
      </c>
      <c r="K30" s="128">
        <v>0.99099999999999999</v>
      </c>
      <c r="L30" s="128">
        <v>1.0109999999999999</v>
      </c>
      <c r="M30" s="128">
        <v>1.0309999999999999</v>
      </c>
      <c r="N30" s="128">
        <v>1.052</v>
      </c>
      <c r="O30" s="128">
        <v>1.073</v>
      </c>
      <c r="P30" s="128"/>
    </row>
    <row r="31" spans="1:16" x14ac:dyDescent="0.25">
      <c r="A31" s="104">
        <v>4</v>
      </c>
      <c r="B31" s="128">
        <v>0.183</v>
      </c>
      <c r="C31" s="128">
        <v>0.14399999999999999</v>
      </c>
      <c r="D31" s="128">
        <v>0.104</v>
      </c>
      <c r="E31" s="128">
        <v>6.5000000000000002E-2</v>
      </c>
      <c r="F31" s="128">
        <v>2.5000000000000001E-2</v>
      </c>
      <c r="G31" s="128"/>
      <c r="J31" s="104">
        <v>4</v>
      </c>
      <c r="K31" s="128">
        <v>0.99299999999999999</v>
      </c>
      <c r="L31" s="128">
        <v>1.0129999999999999</v>
      </c>
      <c r="M31" s="128">
        <v>1.0329999999999999</v>
      </c>
      <c r="N31" s="128">
        <v>1.054</v>
      </c>
      <c r="O31" s="128">
        <v>1.075</v>
      </c>
      <c r="P31" s="128"/>
    </row>
    <row r="32" spans="1:16" x14ac:dyDescent="0.25">
      <c r="A32" s="104">
        <v>5</v>
      </c>
      <c r="B32" s="128">
        <v>0.18</v>
      </c>
      <c r="C32" s="128">
        <v>0.14099999999999999</v>
      </c>
      <c r="D32" s="128">
        <v>0.10100000000000001</v>
      </c>
      <c r="E32" s="128">
        <v>6.2E-2</v>
      </c>
      <c r="F32" s="128">
        <v>2.1999999999999999E-2</v>
      </c>
      <c r="G32" s="128"/>
      <c r="J32" s="104">
        <v>5</v>
      </c>
      <c r="K32" s="128">
        <v>0.99399999999999999</v>
      </c>
      <c r="L32" s="128">
        <v>1.014</v>
      </c>
      <c r="M32" s="128">
        <v>1.0349999999999999</v>
      </c>
      <c r="N32" s="128">
        <v>1.056</v>
      </c>
      <c r="O32" s="128">
        <v>1.077</v>
      </c>
      <c r="P32" s="128"/>
    </row>
    <row r="33" spans="1:16" x14ac:dyDescent="0.25">
      <c r="A33" s="104">
        <v>6</v>
      </c>
      <c r="B33" s="128">
        <v>0.17699999999999999</v>
      </c>
      <c r="C33" s="128">
        <v>0.13700000000000001</v>
      </c>
      <c r="D33" s="128">
        <v>9.8000000000000004E-2</v>
      </c>
      <c r="E33" s="128">
        <v>5.8000000000000003E-2</v>
      </c>
      <c r="F33" s="128">
        <v>1.7999999999999999E-2</v>
      </c>
      <c r="G33" s="128"/>
      <c r="J33" s="104">
        <v>6</v>
      </c>
      <c r="K33" s="128">
        <v>0.996</v>
      </c>
      <c r="L33" s="128">
        <v>1.016</v>
      </c>
      <c r="M33" s="128">
        <v>1.036</v>
      </c>
      <c r="N33" s="128">
        <v>1.0569999999999999</v>
      </c>
      <c r="O33" s="128">
        <v>1.0780000000000001</v>
      </c>
      <c r="P33" s="128"/>
    </row>
    <row r="34" spans="1:16" x14ac:dyDescent="0.25">
      <c r="A34" s="104">
        <v>7</v>
      </c>
      <c r="B34" s="128">
        <v>0.17399999999999999</v>
      </c>
      <c r="C34" s="128">
        <v>0.13400000000000001</v>
      </c>
      <c r="D34" s="128">
        <v>9.5000000000000001E-2</v>
      </c>
      <c r="E34" s="128">
        <v>5.5E-2</v>
      </c>
      <c r="F34" s="128">
        <v>1.4999999999999999E-2</v>
      </c>
      <c r="G34" s="128"/>
      <c r="J34" s="104">
        <v>7</v>
      </c>
      <c r="K34" s="128">
        <v>0.998</v>
      </c>
      <c r="L34" s="128">
        <v>1.018</v>
      </c>
      <c r="M34" s="128">
        <v>1.038</v>
      </c>
      <c r="N34" s="128">
        <v>1.0589999999999999</v>
      </c>
      <c r="O34" s="128">
        <v>1.08</v>
      </c>
      <c r="P34" s="128"/>
    </row>
    <row r="35" spans="1:16" x14ac:dyDescent="0.25">
      <c r="A35" s="104">
        <v>8</v>
      </c>
      <c r="B35" s="128">
        <v>0.17</v>
      </c>
      <c r="C35" s="128">
        <v>0.13100000000000001</v>
      </c>
      <c r="D35" s="128">
        <v>9.0999999999999998E-2</v>
      </c>
      <c r="E35" s="128">
        <v>5.1999999999999998E-2</v>
      </c>
      <c r="F35" s="128">
        <v>1.2E-2</v>
      </c>
      <c r="G35" s="128"/>
      <c r="J35" s="104">
        <v>8</v>
      </c>
      <c r="K35" s="128">
        <v>0.999</v>
      </c>
      <c r="L35" s="128">
        <v>1.0189999999999999</v>
      </c>
      <c r="M35" s="128">
        <v>1.04</v>
      </c>
      <c r="N35" s="128">
        <v>1.0609999999999999</v>
      </c>
      <c r="O35" s="128">
        <v>1.0820000000000001</v>
      </c>
      <c r="P35" s="128"/>
    </row>
    <row r="36" spans="1:16" x14ac:dyDescent="0.25">
      <c r="A36" s="104">
        <v>9</v>
      </c>
      <c r="B36" s="128">
        <v>0.16700000000000001</v>
      </c>
      <c r="C36" s="128">
        <v>0.127</v>
      </c>
      <c r="D36" s="128">
        <v>8.7999999999999995E-2</v>
      </c>
      <c r="E36" s="128">
        <v>4.8000000000000001E-2</v>
      </c>
      <c r="F36" s="128">
        <v>8.0000000000000002E-3</v>
      </c>
      <c r="G36" s="128"/>
      <c r="J36" s="104">
        <v>9</v>
      </c>
      <c r="K36" s="128">
        <v>1.0009999999999999</v>
      </c>
      <c r="L36" s="128">
        <v>1.0209999999999999</v>
      </c>
      <c r="M36" s="128">
        <v>1.042</v>
      </c>
      <c r="N36" s="128">
        <v>1.0629999999999999</v>
      </c>
      <c r="O36" s="128">
        <v>1.0840000000000001</v>
      </c>
      <c r="P36" s="128"/>
    </row>
    <row r="37" spans="1:16" x14ac:dyDescent="0.25">
      <c r="A37" s="104">
        <v>10</v>
      </c>
      <c r="B37" s="128">
        <v>0.16400000000000001</v>
      </c>
      <c r="C37" s="128">
        <v>0.124</v>
      </c>
      <c r="D37" s="128">
        <v>8.5000000000000006E-2</v>
      </c>
      <c r="E37" s="128">
        <v>4.4999999999999998E-2</v>
      </c>
      <c r="F37" s="128">
        <v>5.0000000000000001E-3</v>
      </c>
      <c r="G37" s="128"/>
      <c r="J37" s="104">
        <v>10</v>
      </c>
      <c r="K37" s="128">
        <v>1.0029999999999999</v>
      </c>
      <c r="L37" s="128">
        <v>1.0229999999999999</v>
      </c>
      <c r="M37" s="128">
        <v>1.0429999999999999</v>
      </c>
      <c r="N37" s="128">
        <v>1.0640000000000001</v>
      </c>
      <c r="O37" s="128">
        <v>1.085</v>
      </c>
      <c r="P37" s="128"/>
    </row>
    <row r="38" spans="1:16" x14ac:dyDescent="0.25">
      <c r="A38" s="104">
        <v>11</v>
      </c>
      <c r="B38" s="128">
        <v>0.161</v>
      </c>
      <c r="C38" s="128">
        <v>0.121</v>
      </c>
      <c r="D38" s="128">
        <v>8.2000000000000003E-2</v>
      </c>
      <c r="E38" s="128">
        <v>4.2000000000000003E-2</v>
      </c>
      <c r="F38" s="128">
        <v>2E-3</v>
      </c>
      <c r="G38" s="128"/>
      <c r="J38" s="104">
        <v>11</v>
      </c>
      <c r="K38" s="128">
        <v>1.004</v>
      </c>
      <c r="L38" s="128">
        <v>1.024</v>
      </c>
      <c r="M38" s="128">
        <v>1.0449999999999999</v>
      </c>
      <c r="N38" s="128">
        <v>1.0660000000000001</v>
      </c>
      <c r="O38" s="128">
        <v>1.087</v>
      </c>
      <c r="P38" s="128"/>
    </row>
    <row r="39" spans="1:16" x14ac:dyDescent="0.25">
      <c r="A39"/>
      <c r="B39"/>
    </row>
    <row r="40" spans="1:16" x14ac:dyDescent="0.25">
      <c r="A40"/>
      <c r="B40"/>
    </row>
    <row r="41" spans="1:16" x14ac:dyDescent="0.25">
      <c r="A41"/>
      <c r="B41"/>
    </row>
    <row r="42" spans="1:16" x14ac:dyDescent="0.25">
      <c r="A42"/>
      <c r="B42"/>
    </row>
    <row r="43" spans="1:16" x14ac:dyDescent="0.25">
      <c r="A43"/>
      <c r="B43"/>
    </row>
    <row r="44" spans="1:16" ht="39.6" customHeight="1" x14ac:dyDescent="0.25">
      <c r="A44"/>
      <c r="B44"/>
    </row>
    <row r="45" spans="1:16" x14ac:dyDescent="0.25">
      <c r="A45"/>
      <c r="B45"/>
    </row>
    <row r="46" spans="1:16" ht="27.6" customHeight="1" x14ac:dyDescent="0.25">
      <c r="A46"/>
      <c r="B46"/>
    </row>
    <row r="47" spans="1:16" x14ac:dyDescent="0.25">
      <c r="A47"/>
      <c r="B47"/>
    </row>
    <row r="48" spans="1: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Th1fP9YrqHkWErVuNi8iKFyQ0fo8uXHfgkvTXFypsRU9jWxW67hgUdaskBHrarM5+VqfufbgIIcESqmjqsa13g==" saltValue="YHc4fGQGJxNtF79jXtbs2Q==" spinCount="100000" sheet="1" objects="1" scenarios="1"/>
  <conditionalFormatting sqref="A6:A21">
    <cfRule type="expression" dxfId="1047" priority="7" stopIfTrue="1">
      <formula>MOD(ROW(),2)=0</formula>
    </cfRule>
    <cfRule type="expression" dxfId="1046" priority="8" stopIfTrue="1">
      <formula>MOD(ROW(),2)&lt;&gt;0</formula>
    </cfRule>
  </conditionalFormatting>
  <conditionalFormatting sqref="A26:A38">
    <cfRule type="expression" dxfId="1045" priority="24" stopIfTrue="1">
      <formula>MOD(ROW(),2)&lt;&gt;0</formula>
    </cfRule>
    <cfRule type="expression" dxfId="1044" priority="23" stopIfTrue="1">
      <formula>MOD(ROW(),2)=0</formula>
    </cfRule>
  </conditionalFormatting>
  <conditionalFormatting sqref="B17:B21">
    <cfRule type="expression" dxfId="1043" priority="2" stopIfTrue="1">
      <formula>MOD(ROW(),2)&lt;&gt;0</formula>
    </cfRule>
    <cfRule type="expression" dxfId="1042" priority="1" stopIfTrue="1">
      <formula>MOD(ROW(),2)=0</formula>
    </cfRule>
  </conditionalFormatting>
  <conditionalFormatting sqref="B6:G6 C7:G7 B8:G16 C17:G21">
    <cfRule type="expression" dxfId="1041" priority="51" stopIfTrue="1">
      <formula>MOD(ROW(),2)=0</formula>
    </cfRule>
    <cfRule type="expression" dxfId="1040" priority="52" stopIfTrue="1">
      <formula>MOD(ROW(),2)&lt;&gt;0</formula>
    </cfRule>
  </conditionalFormatting>
  <conditionalFormatting sqref="B6:G21">
    <cfRule type="expression" dxfId="1039" priority="43" stopIfTrue="1">
      <formula>MOD(ROW(),2)=0</formula>
    </cfRule>
    <cfRule type="expression" dxfId="1038" priority="44" stopIfTrue="1">
      <formula>MOD(ROW(),2)&lt;&gt;0</formula>
    </cfRule>
  </conditionalFormatting>
  <conditionalFormatting sqref="B26:G38">
    <cfRule type="expression" dxfId="1037" priority="25" stopIfTrue="1">
      <formula>MOD(ROW(),2)=0</formula>
    </cfRule>
    <cfRule type="expression" dxfId="1036" priority="26" stopIfTrue="1">
      <formula>MOD(ROW(),2)&lt;&gt;0</formula>
    </cfRule>
  </conditionalFormatting>
  <conditionalFormatting sqref="J6:J21">
    <cfRule type="expression" dxfId="1035" priority="37" stopIfTrue="1">
      <formula>MOD(ROW(),2)=0</formula>
    </cfRule>
    <cfRule type="expression" dxfId="1034" priority="38" stopIfTrue="1">
      <formula>MOD(ROW(),2)&lt;&gt;0</formula>
    </cfRule>
  </conditionalFormatting>
  <conditionalFormatting sqref="J26:J38">
    <cfRule type="expression" dxfId="1033" priority="19" stopIfTrue="1">
      <formula>MOD(ROW(),2)=0</formula>
    </cfRule>
    <cfRule type="expression" dxfId="1032" priority="20" stopIfTrue="1">
      <formula>MOD(ROW(),2)&lt;&gt;0</formula>
    </cfRule>
  </conditionalFormatting>
  <conditionalFormatting sqref="K17:K21">
    <cfRule type="expression" dxfId="1031" priority="3" stopIfTrue="1">
      <formula>MOD(ROW(),2)=0</formula>
    </cfRule>
    <cfRule type="expression" dxfId="1030" priority="4" stopIfTrue="1">
      <formula>MOD(ROW(),2)&lt;&gt;0</formula>
    </cfRule>
  </conditionalFormatting>
  <conditionalFormatting sqref="K6:P6 L7:P7 K8:P16 L17:P21">
    <cfRule type="expression" dxfId="1029" priority="59" stopIfTrue="1">
      <formula>MOD(ROW(),2)=0</formula>
    </cfRule>
    <cfRule type="expression" dxfId="1028" priority="60" stopIfTrue="1">
      <formula>MOD(ROW(),2)&lt;&gt;0</formula>
    </cfRule>
  </conditionalFormatting>
  <conditionalFormatting sqref="K6:P21">
    <cfRule type="expression" dxfId="1027" priority="41" stopIfTrue="1">
      <formula>MOD(ROW(),2)=0</formula>
    </cfRule>
    <cfRule type="expression" dxfId="1026" priority="42" stopIfTrue="1">
      <formula>MOD(ROW(),2)&lt;&gt;0</formula>
    </cfRule>
  </conditionalFormatting>
  <conditionalFormatting sqref="K26:P38">
    <cfRule type="expression" dxfId="1025" priority="21" stopIfTrue="1">
      <formula>MOD(ROW(),2)=0</formula>
    </cfRule>
    <cfRule type="expression" dxfId="1024" priority="22" stopIfTrue="1">
      <formula>MOD(ROW(),2)&lt;&gt;0</formula>
    </cfRule>
  </conditionalFormatting>
  <hyperlinks>
    <hyperlink ref="B24" location="Sheet1!A1" display="Assumptions" xr:uid="{0379F8D1-8671-495A-BAE9-E0833444BE4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6"/>
  <dimension ref="A1:Q65"/>
  <sheetViews>
    <sheetView showGridLines="0" zoomScale="85" zoomScaleNormal="85" workbookViewId="0">
      <selection activeCell="A4" sqref="A4"/>
    </sheetView>
  </sheetViews>
  <sheetFormatPr defaultColWidth="10" defaultRowHeight="13.2" x14ac:dyDescent="0.25"/>
  <cols>
    <col min="1" max="1" width="31.5546875" style="27" customWidth="1"/>
    <col min="2" max="17" width="22.5546875" style="27" customWidth="1"/>
    <col min="18" max="16384" width="10" style="27"/>
  </cols>
  <sheetData>
    <row r="1" spans="1:17" ht="21" x14ac:dyDescent="0.4">
      <c r="A1" s="39" t="s">
        <v>0</v>
      </c>
      <c r="B1" s="40"/>
      <c r="C1" s="40"/>
      <c r="D1" s="40"/>
      <c r="E1" s="40"/>
      <c r="F1" s="40"/>
      <c r="G1" s="40"/>
      <c r="H1" s="40"/>
      <c r="I1" s="40"/>
    </row>
    <row r="2" spans="1:17"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7" ht="15.6" x14ac:dyDescent="0.3">
      <c r="A3" s="43" t="str">
        <f>TABLE_FACTOR_TYPE_1&amp;" - x-"&amp;TABLE_SERIES_NUMBER_1</f>
        <v>ERF - x-410</v>
      </c>
      <c r="B3" s="42"/>
      <c r="C3" s="42"/>
      <c r="D3" s="42"/>
      <c r="E3" s="42"/>
      <c r="F3" s="42"/>
      <c r="G3" s="42"/>
      <c r="H3" s="42"/>
      <c r="I3" s="42"/>
    </row>
    <row r="4" spans="1:17" x14ac:dyDescent="0.25">
      <c r="A4" s="44"/>
    </row>
    <row r="6" spans="1:17" x14ac:dyDescent="0.25">
      <c r="A6" s="76" t="s">
        <v>290</v>
      </c>
      <c r="B6" s="129" t="s">
        <v>291</v>
      </c>
      <c r="C6" s="129"/>
      <c r="D6" s="129"/>
      <c r="E6" s="129"/>
      <c r="F6" s="129"/>
      <c r="G6" s="129"/>
      <c r="H6" s="129"/>
      <c r="I6" s="129"/>
      <c r="J6" s="129"/>
      <c r="K6" s="129"/>
      <c r="L6" s="129"/>
      <c r="M6" s="129"/>
      <c r="N6" s="129"/>
      <c r="O6" s="129"/>
      <c r="P6" s="129"/>
      <c r="Q6" s="129"/>
    </row>
    <row r="7" spans="1:17" x14ac:dyDescent="0.25">
      <c r="A7" s="77" t="s">
        <v>804</v>
      </c>
      <c r="B7" s="129" t="s">
        <v>345</v>
      </c>
      <c r="C7" s="129"/>
      <c r="D7" s="129"/>
      <c r="E7" s="129"/>
      <c r="F7" s="129"/>
      <c r="G7" s="129"/>
      <c r="H7" s="129"/>
      <c r="I7" s="129"/>
      <c r="J7" s="129"/>
      <c r="K7" s="129"/>
      <c r="L7" s="129"/>
      <c r="M7" s="129"/>
      <c r="N7" s="129"/>
      <c r="O7" s="129"/>
      <c r="P7" s="129"/>
      <c r="Q7" s="129"/>
    </row>
    <row r="8" spans="1:17" x14ac:dyDescent="0.25">
      <c r="A8" s="77" t="s">
        <v>805</v>
      </c>
      <c r="B8" s="129" t="s">
        <v>442</v>
      </c>
      <c r="C8" s="129"/>
      <c r="D8" s="129"/>
      <c r="E8" s="129"/>
      <c r="F8" s="129"/>
      <c r="G8" s="129"/>
      <c r="H8" s="129"/>
      <c r="I8" s="129"/>
      <c r="J8" s="129"/>
      <c r="K8" s="129"/>
      <c r="L8" s="129"/>
      <c r="M8" s="129"/>
      <c r="N8" s="129"/>
      <c r="O8" s="129"/>
      <c r="P8" s="129"/>
      <c r="Q8" s="129"/>
    </row>
    <row r="9" spans="1:17" x14ac:dyDescent="0.25">
      <c r="A9" s="77" t="s">
        <v>296</v>
      </c>
      <c r="B9" s="129" t="s">
        <v>418</v>
      </c>
      <c r="C9" s="129"/>
      <c r="D9" s="129"/>
      <c r="E9" s="129"/>
      <c r="F9" s="129"/>
      <c r="G9" s="129"/>
      <c r="H9" s="129"/>
      <c r="I9" s="129"/>
      <c r="J9" s="129"/>
      <c r="K9" s="129"/>
      <c r="L9" s="129"/>
      <c r="M9" s="129"/>
      <c r="N9" s="129"/>
      <c r="O9" s="129"/>
      <c r="P9" s="129"/>
      <c r="Q9" s="129"/>
    </row>
    <row r="10" spans="1:17" x14ac:dyDescent="0.25">
      <c r="A10" s="77" t="s">
        <v>6</v>
      </c>
      <c r="B10" s="129" t="s">
        <v>451</v>
      </c>
      <c r="C10" s="129"/>
      <c r="D10" s="129"/>
      <c r="E10" s="129"/>
      <c r="F10" s="129"/>
      <c r="G10" s="129"/>
      <c r="H10" s="129"/>
      <c r="I10" s="129"/>
      <c r="J10" s="129"/>
      <c r="K10" s="129"/>
      <c r="L10" s="129"/>
      <c r="M10" s="129"/>
      <c r="N10" s="129"/>
      <c r="O10" s="129"/>
      <c r="P10" s="129"/>
      <c r="Q10" s="129"/>
    </row>
    <row r="11" spans="1:17" x14ac:dyDescent="0.25">
      <c r="A11" s="77" t="s">
        <v>299</v>
      </c>
      <c r="B11" s="129" t="s">
        <v>364</v>
      </c>
      <c r="C11" s="129"/>
      <c r="D11" s="129"/>
      <c r="E11" s="129"/>
      <c r="F11" s="129"/>
      <c r="G11" s="129"/>
      <c r="H11" s="129"/>
      <c r="I11" s="129"/>
      <c r="J11" s="129"/>
      <c r="K11" s="129"/>
      <c r="L11" s="129"/>
      <c r="M11" s="129"/>
      <c r="N11" s="129"/>
      <c r="O11" s="129"/>
      <c r="P11" s="129"/>
      <c r="Q11" s="129"/>
    </row>
    <row r="12" spans="1:17" x14ac:dyDescent="0.25">
      <c r="A12" s="77" t="s">
        <v>301</v>
      </c>
      <c r="B12" s="129" t="s">
        <v>436</v>
      </c>
      <c r="C12" s="129"/>
      <c r="D12" s="129"/>
      <c r="E12" s="129"/>
      <c r="F12" s="129"/>
      <c r="G12" s="129"/>
      <c r="H12" s="129"/>
      <c r="I12" s="129"/>
      <c r="J12" s="129"/>
      <c r="K12" s="129"/>
      <c r="L12" s="129"/>
      <c r="M12" s="129"/>
      <c r="N12" s="129"/>
      <c r="O12" s="129"/>
      <c r="P12" s="129"/>
      <c r="Q12" s="129"/>
    </row>
    <row r="13" spans="1:17" x14ac:dyDescent="0.25">
      <c r="A13" s="77" t="s">
        <v>806</v>
      </c>
      <c r="B13" s="129">
        <v>1</v>
      </c>
      <c r="C13" s="129"/>
      <c r="D13" s="129"/>
      <c r="E13" s="129"/>
      <c r="F13" s="129"/>
      <c r="G13" s="129"/>
      <c r="H13" s="129"/>
      <c r="I13" s="129"/>
      <c r="J13" s="129"/>
      <c r="K13" s="129"/>
      <c r="L13" s="129"/>
      <c r="M13" s="129"/>
      <c r="N13" s="129"/>
      <c r="O13" s="129"/>
      <c r="P13" s="129"/>
      <c r="Q13" s="129"/>
    </row>
    <row r="14" spans="1:17" x14ac:dyDescent="0.25">
      <c r="A14" s="77" t="s">
        <v>305</v>
      </c>
      <c r="B14" s="129">
        <v>410</v>
      </c>
      <c r="C14" s="129"/>
      <c r="D14" s="129"/>
      <c r="E14" s="129"/>
      <c r="F14" s="129"/>
      <c r="G14" s="129"/>
      <c r="H14" s="129"/>
      <c r="I14" s="129"/>
      <c r="J14" s="129"/>
      <c r="K14" s="129"/>
      <c r="L14" s="129"/>
      <c r="M14" s="129"/>
      <c r="N14" s="129"/>
      <c r="O14" s="129"/>
      <c r="P14" s="129"/>
      <c r="Q14" s="129"/>
    </row>
    <row r="15" spans="1:17" x14ac:dyDescent="0.25">
      <c r="A15" s="77" t="s">
        <v>307</v>
      </c>
      <c r="B15" s="129" t="s">
        <v>452</v>
      </c>
      <c r="C15" s="129"/>
      <c r="D15" s="129"/>
      <c r="E15" s="129"/>
      <c r="F15" s="129"/>
      <c r="G15" s="129"/>
      <c r="H15" s="129"/>
      <c r="I15" s="129"/>
      <c r="J15" s="129"/>
      <c r="K15" s="129"/>
      <c r="L15" s="129"/>
      <c r="M15" s="129"/>
      <c r="N15" s="129"/>
      <c r="O15" s="129"/>
      <c r="P15" s="129"/>
      <c r="Q15" s="129"/>
    </row>
    <row r="16" spans="1:17" x14ac:dyDescent="0.25">
      <c r="A16" s="77" t="s">
        <v>825</v>
      </c>
      <c r="B16" s="129" t="s">
        <v>453</v>
      </c>
      <c r="C16" s="129"/>
      <c r="D16" s="129"/>
      <c r="E16" s="129"/>
      <c r="F16" s="129"/>
      <c r="G16" s="129"/>
      <c r="H16" s="129"/>
      <c r="I16" s="129"/>
      <c r="J16" s="129"/>
      <c r="K16" s="129"/>
      <c r="L16" s="129"/>
      <c r="M16" s="129"/>
      <c r="N16" s="129"/>
      <c r="O16" s="129"/>
      <c r="P16" s="129"/>
      <c r="Q16" s="129"/>
    </row>
    <row r="17" spans="1:17" x14ac:dyDescent="0.25">
      <c r="A17" s="77" t="s">
        <v>803</v>
      </c>
      <c r="B17" s="129"/>
      <c r="C17" s="129"/>
      <c r="D17" s="129"/>
      <c r="E17" s="129"/>
      <c r="F17" s="129"/>
      <c r="G17" s="129"/>
      <c r="H17" s="129"/>
      <c r="I17" s="129"/>
      <c r="J17" s="129"/>
      <c r="K17" s="129"/>
      <c r="L17" s="129"/>
      <c r="M17" s="129"/>
      <c r="N17" s="129"/>
      <c r="O17" s="129"/>
      <c r="P17" s="129"/>
      <c r="Q17" s="129"/>
    </row>
    <row r="18" spans="1:17" x14ac:dyDescent="0.25">
      <c r="A18" s="77" t="s">
        <v>313</v>
      </c>
      <c r="B18" s="187">
        <v>45106</v>
      </c>
      <c r="C18" s="129"/>
      <c r="D18" s="129"/>
      <c r="E18" s="129"/>
      <c r="F18" s="129"/>
      <c r="G18" s="129"/>
      <c r="H18" s="129"/>
      <c r="I18" s="129"/>
      <c r="J18" s="129"/>
      <c r="K18" s="129"/>
      <c r="L18" s="129"/>
      <c r="M18" s="129"/>
      <c r="N18" s="129"/>
      <c r="O18" s="129"/>
      <c r="P18" s="129"/>
      <c r="Q18" s="129"/>
    </row>
    <row r="19" spans="1:17" x14ac:dyDescent="0.25">
      <c r="A19" s="77" t="s">
        <v>315</v>
      </c>
      <c r="B19" s="187"/>
      <c r="C19" s="129"/>
      <c r="D19" s="129"/>
      <c r="E19" s="129"/>
      <c r="F19" s="129"/>
      <c r="G19" s="129"/>
      <c r="H19" s="129"/>
      <c r="I19" s="129"/>
      <c r="J19" s="129"/>
      <c r="K19" s="129"/>
      <c r="L19" s="129"/>
      <c r="M19" s="129"/>
      <c r="N19" s="129"/>
      <c r="O19" s="129"/>
      <c r="P19" s="129"/>
      <c r="Q19" s="129"/>
    </row>
    <row r="20" spans="1:17" x14ac:dyDescent="0.25">
      <c r="A20" s="77" t="s">
        <v>317</v>
      </c>
      <c r="B20" s="129" t="s">
        <v>331</v>
      </c>
      <c r="C20" s="129"/>
      <c r="D20" s="129"/>
      <c r="E20" s="129"/>
      <c r="F20" s="129"/>
      <c r="G20" s="129"/>
      <c r="H20" s="129"/>
      <c r="I20" s="129"/>
      <c r="J20" s="129"/>
      <c r="K20" s="129"/>
      <c r="L20" s="129"/>
      <c r="M20" s="129"/>
      <c r="N20" s="129"/>
      <c r="O20" s="129"/>
      <c r="P20" s="129"/>
      <c r="Q20" s="129"/>
    </row>
    <row r="21" spans="1:17" x14ac:dyDescent="0.25">
      <c r="A21" s="77" t="s">
        <v>323</v>
      </c>
      <c r="B21" s="129" t="s">
        <v>332</v>
      </c>
      <c r="C21" s="129"/>
      <c r="D21" s="129"/>
      <c r="E21" s="129"/>
      <c r="F21" s="129"/>
      <c r="G21" s="129"/>
      <c r="H21" s="129"/>
      <c r="I21" s="129"/>
      <c r="J21" s="129"/>
      <c r="K21" s="129"/>
      <c r="L21" s="129"/>
      <c r="M21" s="129"/>
      <c r="N21" s="129"/>
      <c r="O21" s="129"/>
      <c r="P21" s="129"/>
      <c r="Q21" s="129"/>
    </row>
    <row r="23" spans="1:17" x14ac:dyDescent="0.25">
      <c r="B23" s="102" t="str">
        <f>HYPERLINK("#'Factor List'!A1","Back to Factor List")</f>
        <v>Back to Factor List</v>
      </c>
    </row>
    <row r="24" spans="1:17" x14ac:dyDescent="0.25">
      <c r="B24" s="102" t="s">
        <v>13</v>
      </c>
    </row>
    <row r="25" spans="1:17" x14ac:dyDescent="0.25">
      <c r="B25" s="102"/>
    </row>
    <row r="26" spans="1:17" x14ac:dyDescent="0.25">
      <c r="A26" s="103" t="s">
        <v>855</v>
      </c>
      <c r="B26" s="103">
        <v>50</v>
      </c>
      <c r="C26" s="103">
        <v>51</v>
      </c>
      <c r="D26" s="103">
        <v>52</v>
      </c>
      <c r="E26" s="103">
        <v>53</v>
      </c>
      <c r="F26" s="103">
        <v>54</v>
      </c>
      <c r="G26" s="103">
        <v>55</v>
      </c>
      <c r="H26" s="103">
        <v>56</v>
      </c>
      <c r="I26" s="103">
        <v>57</v>
      </c>
      <c r="J26" s="103">
        <v>58</v>
      </c>
      <c r="K26" s="103">
        <v>59</v>
      </c>
      <c r="L26" s="103">
        <v>60</v>
      </c>
      <c r="M26" s="103">
        <v>61</v>
      </c>
      <c r="N26" s="103">
        <v>62</v>
      </c>
      <c r="O26" s="103">
        <v>63</v>
      </c>
      <c r="P26" s="103">
        <v>64</v>
      </c>
      <c r="Q26" s="103">
        <v>65</v>
      </c>
    </row>
    <row r="27" spans="1:17" x14ac:dyDescent="0.25">
      <c r="A27" s="104">
        <v>0</v>
      </c>
      <c r="B27" s="128">
        <v>0.52900000000000003</v>
      </c>
      <c r="C27" s="128">
        <v>0.54700000000000004</v>
      </c>
      <c r="D27" s="128">
        <v>0.56599999999999995</v>
      </c>
      <c r="E27" s="128">
        <v>0.58599999999999997</v>
      </c>
      <c r="F27" s="128">
        <v>0.60799999999999998</v>
      </c>
      <c r="G27" s="128">
        <v>0.63200000000000001</v>
      </c>
      <c r="H27" s="128">
        <v>0.65800000000000003</v>
      </c>
      <c r="I27" s="128">
        <v>0.68600000000000005</v>
      </c>
      <c r="J27" s="128">
        <v>0.71499999999999997</v>
      </c>
      <c r="K27" s="128">
        <v>0.747</v>
      </c>
      <c r="L27" s="128">
        <v>0.78300000000000003</v>
      </c>
      <c r="M27" s="128">
        <v>0.82</v>
      </c>
      <c r="N27" s="128">
        <v>0.86</v>
      </c>
      <c r="O27" s="128">
        <v>0.90300000000000002</v>
      </c>
      <c r="P27" s="128">
        <v>0.95</v>
      </c>
      <c r="Q27" s="128">
        <v>1</v>
      </c>
    </row>
    <row r="28" spans="1:17" x14ac:dyDescent="0.25">
      <c r="A28" s="104">
        <v>1</v>
      </c>
      <c r="B28" s="128">
        <v>0.53</v>
      </c>
      <c r="C28" s="128">
        <v>0.54800000000000004</v>
      </c>
      <c r="D28" s="128">
        <v>0.56799999999999995</v>
      </c>
      <c r="E28" s="128">
        <v>0.58799999999999997</v>
      </c>
      <c r="F28" s="128">
        <v>0.61</v>
      </c>
      <c r="G28" s="128">
        <v>0.63400000000000001</v>
      </c>
      <c r="H28" s="128">
        <v>0.66100000000000003</v>
      </c>
      <c r="I28" s="128">
        <v>0.68899999999999995</v>
      </c>
      <c r="J28" s="128">
        <v>0.71799999999999997</v>
      </c>
      <c r="K28" s="128">
        <v>0.75</v>
      </c>
      <c r="L28" s="128">
        <v>0.78600000000000003</v>
      </c>
      <c r="M28" s="128">
        <v>0.82299999999999995</v>
      </c>
      <c r="N28" s="128">
        <v>0.86299999999999999</v>
      </c>
      <c r="O28" s="128">
        <v>0.90700000000000003</v>
      </c>
      <c r="P28" s="128">
        <v>0.95499999999999996</v>
      </c>
      <c r="Q28" s="128"/>
    </row>
    <row r="29" spans="1:17" x14ac:dyDescent="0.25">
      <c r="A29" s="104">
        <v>2</v>
      </c>
      <c r="B29" s="128">
        <v>0.53200000000000003</v>
      </c>
      <c r="C29" s="128">
        <v>0.55000000000000004</v>
      </c>
      <c r="D29" s="128">
        <v>0.56899999999999995</v>
      </c>
      <c r="E29" s="128">
        <v>0.59</v>
      </c>
      <c r="F29" s="128">
        <v>0.61199999999999999</v>
      </c>
      <c r="G29" s="128">
        <v>0.63600000000000001</v>
      </c>
      <c r="H29" s="128">
        <v>0.66300000000000003</v>
      </c>
      <c r="I29" s="128">
        <v>0.69099999999999995</v>
      </c>
      <c r="J29" s="128">
        <v>0.72099999999999997</v>
      </c>
      <c r="K29" s="128">
        <v>0.753</v>
      </c>
      <c r="L29" s="128">
        <v>0.78900000000000003</v>
      </c>
      <c r="M29" s="128">
        <v>0.82599999999999996</v>
      </c>
      <c r="N29" s="128">
        <v>0.86699999999999999</v>
      </c>
      <c r="O29" s="128">
        <v>0.91100000000000003</v>
      </c>
      <c r="P29" s="128">
        <v>0.95899999999999996</v>
      </c>
      <c r="Q29" s="128"/>
    </row>
    <row r="30" spans="1:17" x14ac:dyDescent="0.25">
      <c r="A30" s="104">
        <v>3</v>
      </c>
      <c r="B30" s="128">
        <v>0.53300000000000003</v>
      </c>
      <c r="C30" s="128">
        <v>0.55200000000000005</v>
      </c>
      <c r="D30" s="128">
        <v>0.57099999999999995</v>
      </c>
      <c r="E30" s="128">
        <v>0.59099999999999997</v>
      </c>
      <c r="F30" s="128">
        <v>0.61399999999999999</v>
      </c>
      <c r="G30" s="128">
        <v>0.63900000000000001</v>
      </c>
      <c r="H30" s="128">
        <v>0.66500000000000004</v>
      </c>
      <c r="I30" s="128">
        <v>0.69299999999999995</v>
      </c>
      <c r="J30" s="128">
        <v>0.72299999999999998</v>
      </c>
      <c r="K30" s="128">
        <v>0.75600000000000001</v>
      </c>
      <c r="L30" s="128">
        <v>0.79200000000000004</v>
      </c>
      <c r="M30" s="128">
        <v>0.83</v>
      </c>
      <c r="N30" s="128">
        <v>0.871</v>
      </c>
      <c r="O30" s="128">
        <v>0.91500000000000004</v>
      </c>
      <c r="P30" s="128">
        <v>0.96299999999999997</v>
      </c>
      <c r="Q30" s="128"/>
    </row>
    <row r="31" spans="1:17" x14ac:dyDescent="0.25">
      <c r="A31" s="104">
        <v>4</v>
      </c>
      <c r="B31" s="128">
        <v>0.53500000000000003</v>
      </c>
      <c r="C31" s="128">
        <v>0.55300000000000005</v>
      </c>
      <c r="D31" s="128">
        <v>0.57299999999999995</v>
      </c>
      <c r="E31" s="128">
        <v>0.59299999999999997</v>
      </c>
      <c r="F31" s="128">
        <v>0.61599999999999999</v>
      </c>
      <c r="G31" s="128">
        <v>0.64100000000000001</v>
      </c>
      <c r="H31" s="128">
        <v>0.66800000000000004</v>
      </c>
      <c r="I31" s="128">
        <v>0.69599999999999995</v>
      </c>
      <c r="J31" s="128">
        <v>0.72599999999999998</v>
      </c>
      <c r="K31" s="128">
        <v>0.75900000000000001</v>
      </c>
      <c r="L31" s="128">
        <v>0.79500000000000004</v>
      </c>
      <c r="M31" s="128">
        <v>0.83299999999999996</v>
      </c>
      <c r="N31" s="128">
        <v>0.874</v>
      </c>
      <c r="O31" s="128">
        <v>0.91900000000000004</v>
      </c>
      <c r="P31" s="128">
        <v>0.96799999999999997</v>
      </c>
      <c r="Q31" s="128"/>
    </row>
    <row r="32" spans="1:17" x14ac:dyDescent="0.25">
      <c r="A32" s="104">
        <v>5</v>
      </c>
      <c r="B32" s="128">
        <v>0.53600000000000003</v>
      </c>
      <c r="C32" s="128">
        <v>0.55500000000000005</v>
      </c>
      <c r="D32" s="128">
        <v>0.57399999999999995</v>
      </c>
      <c r="E32" s="128">
        <v>0.59499999999999997</v>
      </c>
      <c r="F32" s="128">
        <v>0.61799999999999999</v>
      </c>
      <c r="G32" s="128">
        <v>0.64300000000000002</v>
      </c>
      <c r="H32" s="128">
        <v>0.67</v>
      </c>
      <c r="I32" s="128">
        <v>0.69799999999999995</v>
      </c>
      <c r="J32" s="128">
        <v>0.72899999999999998</v>
      </c>
      <c r="K32" s="128">
        <v>0.76200000000000001</v>
      </c>
      <c r="L32" s="128">
        <v>0.79800000000000004</v>
      </c>
      <c r="M32" s="128">
        <v>0.83599999999999997</v>
      </c>
      <c r="N32" s="128">
        <v>0.878</v>
      </c>
      <c r="O32" s="128">
        <v>0.92300000000000004</v>
      </c>
      <c r="P32" s="128">
        <v>0.97199999999999998</v>
      </c>
      <c r="Q32" s="128"/>
    </row>
    <row r="33" spans="1:17" x14ac:dyDescent="0.25">
      <c r="A33" s="104">
        <v>6</v>
      </c>
      <c r="B33" s="128">
        <v>0.53800000000000003</v>
      </c>
      <c r="C33" s="128">
        <v>0.55600000000000005</v>
      </c>
      <c r="D33" s="128">
        <v>0.57599999999999996</v>
      </c>
      <c r="E33" s="128">
        <v>0.59699999999999998</v>
      </c>
      <c r="F33" s="128">
        <v>0.62</v>
      </c>
      <c r="G33" s="128">
        <v>0.64500000000000002</v>
      </c>
      <c r="H33" s="128">
        <v>0.67200000000000004</v>
      </c>
      <c r="I33" s="128">
        <v>0.70099999999999996</v>
      </c>
      <c r="J33" s="128">
        <v>0.73099999999999998</v>
      </c>
      <c r="K33" s="128">
        <v>0.76500000000000001</v>
      </c>
      <c r="L33" s="128">
        <v>0.80100000000000005</v>
      </c>
      <c r="M33" s="128">
        <v>0.84</v>
      </c>
      <c r="N33" s="128">
        <v>0.88100000000000001</v>
      </c>
      <c r="O33" s="128">
        <v>0.92600000000000005</v>
      </c>
      <c r="P33" s="128">
        <v>0.97599999999999998</v>
      </c>
      <c r="Q33" s="128"/>
    </row>
    <row r="34" spans="1:17" x14ac:dyDescent="0.25">
      <c r="A34" s="104">
        <v>7</v>
      </c>
      <c r="B34" s="128">
        <v>0.53900000000000003</v>
      </c>
      <c r="C34" s="128">
        <v>0.55800000000000005</v>
      </c>
      <c r="D34" s="128">
        <v>0.57799999999999996</v>
      </c>
      <c r="E34" s="128">
        <v>0.59899999999999998</v>
      </c>
      <c r="F34" s="128">
        <v>0.622</v>
      </c>
      <c r="G34" s="128">
        <v>0.64700000000000002</v>
      </c>
      <c r="H34" s="128">
        <v>0.67500000000000004</v>
      </c>
      <c r="I34" s="128">
        <v>0.70299999999999996</v>
      </c>
      <c r="J34" s="128">
        <v>0.73399999999999999</v>
      </c>
      <c r="K34" s="128">
        <v>0.76800000000000002</v>
      </c>
      <c r="L34" s="128">
        <v>0.80400000000000005</v>
      </c>
      <c r="M34" s="128">
        <v>0.84299999999999997</v>
      </c>
      <c r="N34" s="128">
        <v>0.88500000000000001</v>
      </c>
      <c r="O34" s="128">
        <v>0.93</v>
      </c>
      <c r="P34" s="128">
        <v>0.98099999999999998</v>
      </c>
      <c r="Q34" s="128"/>
    </row>
    <row r="35" spans="1:17" x14ac:dyDescent="0.25">
      <c r="A35" s="104">
        <v>8</v>
      </c>
      <c r="B35" s="128">
        <v>0.54100000000000004</v>
      </c>
      <c r="C35" s="128">
        <v>0.55900000000000005</v>
      </c>
      <c r="D35" s="128">
        <v>0.57899999999999996</v>
      </c>
      <c r="E35" s="128">
        <v>0.60099999999999998</v>
      </c>
      <c r="F35" s="128">
        <v>0.624</v>
      </c>
      <c r="G35" s="128">
        <v>0.64900000000000002</v>
      </c>
      <c r="H35" s="128">
        <v>0.67700000000000005</v>
      </c>
      <c r="I35" s="128">
        <v>0.70599999999999996</v>
      </c>
      <c r="J35" s="128">
        <v>0.73699999999999999</v>
      </c>
      <c r="K35" s="128">
        <v>0.77100000000000002</v>
      </c>
      <c r="L35" s="128">
        <v>0.80700000000000005</v>
      </c>
      <c r="M35" s="128">
        <v>0.84599999999999997</v>
      </c>
      <c r="N35" s="128">
        <v>0.88800000000000001</v>
      </c>
      <c r="O35" s="128">
        <v>0.93400000000000005</v>
      </c>
      <c r="P35" s="128">
        <v>0.98499999999999999</v>
      </c>
      <c r="Q35" s="128"/>
    </row>
    <row r="36" spans="1:17" x14ac:dyDescent="0.25">
      <c r="A36" s="104">
        <v>9</v>
      </c>
      <c r="B36" s="128">
        <v>0.54200000000000004</v>
      </c>
      <c r="C36" s="128">
        <v>0.56100000000000005</v>
      </c>
      <c r="D36" s="128">
        <v>0.58099999999999996</v>
      </c>
      <c r="E36" s="128">
        <v>0.60199999999999998</v>
      </c>
      <c r="F36" s="128">
        <v>0.626</v>
      </c>
      <c r="G36" s="128">
        <v>0.65200000000000002</v>
      </c>
      <c r="H36" s="128">
        <v>0.67900000000000005</v>
      </c>
      <c r="I36" s="128">
        <v>0.70799999999999996</v>
      </c>
      <c r="J36" s="128">
        <v>0.73899999999999999</v>
      </c>
      <c r="K36" s="128">
        <v>0.77400000000000002</v>
      </c>
      <c r="L36" s="128">
        <v>0.81</v>
      </c>
      <c r="M36" s="128">
        <v>0.85</v>
      </c>
      <c r="N36" s="128">
        <v>0.89200000000000002</v>
      </c>
      <c r="O36" s="128">
        <v>0.93799999999999994</v>
      </c>
      <c r="P36" s="128">
        <v>0.98899999999999999</v>
      </c>
      <c r="Q36" s="128"/>
    </row>
    <row r="37" spans="1:17" x14ac:dyDescent="0.25">
      <c r="A37" s="104">
        <v>10</v>
      </c>
      <c r="B37" s="128">
        <v>0.54400000000000004</v>
      </c>
      <c r="C37" s="128">
        <v>0.56299999999999994</v>
      </c>
      <c r="D37" s="128">
        <v>0.58299999999999996</v>
      </c>
      <c r="E37" s="128">
        <v>0.60399999999999998</v>
      </c>
      <c r="F37" s="128">
        <v>0.628</v>
      </c>
      <c r="G37" s="128">
        <v>0.65400000000000003</v>
      </c>
      <c r="H37" s="128">
        <v>0.68200000000000005</v>
      </c>
      <c r="I37" s="128">
        <v>0.71</v>
      </c>
      <c r="J37" s="128">
        <v>0.74199999999999999</v>
      </c>
      <c r="K37" s="128">
        <v>0.77700000000000002</v>
      </c>
      <c r="L37" s="128">
        <v>0.81299999999999994</v>
      </c>
      <c r="M37" s="128">
        <v>0.85299999999999998</v>
      </c>
      <c r="N37" s="128">
        <v>0.89600000000000002</v>
      </c>
      <c r="O37" s="128">
        <v>0.94199999999999995</v>
      </c>
      <c r="P37" s="128">
        <v>0.99399999999999999</v>
      </c>
      <c r="Q37" s="128"/>
    </row>
    <row r="38" spans="1:17" x14ac:dyDescent="0.25">
      <c r="A38" s="104">
        <v>11</v>
      </c>
      <c r="B38" s="128">
        <v>0.54500000000000004</v>
      </c>
      <c r="C38" s="128">
        <v>0.56399999999999995</v>
      </c>
      <c r="D38" s="128">
        <v>0.58399999999999996</v>
      </c>
      <c r="E38" s="128">
        <v>0.60599999999999998</v>
      </c>
      <c r="F38" s="128">
        <v>0.63</v>
      </c>
      <c r="G38" s="128">
        <v>0.65600000000000003</v>
      </c>
      <c r="H38" s="128">
        <v>0.68400000000000005</v>
      </c>
      <c r="I38" s="128">
        <v>0.71299999999999997</v>
      </c>
      <c r="J38" s="128">
        <v>0.745</v>
      </c>
      <c r="K38" s="128">
        <v>0.78</v>
      </c>
      <c r="L38" s="128">
        <v>0.81599999999999995</v>
      </c>
      <c r="M38" s="128">
        <v>0.85599999999999998</v>
      </c>
      <c r="N38" s="128">
        <v>0.89900000000000002</v>
      </c>
      <c r="O38" s="128">
        <v>0.94599999999999995</v>
      </c>
      <c r="P38" s="128">
        <v>0.998</v>
      </c>
      <c r="Q38" s="128"/>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 customHeight="1" x14ac:dyDescent="0.25">
      <c r="A44"/>
      <c r="B44"/>
    </row>
    <row r="45" spans="1:17" x14ac:dyDescent="0.25">
      <c r="A45"/>
      <c r="B45"/>
    </row>
    <row r="46" spans="1:17" ht="27.6"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grCGRkZe4SnrbWeXsvY+6o1wblHlOJ5vhLxS/7uFFtMesZAOwvMHaEkHq+Phtc/+vbhFVN+RX/leieQTTm3ykQ==" saltValue="dF+1MA4gUx0qbh8I1BoAKA==" spinCount="100000" sheet="1" objects="1" scenarios="1"/>
  <conditionalFormatting sqref="A6:A21">
    <cfRule type="expression" dxfId="1023" priority="3" stopIfTrue="1">
      <formula>MOD(ROW(),2)=0</formula>
    </cfRule>
    <cfRule type="expression" dxfId="1022" priority="4" stopIfTrue="1">
      <formula>MOD(ROW(),2)&lt;&gt;0</formula>
    </cfRule>
  </conditionalFormatting>
  <conditionalFormatting sqref="A26:A38">
    <cfRule type="expression" dxfId="1021" priority="11" stopIfTrue="1">
      <formula>MOD(ROW(),2)=0</formula>
    </cfRule>
    <cfRule type="expression" dxfId="1020" priority="12" stopIfTrue="1">
      <formula>MOD(ROW(),2)&lt;&gt;0</formula>
    </cfRule>
  </conditionalFormatting>
  <conditionalFormatting sqref="B8">
    <cfRule type="expression" dxfId="1019" priority="1" stopIfTrue="1">
      <formula>MOD(ROW(),2)=0</formula>
    </cfRule>
    <cfRule type="expression" dxfId="1018" priority="2" stopIfTrue="1">
      <formula>MOD(ROW(),2)&lt;&gt;0</formula>
    </cfRule>
  </conditionalFormatting>
  <conditionalFormatting sqref="B18:B21">
    <cfRule type="expression" dxfId="1017" priority="7" stopIfTrue="1">
      <formula>MOD(ROW(),2)=0</formula>
    </cfRule>
    <cfRule type="expression" dxfId="1016" priority="8" stopIfTrue="1">
      <formula>MOD(ROW(),2)&lt;&gt;0</formula>
    </cfRule>
  </conditionalFormatting>
  <conditionalFormatting sqref="B6:Q6 C7:Q8 B9:Q17 C18:Q21">
    <cfRule type="expression" dxfId="1015" priority="31" stopIfTrue="1">
      <formula>MOD(ROW(),2)=0</formula>
    </cfRule>
    <cfRule type="expression" dxfId="1014" priority="32" stopIfTrue="1">
      <formula>MOD(ROW(),2)&lt;&gt;0</formula>
    </cfRule>
  </conditionalFormatting>
  <conditionalFormatting sqref="B6:Q21">
    <cfRule type="expression" dxfId="1013" priority="23" stopIfTrue="1">
      <formula>MOD(ROW(),2)=0</formula>
    </cfRule>
    <cfRule type="expression" dxfId="1012" priority="24" stopIfTrue="1">
      <formula>MOD(ROW(),2)&lt;&gt;0</formula>
    </cfRule>
  </conditionalFormatting>
  <conditionalFormatting sqref="B26:Q38">
    <cfRule type="expression" dxfId="1011" priority="13" stopIfTrue="1">
      <formula>MOD(ROW(),2)=0</formula>
    </cfRule>
    <cfRule type="expression" dxfId="1010" priority="14" stopIfTrue="1">
      <formula>MOD(ROW(),2)&lt;&gt;0</formula>
    </cfRule>
  </conditionalFormatting>
  <hyperlinks>
    <hyperlink ref="B24" location="Sheet1!A1" display="Assumptions" xr:uid="{33A3D349-F6D8-481B-A5F2-F3C8B356830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7"/>
  <dimension ref="A1:Q65"/>
  <sheetViews>
    <sheetView showGridLines="0" zoomScale="85" zoomScaleNormal="85" workbookViewId="0">
      <selection activeCell="A4" sqref="A4"/>
    </sheetView>
  </sheetViews>
  <sheetFormatPr defaultColWidth="10" defaultRowHeight="13.2" x14ac:dyDescent="0.25"/>
  <cols>
    <col min="1" max="1" width="31.5546875" style="27" customWidth="1"/>
    <col min="2" max="17" width="22.5546875" style="27" customWidth="1"/>
    <col min="18" max="16384" width="10" style="27"/>
  </cols>
  <sheetData>
    <row r="1" spans="1:17" ht="21" x14ac:dyDescent="0.4">
      <c r="A1" s="39" t="s">
        <v>0</v>
      </c>
      <c r="B1" s="40"/>
      <c r="C1" s="40"/>
      <c r="D1" s="40"/>
      <c r="E1" s="40"/>
      <c r="F1" s="40"/>
      <c r="G1" s="40"/>
      <c r="H1" s="40"/>
      <c r="I1" s="40"/>
    </row>
    <row r="2" spans="1:17"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7" ht="15.6" x14ac:dyDescent="0.3">
      <c r="A3" s="43" t="str">
        <f>TABLE_FACTOR_TYPE_1&amp;" - x-"&amp;TABLE_SERIES_NUMBER_1</f>
        <v>ERF - x-411</v>
      </c>
      <c r="B3" s="42"/>
      <c r="C3" s="42"/>
      <c r="D3" s="42"/>
      <c r="E3" s="42"/>
      <c r="F3" s="42"/>
      <c r="G3" s="42"/>
      <c r="H3" s="42"/>
      <c r="I3" s="42"/>
    </row>
    <row r="4" spans="1:17" x14ac:dyDescent="0.25">
      <c r="A4" s="44"/>
    </row>
    <row r="6" spans="1:17" x14ac:dyDescent="0.25">
      <c r="A6" s="76" t="s">
        <v>290</v>
      </c>
      <c r="B6" s="129" t="s">
        <v>291</v>
      </c>
      <c r="C6" s="129"/>
      <c r="D6" s="129"/>
      <c r="E6" s="129"/>
      <c r="F6" s="129"/>
      <c r="G6" s="129"/>
      <c r="H6" s="129"/>
      <c r="I6" s="129"/>
      <c r="J6" s="129"/>
      <c r="K6" s="129"/>
      <c r="L6" s="129"/>
      <c r="M6" s="129"/>
      <c r="N6" s="129"/>
      <c r="O6" s="129"/>
      <c r="P6" s="129"/>
      <c r="Q6" s="129"/>
    </row>
    <row r="7" spans="1:17" x14ac:dyDescent="0.25">
      <c r="A7" s="77" t="s">
        <v>804</v>
      </c>
      <c r="B7" s="129" t="s">
        <v>345</v>
      </c>
      <c r="C7" s="129"/>
      <c r="D7" s="129"/>
      <c r="E7" s="129"/>
      <c r="F7" s="129"/>
      <c r="G7" s="129"/>
      <c r="H7" s="129"/>
      <c r="I7" s="129"/>
      <c r="J7" s="129"/>
      <c r="K7" s="129"/>
      <c r="L7" s="129"/>
      <c r="M7" s="129"/>
      <c r="N7" s="129"/>
      <c r="O7" s="129"/>
      <c r="P7" s="129"/>
      <c r="Q7" s="129"/>
    </row>
    <row r="8" spans="1:17" x14ac:dyDescent="0.25">
      <c r="A8" s="77" t="s">
        <v>805</v>
      </c>
      <c r="B8" s="129" t="s">
        <v>86</v>
      </c>
      <c r="C8" s="129"/>
      <c r="D8" s="129"/>
      <c r="E8" s="129"/>
      <c r="F8" s="129"/>
      <c r="G8" s="129"/>
      <c r="H8" s="129"/>
      <c r="I8" s="129"/>
      <c r="J8" s="129"/>
      <c r="K8" s="129"/>
      <c r="L8" s="129"/>
      <c r="M8" s="129"/>
      <c r="N8" s="129"/>
      <c r="O8" s="129"/>
      <c r="P8" s="129"/>
      <c r="Q8" s="129"/>
    </row>
    <row r="9" spans="1:17" x14ac:dyDescent="0.25">
      <c r="A9" s="77" t="s">
        <v>296</v>
      </c>
      <c r="B9" s="129" t="s">
        <v>418</v>
      </c>
      <c r="C9" s="129"/>
      <c r="D9" s="129"/>
      <c r="E9" s="129"/>
      <c r="F9" s="129"/>
      <c r="G9" s="129"/>
      <c r="H9" s="129"/>
      <c r="I9" s="129"/>
      <c r="J9" s="129"/>
      <c r="K9" s="129"/>
      <c r="L9" s="129"/>
      <c r="M9" s="129"/>
      <c r="N9" s="129"/>
      <c r="O9" s="129"/>
      <c r="P9" s="129"/>
      <c r="Q9" s="129"/>
    </row>
    <row r="10" spans="1:17" x14ac:dyDescent="0.25">
      <c r="A10" s="77" t="s">
        <v>6</v>
      </c>
      <c r="B10" s="129" t="s">
        <v>454</v>
      </c>
      <c r="C10" s="129"/>
      <c r="D10" s="129"/>
      <c r="E10" s="129"/>
      <c r="F10" s="129"/>
      <c r="G10" s="129"/>
      <c r="H10" s="129"/>
      <c r="I10" s="129"/>
      <c r="J10" s="129"/>
      <c r="K10" s="129"/>
      <c r="L10" s="129"/>
      <c r="M10" s="129"/>
      <c r="N10" s="129"/>
      <c r="O10" s="129"/>
      <c r="P10" s="129"/>
      <c r="Q10" s="129"/>
    </row>
    <row r="11" spans="1:17" x14ac:dyDescent="0.25">
      <c r="A11" s="77" t="s">
        <v>299</v>
      </c>
      <c r="B11" s="129" t="s">
        <v>364</v>
      </c>
      <c r="C11" s="129"/>
      <c r="D11" s="129"/>
      <c r="E11" s="129"/>
      <c r="F11" s="129"/>
      <c r="G11" s="129"/>
      <c r="H11" s="129"/>
      <c r="I11" s="129"/>
      <c r="J11" s="129"/>
      <c r="K11" s="129"/>
      <c r="L11" s="129"/>
      <c r="M11" s="129"/>
      <c r="N11" s="129"/>
      <c r="O11" s="129"/>
      <c r="P11" s="129"/>
      <c r="Q11" s="129"/>
    </row>
    <row r="12" spans="1:17" x14ac:dyDescent="0.25">
      <c r="A12" s="77" t="s">
        <v>301</v>
      </c>
      <c r="B12" s="129" t="s">
        <v>436</v>
      </c>
      <c r="C12" s="129"/>
      <c r="D12" s="129"/>
      <c r="E12" s="129"/>
      <c r="F12" s="129"/>
      <c r="G12" s="129"/>
      <c r="H12" s="129"/>
      <c r="I12" s="129"/>
      <c r="J12" s="129"/>
      <c r="K12" s="129"/>
      <c r="L12" s="129"/>
      <c r="M12" s="129"/>
      <c r="N12" s="129"/>
      <c r="O12" s="129"/>
      <c r="P12" s="129"/>
      <c r="Q12" s="129"/>
    </row>
    <row r="13" spans="1:17" x14ac:dyDescent="0.25">
      <c r="A13" s="77" t="s">
        <v>806</v>
      </c>
      <c r="B13" s="129">
        <v>1</v>
      </c>
      <c r="C13" s="129"/>
      <c r="D13" s="129"/>
      <c r="E13" s="129"/>
      <c r="F13" s="129"/>
      <c r="G13" s="129"/>
      <c r="H13" s="129"/>
      <c r="I13" s="129"/>
      <c r="J13" s="129"/>
      <c r="K13" s="129"/>
      <c r="L13" s="129"/>
      <c r="M13" s="129"/>
      <c r="N13" s="129"/>
      <c r="O13" s="129"/>
      <c r="P13" s="129"/>
      <c r="Q13" s="129"/>
    </row>
    <row r="14" spans="1:17" x14ac:dyDescent="0.25">
      <c r="A14" s="77" t="s">
        <v>305</v>
      </c>
      <c r="B14" s="129">
        <v>411</v>
      </c>
      <c r="C14" s="129"/>
      <c r="D14" s="129"/>
      <c r="E14" s="129"/>
      <c r="F14" s="129"/>
      <c r="G14" s="129"/>
      <c r="H14" s="129"/>
      <c r="I14" s="129"/>
      <c r="J14" s="129"/>
      <c r="K14" s="129"/>
      <c r="L14" s="129"/>
      <c r="M14" s="129"/>
      <c r="N14" s="129"/>
      <c r="O14" s="129"/>
      <c r="P14" s="129"/>
      <c r="Q14" s="129"/>
    </row>
    <row r="15" spans="1:17" x14ac:dyDescent="0.25">
      <c r="A15" s="77" t="s">
        <v>307</v>
      </c>
      <c r="B15" s="129" t="s">
        <v>455</v>
      </c>
      <c r="C15" s="129"/>
      <c r="D15" s="129"/>
      <c r="E15" s="129"/>
      <c r="F15" s="129"/>
      <c r="G15" s="129"/>
      <c r="H15" s="129"/>
      <c r="I15" s="129"/>
      <c r="J15" s="129"/>
      <c r="K15" s="129"/>
      <c r="L15" s="129"/>
      <c r="M15" s="129"/>
      <c r="N15" s="129"/>
      <c r="O15" s="129"/>
      <c r="P15" s="129"/>
      <c r="Q15" s="129"/>
    </row>
    <row r="16" spans="1:17" x14ac:dyDescent="0.25">
      <c r="A16" s="77" t="s">
        <v>825</v>
      </c>
      <c r="B16" s="129" t="s">
        <v>456</v>
      </c>
      <c r="C16" s="129"/>
      <c r="D16" s="129"/>
      <c r="E16" s="129"/>
      <c r="F16" s="129"/>
      <c r="G16" s="129"/>
      <c r="H16" s="129"/>
      <c r="I16" s="129"/>
      <c r="J16" s="129"/>
      <c r="K16" s="129"/>
      <c r="L16" s="129"/>
      <c r="M16" s="129"/>
      <c r="N16" s="129"/>
      <c r="O16" s="129"/>
      <c r="P16" s="129"/>
      <c r="Q16" s="129"/>
    </row>
    <row r="17" spans="1:17" x14ac:dyDescent="0.25">
      <c r="A17" s="77" t="s">
        <v>803</v>
      </c>
      <c r="B17" s="129"/>
      <c r="C17" s="129"/>
      <c r="D17" s="129"/>
      <c r="E17" s="129"/>
      <c r="F17" s="129"/>
      <c r="G17" s="129"/>
      <c r="H17" s="129"/>
      <c r="I17" s="129"/>
      <c r="J17" s="129"/>
      <c r="K17" s="129"/>
      <c r="L17" s="129"/>
      <c r="M17" s="129"/>
      <c r="N17" s="129"/>
      <c r="O17" s="129"/>
      <c r="P17" s="129"/>
      <c r="Q17" s="129"/>
    </row>
    <row r="18" spans="1:17" x14ac:dyDescent="0.25">
      <c r="A18" s="77" t="s">
        <v>313</v>
      </c>
      <c r="B18" s="187">
        <v>45106</v>
      </c>
      <c r="C18" s="129"/>
      <c r="D18" s="129"/>
      <c r="E18" s="129"/>
      <c r="F18" s="129"/>
      <c r="G18" s="129"/>
      <c r="H18" s="129"/>
      <c r="I18" s="129"/>
      <c r="J18" s="129"/>
      <c r="K18" s="129"/>
      <c r="L18" s="129"/>
      <c r="M18" s="129"/>
      <c r="N18" s="129"/>
      <c r="O18" s="129"/>
      <c r="P18" s="129"/>
      <c r="Q18" s="129"/>
    </row>
    <row r="19" spans="1:17" x14ac:dyDescent="0.25">
      <c r="A19" s="77" t="s">
        <v>315</v>
      </c>
      <c r="B19" s="187"/>
      <c r="C19" s="129"/>
      <c r="D19" s="129"/>
      <c r="E19" s="129"/>
      <c r="F19" s="129"/>
      <c r="G19" s="129"/>
      <c r="H19" s="129"/>
      <c r="I19" s="129"/>
      <c r="J19" s="129"/>
      <c r="K19" s="129"/>
      <c r="L19" s="129"/>
      <c r="M19" s="129"/>
      <c r="N19" s="129"/>
      <c r="O19" s="129"/>
      <c r="P19" s="129"/>
      <c r="Q19" s="129"/>
    </row>
    <row r="20" spans="1:17" x14ac:dyDescent="0.25">
      <c r="A20" s="77" t="s">
        <v>317</v>
      </c>
      <c r="B20" s="129" t="s">
        <v>331</v>
      </c>
      <c r="C20" s="129"/>
      <c r="D20" s="129"/>
      <c r="E20" s="129"/>
      <c r="F20" s="129"/>
      <c r="G20" s="129"/>
      <c r="H20" s="129"/>
      <c r="I20" s="129"/>
      <c r="J20" s="129"/>
      <c r="K20" s="129"/>
      <c r="L20" s="129"/>
      <c r="M20" s="129"/>
      <c r="N20" s="129"/>
      <c r="O20" s="129"/>
      <c r="P20" s="129"/>
      <c r="Q20" s="129"/>
    </row>
    <row r="21" spans="1:17" x14ac:dyDescent="0.25">
      <c r="A21" s="77" t="s">
        <v>323</v>
      </c>
      <c r="B21" s="129" t="s">
        <v>332</v>
      </c>
      <c r="C21" s="129"/>
      <c r="D21" s="129"/>
      <c r="E21" s="129"/>
      <c r="F21" s="129"/>
      <c r="G21" s="129"/>
      <c r="H21" s="129"/>
      <c r="I21" s="129"/>
      <c r="J21" s="129"/>
      <c r="K21" s="129"/>
      <c r="L21" s="129"/>
      <c r="M21" s="129"/>
      <c r="N21" s="129"/>
      <c r="O21" s="129"/>
      <c r="P21" s="129"/>
      <c r="Q21" s="129"/>
    </row>
    <row r="23" spans="1:17" x14ac:dyDescent="0.25">
      <c r="B23" s="102" t="str">
        <f>HYPERLINK("#'Factor List'!A1","Back to Factor List")</f>
        <v>Back to Factor List</v>
      </c>
    </row>
    <row r="24" spans="1:17" x14ac:dyDescent="0.25">
      <c r="B24" s="102" t="s">
        <v>13</v>
      </c>
    </row>
    <row r="25" spans="1:17" x14ac:dyDescent="0.25">
      <c r="B25" s="102"/>
    </row>
    <row r="26" spans="1:17" x14ac:dyDescent="0.25">
      <c r="A26" s="103" t="s">
        <v>855</v>
      </c>
      <c r="B26" s="103">
        <v>50</v>
      </c>
      <c r="C26" s="103">
        <v>51</v>
      </c>
      <c r="D26" s="103">
        <v>52</v>
      </c>
      <c r="E26" s="103">
        <v>53</v>
      </c>
      <c r="F26" s="103">
        <v>54</v>
      </c>
      <c r="G26" s="103">
        <v>55</v>
      </c>
      <c r="H26" s="103">
        <v>56</v>
      </c>
      <c r="I26" s="103">
        <v>57</v>
      </c>
      <c r="J26" s="103">
        <v>58</v>
      </c>
      <c r="K26" s="103">
        <v>59</v>
      </c>
      <c r="L26" s="103">
        <v>60</v>
      </c>
      <c r="M26" s="103">
        <v>61</v>
      </c>
      <c r="N26" s="103">
        <v>62</v>
      </c>
      <c r="O26" s="103">
        <v>63</v>
      </c>
      <c r="P26" s="103">
        <v>64</v>
      </c>
      <c r="Q26" s="103">
        <v>65</v>
      </c>
    </row>
    <row r="27" spans="1:17" x14ac:dyDescent="0.25">
      <c r="A27" s="104">
        <v>0</v>
      </c>
      <c r="B27" s="128">
        <v>0.77800000000000002</v>
      </c>
      <c r="C27" s="128">
        <v>0.79100000000000004</v>
      </c>
      <c r="D27" s="128">
        <v>0.80400000000000005</v>
      </c>
      <c r="E27" s="128">
        <v>0.81799999999999995</v>
      </c>
      <c r="F27" s="128">
        <v>0.83199999999999996</v>
      </c>
      <c r="G27" s="128">
        <v>0.84599999999999997</v>
      </c>
      <c r="H27" s="128">
        <v>0.86</v>
      </c>
      <c r="I27" s="128">
        <v>0.875</v>
      </c>
      <c r="J27" s="128">
        <v>0.89</v>
      </c>
      <c r="K27" s="128">
        <v>0.90500000000000003</v>
      </c>
      <c r="L27" s="128">
        <v>0.92</v>
      </c>
      <c r="M27" s="128">
        <v>0.93600000000000005</v>
      </c>
      <c r="N27" s="128">
        <v>0.95199999999999996</v>
      </c>
      <c r="O27" s="128">
        <v>0.96799999999999997</v>
      </c>
      <c r="P27" s="128">
        <v>0.98399999999999999</v>
      </c>
      <c r="Q27" s="128">
        <v>1</v>
      </c>
    </row>
    <row r="28" spans="1:17" x14ac:dyDescent="0.25">
      <c r="A28" s="104">
        <v>1</v>
      </c>
      <c r="B28" s="128">
        <v>0.77900000000000003</v>
      </c>
      <c r="C28" s="128">
        <v>0.79200000000000004</v>
      </c>
      <c r="D28" s="128">
        <v>0.80500000000000005</v>
      </c>
      <c r="E28" s="128">
        <v>0.81899999999999995</v>
      </c>
      <c r="F28" s="128">
        <v>0.83299999999999996</v>
      </c>
      <c r="G28" s="128">
        <v>0.84699999999999998</v>
      </c>
      <c r="H28" s="128">
        <v>0.86099999999999999</v>
      </c>
      <c r="I28" s="128">
        <v>0.876</v>
      </c>
      <c r="J28" s="128">
        <v>0.89100000000000001</v>
      </c>
      <c r="K28" s="128">
        <v>0.90600000000000003</v>
      </c>
      <c r="L28" s="128">
        <v>0.92100000000000004</v>
      </c>
      <c r="M28" s="128">
        <v>0.93700000000000006</v>
      </c>
      <c r="N28" s="128">
        <v>0.95299999999999996</v>
      </c>
      <c r="O28" s="128">
        <v>0.96899999999999997</v>
      </c>
      <c r="P28" s="128">
        <v>0.98499999999999999</v>
      </c>
      <c r="Q28" s="128"/>
    </row>
    <row r="29" spans="1:17" x14ac:dyDescent="0.25">
      <c r="A29" s="104">
        <v>2</v>
      </c>
      <c r="B29" s="128">
        <v>0.78</v>
      </c>
      <c r="C29" s="128">
        <v>0.79300000000000004</v>
      </c>
      <c r="D29" s="128">
        <v>0.80600000000000005</v>
      </c>
      <c r="E29" s="128">
        <v>0.82</v>
      </c>
      <c r="F29" s="128">
        <v>0.83399999999999996</v>
      </c>
      <c r="G29" s="128">
        <v>0.84799999999999998</v>
      </c>
      <c r="H29" s="128">
        <v>0.86199999999999999</v>
      </c>
      <c r="I29" s="128">
        <v>0.877</v>
      </c>
      <c r="J29" s="128">
        <v>0.89200000000000002</v>
      </c>
      <c r="K29" s="128">
        <v>0.90700000000000003</v>
      </c>
      <c r="L29" s="128">
        <v>0.92200000000000004</v>
      </c>
      <c r="M29" s="128">
        <v>0.93799999999999994</v>
      </c>
      <c r="N29" s="128">
        <v>0.95399999999999996</v>
      </c>
      <c r="O29" s="128">
        <v>0.97</v>
      </c>
      <c r="P29" s="128">
        <v>0.98699999999999999</v>
      </c>
      <c r="Q29" s="128"/>
    </row>
    <row r="30" spans="1:17" x14ac:dyDescent="0.25">
      <c r="A30" s="104">
        <v>3</v>
      </c>
      <c r="B30" s="128">
        <v>0.78100000000000003</v>
      </c>
      <c r="C30" s="128">
        <v>0.79400000000000004</v>
      </c>
      <c r="D30" s="128">
        <v>0.80700000000000005</v>
      </c>
      <c r="E30" s="128">
        <v>0.82099999999999995</v>
      </c>
      <c r="F30" s="128">
        <v>0.83499999999999996</v>
      </c>
      <c r="G30" s="128">
        <v>0.84899999999999998</v>
      </c>
      <c r="H30" s="128">
        <v>0.86299999999999999</v>
      </c>
      <c r="I30" s="128">
        <v>0.878</v>
      </c>
      <c r="J30" s="128">
        <v>0.89300000000000002</v>
      </c>
      <c r="K30" s="128">
        <v>0.90800000000000003</v>
      </c>
      <c r="L30" s="128">
        <v>0.92400000000000004</v>
      </c>
      <c r="M30" s="128">
        <v>0.94</v>
      </c>
      <c r="N30" s="128">
        <v>0.95599999999999996</v>
      </c>
      <c r="O30" s="128">
        <v>0.97199999999999998</v>
      </c>
      <c r="P30" s="128">
        <v>0.98799999999999999</v>
      </c>
      <c r="Q30" s="128"/>
    </row>
    <row r="31" spans="1:17" x14ac:dyDescent="0.25">
      <c r="A31" s="104">
        <v>4</v>
      </c>
      <c r="B31" s="128">
        <v>0.78200000000000003</v>
      </c>
      <c r="C31" s="128">
        <v>0.79500000000000004</v>
      </c>
      <c r="D31" s="128">
        <v>0.80800000000000005</v>
      </c>
      <c r="E31" s="128">
        <v>0.82199999999999995</v>
      </c>
      <c r="F31" s="128">
        <v>0.83599999999999997</v>
      </c>
      <c r="G31" s="128">
        <v>0.85</v>
      </c>
      <c r="H31" s="128">
        <v>0.86499999999999999</v>
      </c>
      <c r="I31" s="128">
        <v>0.88</v>
      </c>
      <c r="J31" s="128">
        <v>0.89500000000000002</v>
      </c>
      <c r="K31" s="128">
        <v>0.91</v>
      </c>
      <c r="L31" s="128">
        <v>0.92500000000000004</v>
      </c>
      <c r="M31" s="128">
        <v>0.94099999999999995</v>
      </c>
      <c r="N31" s="128">
        <v>0.95699999999999996</v>
      </c>
      <c r="O31" s="128">
        <v>0.97299999999999998</v>
      </c>
      <c r="P31" s="128">
        <v>0.98899999999999999</v>
      </c>
      <c r="Q31" s="128"/>
    </row>
    <row r="32" spans="1:17" x14ac:dyDescent="0.25">
      <c r="A32" s="104">
        <v>5</v>
      </c>
      <c r="B32" s="128">
        <v>0.78300000000000003</v>
      </c>
      <c r="C32" s="128">
        <v>0.79600000000000004</v>
      </c>
      <c r="D32" s="128">
        <v>0.80900000000000005</v>
      </c>
      <c r="E32" s="128">
        <v>0.82299999999999995</v>
      </c>
      <c r="F32" s="128">
        <v>0.83699999999999997</v>
      </c>
      <c r="G32" s="128">
        <v>0.85099999999999998</v>
      </c>
      <c r="H32" s="128">
        <v>0.86599999999999999</v>
      </c>
      <c r="I32" s="128">
        <v>0.88100000000000001</v>
      </c>
      <c r="J32" s="128">
        <v>0.89600000000000002</v>
      </c>
      <c r="K32" s="128">
        <v>0.91100000000000003</v>
      </c>
      <c r="L32" s="128">
        <v>0.92600000000000005</v>
      </c>
      <c r="M32" s="128">
        <v>0.94199999999999995</v>
      </c>
      <c r="N32" s="128">
        <v>0.95799999999999996</v>
      </c>
      <c r="O32" s="128">
        <v>0.97399999999999998</v>
      </c>
      <c r="P32" s="128">
        <v>0.99099999999999999</v>
      </c>
      <c r="Q32" s="128"/>
    </row>
    <row r="33" spans="1:17" x14ac:dyDescent="0.25">
      <c r="A33" s="104">
        <v>6</v>
      </c>
      <c r="B33" s="128">
        <v>0.78400000000000003</v>
      </c>
      <c r="C33" s="128">
        <v>0.79700000000000004</v>
      </c>
      <c r="D33" s="128">
        <v>0.81100000000000005</v>
      </c>
      <c r="E33" s="128">
        <v>0.82499999999999996</v>
      </c>
      <c r="F33" s="128">
        <v>0.83899999999999997</v>
      </c>
      <c r="G33" s="128">
        <v>0.85299999999999998</v>
      </c>
      <c r="H33" s="128">
        <v>0.86699999999999999</v>
      </c>
      <c r="I33" s="128">
        <v>0.88200000000000001</v>
      </c>
      <c r="J33" s="128">
        <v>0.89700000000000002</v>
      </c>
      <c r="K33" s="128">
        <v>0.91200000000000003</v>
      </c>
      <c r="L33" s="128">
        <v>0.92800000000000005</v>
      </c>
      <c r="M33" s="128">
        <v>0.94399999999999995</v>
      </c>
      <c r="N33" s="128">
        <v>0.96</v>
      </c>
      <c r="O33" s="128">
        <v>0.97599999999999998</v>
      </c>
      <c r="P33" s="128">
        <v>0.99199999999999999</v>
      </c>
      <c r="Q33" s="128"/>
    </row>
    <row r="34" spans="1:17" x14ac:dyDescent="0.25">
      <c r="A34" s="104">
        <v>7</v>
      </c>
      <c r="B34" s="128">
        <v>0.78500000000000003</v>
      </c>
      <c r="C34" s="128">
        <v>0.79800000000000004</v>
      </c>
      <c r="D34" s="128">
        <v>0.81200000000000006</v>
      </c>
      <c r="E34" s="128">
        <v>0.82599999999999996</v>
      </c>
      <c r="F34" s="128">
        <v>0.84</v>
      </c>
      <c r="G34" s="128">
        <v>0.85399999999999998</v>
      </c>
      <c r="H34" s="128">
        <v>0.86799999999999999</v>
      </c>
      <c r="I34" s="128">
        <v>0.88300000000000001</v>
      </c>
      <c r="J34" s="128">
        <v>0.89800000000000002</v>
      </c>
      <c r="K34" s="128">
        <v>0.91300000000000003</v>
      </c>
      <c r="L34" s="128">
        <v>0.92900000000000005</v>
      </c>
      <c r="M34" s="128">
        <v>0.94499999999999995</v>
      </c>
      <c r="N34" s="128">
        <v>0.96099999999999997</v>
      </c>
      <c r="O34" s="128">
        <v>0.97699999999999998</v>
      </c>
      <c r="P34" s="128">
        <v>0.99399999999999999</v>
      </c>
      <c r="Q34" s="128"/>
    </row>
    <row r="35" spans="1:17" x14ac:dyDescent="0.25">
      <c r="A35" s="104">
        <v>8</v>
      </c>
      <c r="B35" s="128">
        <v>0.78600000000000003</v>
      </c>
      <c r="C35" s="128">
        <v>0.79900000000000004</v>
      </c>
      <c r="D35" s="128">
        <v>0.81299999999999994</v>
      </c>
      <c r="E35" s="128">
        <v>0.82699999999999996</v>
      </c>
      <c r="F35" s="128">
        <v>0.84099999999999997</v>
      </c>
      <c r="G35" s="128">
        <v>0.85499999999999998</v>
      </c>
      <c r="H35" s="128">
        <v>0.87</v>
      </c>
      <c r="I35" s="128">
        <v>0.88500000000000001</v>
      </c>
      <c r="J35" s="128">
        <v>0.9</v>
      </c>
      <c r="K35" s="128">
        <v>0.91500000000000004</v>
      </c>
      <c r="L35" s="128">
        <v>0.93</v>
      </c>
      <c r="M35" s="128">
        <v>0.94599999999999995</v>
      </c>
      <c r="N35" s="128">
        <v>0.96199999999999997</v>
      </c>
      <c r="O35" s="128">
        <v>0.97799999999999998</v>
      </c>
      <c r="P35" s="128">
        <v>0.995</v>
      </c>
      <c r="Q35" s="128"/>
    </row>
    <row r="36" spans="1:17" x14ac:dyDescent="0.25">
      <c r="A36" s="104">
        <v>9</v>
      </c>
      <c r="B36" s="128">
        <v>0.78700000000000003</v>
      </c>
      <c r="C36" s="128">
        <v>0.8</v>
      </c>
      <c r="D36" s="128">
        <v>0.81399999999999995</v>
      </c>
      <c r="E36" s="128">
        <v>0.82799999999999996</v>
      </c>
      <c r="F36" s="128">
        <v>0.84199999999999997</v>
      </c>
      <c r="G36" s="128">
        <v>0.85599999999999998</v>
      </c>
      <c r="H36" s="128">
        <v>0.871</v>
      </c>
      <c r="I36" s="128">
        <v>0.88600000000000001</v>
      </c>
      <c r="J36" s="128">
        <v>0.90100000000000002</v>
      </c>
      <c r="K36" s="128">
        <v>0.91600000000000004</v>
      </c>
      <c r="L36" s="128">
        <v>0.93200000000000005</v>
      </c>
      <c r="M36" s="128">
        <v>0.94799999999999995</v>
      </c>
      <c r="N36" s="128">
        <v>0.96399999999999997</v>
      </c>
      <c r="O36" s="128">
        <v>0.98</v>
      </c>
      <c r="P36" s="128">
        <v>0.996</v>
      </c>
      <c r="Q36" s="128"/>
    </row>
    <row r="37" spans="1:17" x14ac:dyDescent="0.25">
      <c r="A37" s="104">
        <v>10</v>
      </c>
      <c r="B37" s="128">
        <v>0.78800000000000003</v>
      </c>
      <c r="C37" s="128">
        <v>0.80100000000000005</v>
      </c>
      <c r="D37" s="128">
        <v>0.81499999999999995</v>
      </c>
      <c r="E37" s="128">
        <v>0.82899999999999996</v>
      </c>
      <c r="F37" s="128">
        <v>0.84299999999999997</v>
      </c>
      <c r="G37" s="128">
        <v>0.85699999999999998</v>
      </c>
      <c r="H37" s="128">
        <v>0.872</v>
      </c>
      <c r="I37" s="128">
        <v>0.88700000000000001</v>
      </c>
      <c r="J37" s="128">
        <v>0.90200000000000002</v>
      </c>
      <c r="K37" s="128">
        <v>0.91700000000000004</v>
      </c>
      <c r="L37" s="128">
        <v>0.93300000000000005</v>
      </c>
      <c r="M37" s="128">
        <v>0.94899999999999995</v>
      </c>
      <c r="N37" s="128">
        <v>0.96499999999999997</v>
      </c>
      <c r="O37" s="128">
        <v>0.98099999999999998</v>
      </c>
      <c r="P37" s="128">
        <v>0.998</v>
      </c>
      <c r="Q37" s="128"/>
    </row>
    <row r="38" spans="1:17" x14ac:dyDescent="0.25">
      <c r="A38" s="104">
        <v>11</v>
      </c>
      <c r="B38" s="128">
        <v>0.78900000000000003</v>
      </c>
      <c r="C38" s="128">
        <v>0.80200000000000005</v>
      </c>
      <c r="D38" s="128">
        <v>0.81599999999999995</v>
      </c>
      <c r="E38" s="128">
        <v>0.83</v>
      </c>
      <c r="F38" s="128">
        <v>0.84399999999999997</v>
      </c>
      <c r="G38" s="128">
        <v>0.85799999999999998</v>
      </c>
      <c r="H38" s="128">
        <v>0.873</v>
      </c>
      <c r="I38" s="128">
        <v>0.88800000000000001</v>
      </c>
      <c r="J38" s="128">
        <v>0.90300000000000002</v>
      </c>
      <c r="K38" s="128">
        <v>0.91800000000000004</v>
      </c>
      <c r="L38" s="128">
        <v>0.93400000000000005</v>
      </c>
      <c r="M38" s="128">
        <v>0.95</v>
      </c>
      <c r="N38" s="128">
        <v>0.96599999999999997</v>
      </c>
      <c r="O38" s="128">
        <v>0.98199999999999998</v>
      </c>
      <c r="P38" s="128">
        <v>0.999</v>
      </c>
      <c r="Q38" s="128"/>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 customHeight="1" x14ac:dyDescent="0.25">
      <c r="A44"/>
      <c r="B44"/>
    </row>
    <row r="45" spans="1:17" x14ac:dyDescent="0.25">
      <c r="A45"/>
      <c r="B45"/>
    </row>
    <row r="46" spans="1:17" ht="27.6"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xCc6ut1p7UIO4V+3Lh/kuIcNsFiqc0V/s9RsEhyWHzA6wsK+KiOcRcksL14qhkiow1/6+yFJaP6pe9OsQEJx4A==" saltValue="Dp2HirlbTqyipJCaty/EPA==" spinCount="100000" sheet="1" objects="1" scenarios="1"/>
  <phoneticPr fontId="4" type="noConversion"/>
  <conditionalFormatting sqref="A6:A21">
    <cfRule type="expression" dxfId="1009" priority="1" stopIfTrue="1">
      <formula>MOD(ROW(),2)=0</formula>
    </cfRule>
    <cfRule type="expression" dxfId="1008" priority="2" stopIfTrue="1">
      <formula>MOD(ROW(),2)&lt;&gt;0</formula>
    </cfRule>
  </conditionalFormatting>
  <conditionalFormatting sqref="A26:A38">
    <cfRule type="expression" dxfId="1007" priority="11" stopIfTrue="1">
      <formula>MOD(ROW(),2)=0</formula>
    </cfRule>
    <cfRule type="expression" dxfId="1006" priority="12" stopIfTrue="1">
      <formula>MOD(ROW(),2)&lt;&gt;0</formula>
    </cfRule>
  </conditionalFormatting>
  <conditionalFormatting sqref="B18:B21">
    <cfRule type="expression" dxfId="1005" priority="5" stopIfTrue="1">
      <formula>MOD(ROW(),2)=0</formula>
    </cfRule>
    <cfRule type="expression" dxfId="1004" priority="6" stopIfTrue="1">
      <formula>MOD(ROW(),2)&lt;&gt;0</formula>
    </cfRule>
  </conditionalFormatting>
  <conditionalFormatting sqref="B6:Q6 C7:Q7 B8:Q17 C18:Q21">
    <cfRule type="expression" dxfId="1003" priority="31" stopIfTrue="1">
      <formula>MOD(ROW(),2)=0</formula>
    </cfRule>
    <cfRule type="expression" dxfId="1002" priority="32" stopIfTrue="1">
      <formula>MOD(ROW(),2)&lt;&gt;0</formula>
    </cfRule>
  </conditionalFormatting>
  <conditionalFormatting sqref="B6:Q21">
    <cfRule type="expression" dxfId="1001" priority="23" stopIfTrue="1">
      <formula>MOD(ROW(),2)=0</formula>
    </cfRule>
    <cfRule type="expression" dxfId="1000" priority="24" stopIfTrue="1">
      <formula>MOD(ROW(),2)&lt;&gt;0</formula>
    </cfRule>
  </conditionalFormatting>
  <conditionalFormatting sqref="B26:Q38">
    <cfRule type="expression" dxfId="999" priority="13" stopIfTrue="1">
      <formula>MOD(ROW(),2)=0</formula>
    </cfRule>
    <cfRule type="expression" dxfId="998" priority="14" stopIfTrue="1">
      <formula>MOD(ROW(),2)&lt;&gt;0</formula>
    </cfRule>
  </conditionalFormatting>
  <hyperlinks>
    <hyperlink ref="B24" location="Sheet1!A1" display="Assumptions" xr:uid="{63D75FB7-E6F3-470A-9BE7-B3892731368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8"/>
  <dimension ref="A1:I65"/>
  <sheetViews>
    <sheetView showGridLines="0" zoomScale="85" zoomScaleNormal="85" workbookViewId="0">
      <selection activeCell="A4" sqref="A4"/>
    </sheetView>
  </sheetViews>
  <sheetFormatPr defaultColWidth="10" defaultRowHeight="13.2" x14ac:dyDescent="0.25"/>
  <cols>
    <col min="1" max="1" width="31.5546875" style="27" customWidth="1"/>
    <col min="2" max="7" width="22.5546875" style="27" customWidth="1"/>
    <col min="8"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ERF - x-412</v>
      </c>
      <c r="B3" s="42"/>
      <c r="C3" s="42"/>
      <c r="D3" s="42"/>
      <c r="E3" s="42"/>
      <c r="F3" s="42"/>
      <c r="G3" s="42"/>
      <c r="H3" s="42"/>
      <c r="I3" s="42"/>
    </row>
    <row r="4" spans="1:9" x14ac:dyDescent="0.25">
      <c r="A4" s="44"/>
    </row>
    <row r="6" spans="1:9" x14ac:dyDescent="0.25">
      <c r="A6" s="76" t="s">
        <v>290</v>
      </c>
      <c r="B6" s="129" t="s">
        <v>291</v>
      </c>
      <c r="C6" s="129"/>
      <c r="D6" s="129"/>
      <c r="E6" s="129"/>
      <c r="F6" s="129"/>
      <c r="G6" s="129"/>
    </row>
    <row r="7" spans="1:9" x14ac:dyDescent="0.25">
      <c r="A7" s="77" t="s">
        <v>804</v>
      </c>
      <c r="B7" s="129" t="s">
        <v>345</v>
      </c>
      <c r="C7" s="129"/>
      <c r="D7" s="129"/>
      <c r="E7" s="129"/>
      <c r="F7" s="129"/>
      <c r="G7" s="129"/>
    </row>
    <row r="8" spans="1:9" x14ac:dyDescent="0.25">
      <c r="A8" s="77" t="s">
        <v>805</v>
      </c>
      <c r="B8" s="129" t="s">
        <v>442</v>
      </c>
      <c r="C8" s="129"/>
      <c r="D8" s="129"/>
      <c r="E8" s="129"/>
      <c r="F8" s="129"/>
      <c r="G8" s="129"/>
    </row>
    <row r="9" spans="1:9" x14ac:dyDescent="0.25">
      <c r="A9" s="77" t="s">
        <v>296</v>
      </c>
      <c r="B9" s="129" t="s">
        <v>418</v>
      </c>
      <c r="C9" s="129"/>
      <c r="D9" s="129"/>
      <c r="E9" s="129"/>
      <c r="F9" s="129"/>
      <c r="G9" s="129"/>
    </row>
    <row r="10" spans="1:9" x14ac:dyDescent="0.25">
      <c r="A10" s="77" t="s">
        <v>6</v>
      </c>
      <c r="B10" s="129" t="s">
        <v>457</v>
      </c>
      <c r="C10" s="129"/>
      <c r="D10" s="129"/>
      <c r="E10" s="129"/>
      <c r="F10" s="129"/>
      <c r="G10" s="129"/>
    </row>
    <row r="11" spans="1:9" x14ac:dyDescent="0.25">
      <c r="A11" s="77" t="s">
        <v>299</v>
      </c>
      <c r="B11" s="129" t="s">
        <v>364</v>
      </c>
      <c r="C11" s="129"/>
      <c r="D11" s="129"/>
      <c r="E11" s="129"/>
      <c r="F11" s="129"/>
      <c r="G11" s="129"/>
    </row>
    <row r="12" spans="1:9" x14ac:dyDescent="0.25">
      <c r="A12" s="77" t="s">
        <v>301</v>
      </c>
      <c r="B12" s="129" t="s">
        <v>436</v>
      </c>
      <c r="C12" s="129"/>
      <c r="D12" s="129"/>
      <c r="E12" s="129"/>
      <c r="F12" s="129"/>
      <c r="G12" s="129"/>
    </row>
    <row r="13" spans="1:9" x14ac:dyDescent="0.25">
      <c r="A13" s="77" t="s">
        <v>806</v>
      </c>
      <c r="B13" s="129">
        <v>1</v>
      </c>
      <c r="C13" s="129"/>
      <c r="D13" s="129"/>
      <c r="E13" s="129"/>
      <c r="F13" s="129"/>
      <c r="G13" s="129"/>
    </row>
    <row r="14" spans="1:9" x14ac:dyDescent="0.25">
      <c r="A14" s="77" t="s">
        <v>305</v>
      </c>
      <c r="B14" s="129">
        <v>412</v>
      </c>
      <c r="C14" s="129"/>
      <c r="D14" s="129"/>
      <c r="E14" s="129"/>
      <c r="F14" s="129"/>
      <c r="G14" s="129"/>
    </row>
    <row r="15" spans="1:9" x14ac:dyDescent="0.25">
      <c r="A15" s="77" t="s">
        <v>307</v>
      </c>
      <c r="B15" s="129" t="s">
        <v>458</v>
      </c>
      <c r="C15" s="129"/>
      <c r="D15" s="129"/>
      <c r="E15" s="129"/>
      <c r="F15" s="129"/>
      <c r="G15" s="129"/>
    </row>
    <row r="16" spans="1:9" x14ac:dyDescent="0.25">
      <c r="A16" s="77" t="s">
        <v>825</v>
      </c>
      <c r="B16" s="129" t="s">
        <v>459</v>
      </c>
      <c r="C16" s="129"/>
      <c r="D16" s="129"/>
      <c r="E16" s="129"/>
      <c r="F16" s="129"/>
      <c r="G16" s="129"/>
    </row>
    <row r="17" spans="1:7" x14ac:dyDescent="0.25">
      <c r="A17" s="77" t="s">
        <v>803</v>
      </c>
      <c r="B17" s="129"/>
      <c r="C17" s="129"/>
      <c r="D17" s="129"/>
      <c r="E17" s="129"/>
      <c r="F17" s="129"/>
      <c r="G17" s="129"/>
    </row>
    <row r="18" spans="1:7" x14ac:dyDescent="0.25">
      <c r="A18" s="77" t="s">
        <v>313</v>
      </c>
      <c r="B18" s="187">
        <v>45106</v>
      </c>
      <c r="C18" s="129"/>
      <c r="D18" s="129"/>
      <c r="E18" s="129"/>
      <c r="F18" s="129"/>
      <c r="G18" s="129"/>
    </row>
    <row r="19" spans="1:7" x14ac:dyDescent="0.25">
      <c r="A19" s="77" t="s">
        <v>315</v>
      </c>
      <c r="B19" s="187"/>
      <c r="C19" s="129"/>
      <c r="D19" s="129"/>
      <c r="E19" s="129"/>
      <c r="F19" s="129"/>
      <c r="G19" s="129"/>
    </row>
    <row r="20" spans="1:7" x14ac:dyDescent="0.25">
      <c r="A20" s="77" t="s">
        <v>317</v>
      </c>
      <c r="B20" s="129" t="s">
        <v>331</v>
      </c>
      <c r="C20" s="129"/>
      <c r="D20" s="129"/>
      <c r="E20" s="129"/>
      <c r="F20" s="129"/>
      <c r="G20" s="129"/>
    </row>
    <row r="21" spans="1:7" x14ac:dyDescent="0.25">
      <c r="A21" s="77" t="s">
        <v>323</v>
      </c>
      <c r="B21" s="129" t="s">
        <v>332</v>
      </c>
      <c r="C21" s="129"/>
      <c r="D21" s="129"/>
      <c r="E21" s="129"/>
      <c r="F21" s="129"/>
      <c r="G21" s="129"/>
    </row>
    <row r="23" spans="1:7" x14ac:dyDescent="0.25">
      <c r="B23" s="102" t="str">
        <f>HYPERLINK("#'Factor List'!A1","Back to Factor List")</f>
        <v>Back to Factor List</v>
      </c>
    </row>
    <row r="24" spans="1:7" x14ac:dyDescent="0.25">
      <c r="B24" s="102" t="s">
        <v>13</v>
      </c>
    </row>
    <row r="25" spans="1:7" x14ac:dyDescent="0.25">
      <c r="B25" s="102"/>
    </row>
    <row r="26" spans="1:7" x14ac:dyDescent="0.25">
      <c r="A26" s="103" t="s">
        <v>855</v>
      </c>
      <c r="B26" s="103">
        <v>50</v>
      </c>
      <c r="C26" s="103">
        <v>51</v>
      </c>
      <c r="D26" s="103">
        <v>52</v>
      </c>
      <c r="E26" s="103">
        <v>53</v>
      </c>
      <c r="F26" s="103">
        <v>54</v>
      </c>
      <c r="G26" s="103">
        <v>55</v>
      </c>
    </row>
    <row r="27" spans="1:7" x14ac:dyDescent="0.25">
      <c r="A27" s="104">
        <v>0</v>
      </c>
      <c r="B27" s="128">
        <v>0.30599999999999999</v>
      </c>
      <c r="C27" s="128">
        <v>0.245</v>
      </c>
      <c r="D27" s="128">
        <v>0.183</v>
      </c>
      <c r="E27" s="128">
        <v>0.122</v>
      </c>
      <c r="F27" s="128">
        <v>0.06</v>
      </c>
      <c r="G27" s="128">
        <v>0</v>
      </c>
    </row>
    <row r="28" spans="1:7" x14ac:dyDescent="0.25">
      <c r="A28" s="104">
        <v>1</v>
      </c>
      <c r="B28" s="128">
        <v>0.30099999999999999</v>
      </c>
      <c r="C28" s="128">
        <v>0.24</v>
      </c>
      <c r="D28" s="128">
        <v>0.17799999999999999</v>
      </c>
      <c r="E28" s="128">
        <v>0.11700000000000001</v>
      </c>
      <c r="F28" s="128">
        <v>5.5E-2</v>
      </c>
      <c r="G28" s="128"/>
    </row>
    <row r="29" spans="1:7" x14ac:dyDescent="0.25">
      <c r="A29" s="104">
        <v>2</v>
      </c>
      <c r="B29" s="128">
        <v>0.29599999999999999</v>
      </c>
      <c r="C29" s="128">
        <v>0.23499999999999999</v>
      </c>
      <c r="D29" s="128">
        <v>0.17299999999999999</v>
      </c>
      <c r="E29" s="128">
        <v>0.112</v>
      </c>
      <c r="F29" s="128">
        <v>0.05</v>
      </c>
      <c r="G29" s="128"/>
    </row>
    <row r="30" spans="1:7" x14ac:dyDescent="0.25">
      <c r="A30" s="104">
        <v>3</v>
      </c>
      <c r="B30" s="128">
        <v>0.29099999999999998</v>
      </c>
      <c r="C30" s="128">
        <v>0.23</v>
      </c>
      <c r="D30" s="128">
        <v>0.16800000000000001</v>
      </c>
      <c r="E30" s="128">
        <v>0.107</v>
      </c>
      <c r="F30" s="128">
        <v>4.4999999999999998E-2</v>
      </c>
      <c r="G30" s="128"/>
    </row>
    <row r="31" spans="1:7" x14ac:dyDescent="0.25">
      <c r="A31" s="104">
        <v>4</v>
      </c>
      <c r="B31" s="128">
        <v>0.28599999999999998</v>
      </c>
      <c r="C31" s="128">
        <v>0.22500000000000001</v>
      </c>
      <c r="D31" s="128">
        <v>0.16300000000000001</v>
      </c>
      <c r="E31" s="128">
        <v>0.10199999999999999</v>
      </c>
      <c r="F31" s="128">
        <v>3.9E-2</v>
      </c>
      <c r="G31" s="128"/>
    </row>
    <row r="32" spans="1:7" x14ac:dyDescent="0.25">
      <c r="A32" s="104">
        <v>5</v>
      </c>
      <c r="B32" s="128">
        <v>0.28100000000000003</v>
      </c>
      <c r="C32" s="128">
        <v>0.22</v>
      </c>
      <c r="D32" s="128">
        <v>0.158</v>
      </c>
      <c r="E32" s="128">
        <v>9.7000000000000003E-2</v>
      </c>
      <c r="F32" s="128">
        <v>3.4000000000000002E-2</v>
      </c>
      <c r="G32" s="128"/>
    </row>
    <row r="33" spans="1:7" x14ac:dyDescent="0.25">
      <c r="A33" s="104">
        <v>6</v>
      </c>
      <c r="B33" s="128">
        <v>0.27600000000000002</v>
      </c>
      <c r="C33" s="128">
        <v>0.214</v>
      </c>
      <c r="D33" s="128">
        <v>0.153</v>
      </c>
      <c r="E33" s="128">
        <v>9.0999999999999998E-2</v>
      </c>
      <c r="F33" s="128">
        <v>2.9000000000000001E-2</v>
      </c>
      <c r="G33" s="128"/>
    </row>
    <row r="34" spans="1:7" x14ac:dyDescent="0.25">
      <c r="A34" s="104">
        <v>7</v>
      </c>
      <c r="B34" s="128">
        <v>0.27100000000000002</v>
      </c>
      <c r="C34" s="128">
        <v>0.20899999999999999</v>
      </c>
      <c r="D34" s="128">
        <v>0.14799999999999999</v>
      </c>
      <c r="E34" s="128">
        <v>8.5999999999999993E-2</v>
      </c>
      <c r="F34" s="128">
        <v>2.4E-2</v>
      </c>
      <c r="G34" s="128"/>
    </row>
    <row r="35" spans="1:7" x14ac:dyDescent="0.25">
      <c r="A35" s="104">
        <v>8</v>
      </c>
      <c r="B35" s="128">
        <v>0.26600000000000001</v>
      </c>
      <c r="C35" s="128">
        <v>0.20399999999999999</v>
      </c>
      <c r="D35" s="128">
        <v>0.14299999999999999</v>
      </c>
      <c r="E35" s="128">
        <v>8.1000000000000003E-2</v>
      </c>
      <c r="F35" s="128">
        <v>1.7999999999999999E-2</v>
      </c>
      <c r="G35" s="128"/>
    </row>
    <row r="36" spans="1:7" x14ac:dyDescent="0.25">
      <c r="A36" s="104">
        <v>9</v>
      </c>
      <c r="B36" s="128">
        <v>0.26100000000000001</v>
      </c>
      <c r="C36" s="128">
        <v>0.19900000000000001</v>
      </c>
      <c r="D36" s="128">
        <v>0.13800000000000001</v>
      </c>
      <c r="E36" s="128">
        <v>7.5999999999999998E-2</v>
      </c>
      <c r="F36" s="128">
        <v>1.2999999999999999E-2</v>
      </c>
      <c r="G36" s="128"/>
    </row>
    <row r="37" spans="1:7" x14ac:dyDescent="0.25">
      <c r="A37" s="104">
        <v>10</v>
      </c>
      <c r="B37" s="128">
        <v>0.25600000000000001</v>
      </c>
      <c r="C37" s="128">
        <v>0.19400000000000001</v>
      </c>
      <c r="D37" s="128">
        <v>0.13300000000000001</v>
      </c>
      <c r="E37" s="128">
        <v>7.0999999999999994E-2</v>
      </c>
      <c r="F37" s="128">
        <v>8.0000000000000002E-3</v>
      </c>
      <c r="G37" s="128"/>
    </row>
    <row r="38" spans="1:7" x14ac:dyDescent="0.25">
      <c r="A38" s="104">
        <v>11</v>
      </c>
      <c r="B38" s="128">
        <v>0.251</v>
      </c>
      <c r="C38" s="128">
        <v>0.189</v>
      </c>
      <c r="D38" s="128">
        <v>0.128</v>
      </c>
      <c r="E38" s="128">
        <v>6.6000000000000003E-2</v>
      </c>
      <c r="F38" s="128">
        <v>3.0000000000000001E-3</v>
      </c>
      <c r="G38" s="128"/>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 customHeight="1" x14ac:dyDescent="0.25">
      <c r="A44"/>
      <c r="B44"/>
    </row>
    <row r="45" spans="1:7" x14ac:dyDescent="0.25">
      <c r="A45"/>
      <c r="B45"/>
    </row>
    <row r="46" spans="1:7" ht="27.6"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iR3YieM9c+l5SgkYlZyFO+mxux9zhPhEbMspIj2I2XyWyUDo2167IGZPjU0yJqKJMpPd1hRnxTtFjfyZYLCoDQ==" saltValue="5/oE5pxPI0pwhv0hmfLqcQ==" spinCount="100000" sheet="1" objects="1" scenarios="1"/>
  <conditionalFormatting sqref="A6:A21">
    <cfRule type="expression" dxfId="997" priority="3" stopIfTrue="1">
      <formula>MOD(ROW(),2)=0</formula>
    </cfRule>
    <cfRule type="expression" dxfId="996" priority="4" stopIfTrue="1">
      <formula>MOD(ROW(),2)&lt;&gt;0</formula>
    </cfRule>
  </conditionalFormatting>
  <conditionalFormatting sqref="A26:A38">
    <cfRule type="expression" dxfId="995" priority="11" stopIfTrue="1">
      <formula>MOD(ROW(),2)=0</formula>
    </cfRule>
    <cfRule type="expression" dxfId="994" priority="12" stopIfTrue="1">
      <formula>MOD(ROW(),2)&lt;&gt;0</formula>
    </cfRule>
  </conditionalFormatting>
  <conditionalFormatting sqref="B8">
    <cfRule type="expression" dxfId="993" priority="1" stopIfTrue="1">
      <formula>MOD(ROW(),2)=0</formula>
    </cfRule>
    <cfRule type="expression" dxfId="992" priority="2" stopIfTrue="1">
      <formula>MOD(ROW(),2)&lt;&gt;0</formula>
    </cfRule>
  </conditionalFormatting>
  <conditionalFormatting sqref="B18:B21">
    <cfRule type="expression" dxfId="991" priority="7" stopIfTrue="1">
      <formula>MOD(ROW(),2)=0</formula>
    </cfRule>
    <cfRule type="expression" dxfId="990" priority="8" stopIfTrue="1">
      <formula>MOD(ROW(),2)&lt;&gt;0</formula>
    </cfRule>
  </conditionalFormatting>
  <conditionalFormatting sqref="B6:G6 C7:G8 B9:G17 C18:G21">
    <cfRule type="expression" dxfId="989" priority="31" stopIfTrue="1">
      <formula>MOD(ROW(),2)=0</formula>
    </cfRule>
    <cfRule type="expression" dxfId="988" priority="32" stopIfTrue="1">
      <formula>MOD(ROW(),2)&lt;&gt;0</formula>
    </cfRule>
  </conditionalFormatting>
  <conditionalFormatting sqref="B6:G21">
    <cfRule type="expression" dxfId="987" priority="23" stopIfTrue="1">
      <formula>MOD(ROW(),2)=0</formula>
    </cfRule>
    <cfRule type="expression" dxfId="986" priority="24" stopIfTrue="1">
      <formula>MOD(ROW(),2)&lt;&gt;0</formula>
    </cfRule>
  </conditionalFormatting>
  <conditionalFormatting sqref="B26:G38">
    <cfRule type="expression" dxfId="985" priority="13" stopIfTrue="1">
      <formula>MOD(ROW(),2)=0</formula>
    </cfRule>
    <cfRule type="expression" dxfId="984" priority="14" stopIfTrue="1">
      <formula>MOD(ROW(),2)&lt;&gt;0</formula>
    </cfRule>
  </conditionalFormatting>
  <hyperlinks>
    <hyperlink ref="B24" location="Sheet1!A1" display="Assumptions" xr:uid="{AD080030-E453-4D66-96EE-835CC6113A4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dimension ref="A1:P65"/>
  <sheetViews>
    <sheetView showGridLines="0" zoomScale="85" zoomScaleNormal="85" workbookViewId="0">
      <selection activeCell="K17" sqref="K17"/>
    </sheetView>
  </sheetViews>
  <sheetFormatPr defaultColWidth="10" defaultRowHeight="13.2" x14ac:dyDescent="0.25"/>
  <cols>
    <col min="1" max="1" width="31.5546875" style="27" customWidth="1"/>
    <col min="2" max="7" width="22.5546875" style="27" customWidth="1"/>
    <col min="8" max="9" width="10" style="27"/>
    <col min="10" max="10" width="31.5546875" style="27" customWidth="1"/>
    <col min="11" max="16" width="22.5546875" style="27" customWidth="1"/>
    <col min="17" max="16384" width="10" style="27"/>
  </cols>
  <sheetData>
    <row r="1" spans="1:16" ht="21" x14ac:dyDescent="0.4">
      <c r="A1" s="39" t="s">
        <v>0</v>
      </c>
      <c r="B1" s="40"/>
      <c r="C1" s="40"/>
      <c r="D1" s="40"/>
      <c r="E1" s="40"/>
      <c r="F1" s="40"/>
      <c r="G1" s="40"/>
      <c r="H1" s="40"/>
      <c r="I1" s="40"/>
    </row>
    <row r="2" spans="1:16"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6" ht="15.6" x14ac:dyDescent="0.3">
      <c r="A3" s="43" t="str">
        <f>TABLE_FACTOR_TYPE_1&amp;" - x-"&amp;TABLE_SERIES_NUMBER_1</f>
        <v>ERF - x-413</v>
      </c>
      <c r="B3" s="42"/>
      <c r="C3" s="42"/>
      <c r="D3" s="42"/>
      <c r="E3" s="42"/>
      <c r="F3" s="42"/>
      <c r="G3" s="42"/>
      <c r="H3" s="42"/>
      <c r="I3" s="42"/>
    </row>
    <row r="4" spans="1:16" x14ac:dyDescent="0.25">
      <c r="A4" s="44"/>
    </row>
    <row r="6" spans="1:16" x14ac:dyDescent="0.25">
      <c r="A6" s="76" t="s">
        <v>290</v>
      </c>
      <c r="B6" s="129" t="s">
        <v>291</v>
      </c>
      <c r="C6" s="129"/>
      <c r="D6" s="129"/>
      <c r="E6" s="129"/>
      <c r="F6" s="129"/>
      <c r="G6" s="129"/>
      <c r="J6" s="76" t="s">
        <v>290</v>
      </c>
      <c r="K6" s="129" t="s">
        <v>291</v>
      </c>
      <c r="L6" s="129"/>
      <c r="M6" s="129"/>
      <c r="N6" s="129"/>
      <c r="O6" s="129"/>
      <c r="P6" s="129"/>
    </row>
    <row r="7" spans="1:16" x14ac:dyDescent="0.25">
      <c r="A7" s="77" t="s">
        <v>804</v>
      </c>
      <c r="B7" s="129" t="s">
        <v>345</v>
      </c>
      <c r="C7" s="129"/>
      <c r="D7" s="129"/>
      <c r="E7" s="129"/>
      <c r="F7" s="129"/>
      <c r="G7" s="129"/>
      <c r="J7" s="77" t="s">
        <v>804</v>
      </c>
      <c r="K7" s="129" t="s">
        <v>345</v>
      </c>
      <c r="L7" s="129"/>
      <c r="M7" s="129"/>
      <c r="N7" s="129"/>
      <c r="O7" s="129"/>
      <c r="P7" s="129"/>
    </row>
    <row r="8" spans="1:16" x14ac:dyDescent="0.25">
      <c r="A8" s="77" t="s">
        <v>805</v>
      </c>
      <c r="B8" s="129" t="s">
        <v>86</v>
      </c>
      <c r="C8" s="129"/>
      <c r="D8" s="129"/>
      <c r="E8" s="129"/>
      <c r="F8" s="129"/>
      <c r="G8" s="129"/>
      <c r="J8" s="77" t="s">
        <v>805</v>
      </c>
      <c r="K8" s="129" t="s">
        <v>86</v>
      </c>
      <c r="L8" s="129"/>
      <c r="M8" s="129"/>
      <c r="N8" s="129"/>
      <c r="O8" s="129"/>
      <c r="P8" s="129"/>
    </row>
    <row r="9" spans="1:16" x14ac:dyDescent="0.25">
      <c r="A9" s="77" t="s">
        <v>296</v>
      </c>
      <c r="B9" s="129" t="s">
        <v>418</v>
      </c>
      <c r="C9" s="129"/>
      <c r="D9" s="129"/>
      <c r="E9" s="129"/>
      <c r="F9" s="129"/>
      <c r="G9" s="129"/>
      <c r="J9" s="77" t="s">
        <v>296</v>
      </c>
      <c r="K9" s="129" t="s">
        <v>418</v>
      </c>
      <c r="L9" s="129"/>
      <c r="M9" s="129"/>
      <c r="N9" s="129"/>
      <c r="O9" s="129"/>
      <c r="P9" s="129"/>
    </row>
    <row r="10" spans="1:16" x14ac:dyDescent="0.25">
      <c r="A10" s="77" t="s">
        <v>6</v>
      </c>
      <c r="B10" s="129" t="s">
        <v>460</v>
      </c>
      <c r="C10" s="129"/>
      <c r="D10" s="129"/>
      <c r="E10" s="129"/>
      <c r="F10" s="129"/>
      <c r="G10" s="129"/>
      <c r="J10" s="77" t="s">
        <v>6</v>
      </c>
      <c r="K10" s="129" t="s">
        <v>460</v>
      </c>
      <c r="L10" s="129"/>
      <c r="M10" s="129"/>
      <c r="N10" s="129"/>
      <c r="O10" s="129"/>
      <c r="P10" s="129"/>
    </row>
    <row r="11" spans="1:16" x14ac:dyDescent="0.25">
      <c r="A11" s="77" t="s">
        <v>299</v>
      </c>
      <c r="B11" s="129" t="s">
        <v>364</v>
      </c>
      <c r="C11" s="129"/>
      <c r="D11" s="129"/>
      <c r="E11" s="129"/>
      <c r="F11" s="129"/>
      <c r="G11" s="129"/>
      <c r="J11" s="77" t="s">
        <v>299</v>
      </c>
      <c r="K11" s="129" t="s">
        <v>364</v>
      </c>
      <c r="L11" s="129"/>
      <c r="M11" s="129"/>
      <c r="N11" s="129"/>
      <c r="O11" s="129"/>
      <c r="P11" s="129"/>
    </row>
    <row r="12" spans="1:16" x14ac:dyDescent="0.25">
      <c r="A12" s="77" t="s">
        <v>301</v>
      </c>
      <c r="B12" s="129" t="s">
        <v>436</v>
      </c>
      <c r="C12" s="129"/>
      <c r="D12" s="129"/>
      <c r="E12" s="129"/>
      <c r="F12" s="129"/>
      <c r="G12" s="129"/>
      <c r="J12" s="77" t="s">
        <v>301</v>
      </c>
      <c r="K12" s="129" t="s">
        <v>436</v>
      </c>
      <c r="L12" s="129"/>
      <c r="M12" s="129"/>
      <c r="N12" s="129"/>
      <c r="O12" s="129"/>
      <c r="P12" s="129"/>
    </row>
    <row r="13" spans="1:16" x14ac:dyDescent="0.25">
      <c r="A13" s="77" t="s">
        <v>806</v>
      </c>
      <c r="B13" s="129">
        <v>1</v>
      </c>
      <c r="C13" s="129"/>
      <c r="D13" s="129"/>
      <c r="E13" s="129"/>
      <c r="F13" s="129"/>
      <c r="G13" s="129"/>
      <c r="J13" s="77" t="s">
        <v>806</v>
      </c>
      <c r="K13" s="129">
        <v>1</v>
      </c>
      <c r="L13" s="129"/>
      <c r="M13" s="129"/>
      <c r="N13" s="129"/>
      <c r="O13" s="129"/>
      <c r="P13" s="129"/>
    </row>
    <row r="14" spans="1:16" x14ac:dyDescent="0.25">
      <c r="A14" s="77" t="s">
        <v>305</v>
      </c>
      <c r="B14" s="129">
        <v>413</v>
      </c>
      <c r="C14" s="129"/>
      <c r="D14" s="129"/>
      <c r="E14" s="129"/>
      <c r="F14" s="129"/>
      <c r="G14" s="129"/>
      <c r="J14" s="77" t="s">
        <v>305</v>
      </c>
      <c r="K14" s="129">
        <v>413</v>
      </c>
      <c r="L14" s="129"/>
      <c r="M14" s="129"/>
      <c r="N14" s="129"/>
      <c r="O14" s="129"/>
      <c r="P14" s="129"/>
    </row>
    <row r="15" spans="1:16" x14ac:dyDescent="0.25">
      <c r="A15" s="77" t="s">
        <v>307</v>
      </c>
      <c r="B15" s="129" t="s">
        <v>461</v>
      </c>
      <c r="C15" s="129"/>
      <c r="D15" s="129"/>
      <c r="E15" s="129"/>
      <c r="F15" s="129"/>
      <c r="G15" s="129"/>
      <c r="J15" s="77" t="s">
        <v>307</v>
      </c>
      <c r="K15" s="129" t="s">
        <v>463</v>
      </c>
      <c r="L15" s="129"/>
      <c r="M15" s="129"/>
      <c r="N15" s="129"/>
      <c r="O15" s="129"/>
      <c r="P15" s="129"/>
    </row>
    <row r="16" spans="1:16" x14ac:dyDescent="0.25">
      <c r="A16" s="77" t="s">
        <v>825</v>
      </c>
      <c r="B16" s="129" t="s">
        <v>462</v>
      </c>
      <c r="C16" s="129"/>
      <c r="D16" s="129"/>
      <c r="E16" s="129"/>
      <c r="F16" s="129"/>
      <c r="G16" s="129"/>
      <c r="J16" s="77" t="s">
        <v>825</v>
      </c>
      <c r="K16" s="129" t="s">
        <v>464</v>
      </c>
      <c r="L16" s="129"/>
      <c r="M16" s="129"/>
      <c r="N16" s="129"/>
      <c r="O16" s="129"/>
      <c r="P16" s="129"/>
    </row>
    <row r="17" spans="1:16" x14ac:dyDescent="0.25">
      <c r="A17" s="77" t="s">
        <v>803</v>
      </c>
      <c r="B17" s="129"/>
      <c r="C17" s="129"/>
      <c r="D17" s="129"/>
      <c r="E17" s="129"/>
      <c r="F17" s="129"/>
      <c r="G17" s="129"/>
      <c r="J17" s="77" t="s">
        <v>803</v>
      </c>
      <c r="K17" s="129"/>
      <c r="L17" s="129"/>
      <c r="M17" s="129"/>
      <c r="N17" s="129"/>
      <c r="O17" s="129"/>
      <c r="P17" s="129"/>
    </row>
    <row r="18" spans="1:16" x14ac:dyDescent="0.25">
      <c r="A18" s="77" t="s">
        <v>313</v>
      </c>
      <c r="B18" s="187">
        <v>45106</v>
      </c>
      <c r="C18" s="129"/>
      <c r="D18" s="129"/>
      <c r="E18" s="129"/>
      <c r="F18" s="129"/>
      <c r="G18" s="129"/>
      <c r="J18" s="77" t="s">
        <v>313</v>
      </c>
      <c r="K18" s="187">
        <v>45106</v>
      </c>
      <c r="L18" s="129"/>
      <c r="M18" s="129"/>
      <c r="N18" s="129"/>
      <c r="O18" s="129"/>
      <c r="P18" s="129"/>
    </row>
    <row r="19" spans="1:16" x14ac:dyDescent="0.25">
      <c r="A19" s="77" t="s">
        <v>315</v>
      </c>
      <c r="B19" s="187"/>
      <c r="C19" s="129"/>
      <c r="D19" s="129"/>
      <c r="E19" s="129"/>
      <c r="F19" s="129"/>
      <c r="G19" s="129"/>
      <c r="J19" s="77" t="s">
        <v>315</v>
      </c>
      <c r="K19" s="187"/>
      <c r="L19" s="129"/>
      <c r="M19" s="129"/>
      <c r="N19" s="129"/>
      <c r="O19" s="129"/>
      <c r="P19" s="129"/>
    </row>
    <row r="20" spans="1:16" x14ac:dyDescent="0.25">
      <c r="A20" s="77" t="s">
        <v>317</v>
      </c>
      <c r="B20" s="129" t="s">
        <v>331</v>
      </c>
      <c r="C20" s="129"/>
      <c r="D20" s="129"/>
      <c r="E20" s="129"/>
      <c r="F20" s="129"/>
      <c r="G20" s="129"/>
      <c r="J20" s="77" t="s">
        <v>317</v>
      </c>
      <c r="K20" s="129" t="s">
        <v>331</v>
      </c>
      <c r="L20" s="129"/>
      <c r="M20" s="129"/>
      <c r="N20" s="129"/>
      <c r="O20" s="129"/>
      <c r="P20" s="129"/>
    </row>
    <row r="21" spans="1:16" x14ac:dyDescent="0.25">
      <c r="A21" s="77" t="s">
        <v>323</v>
      </c>
      <c r="B21" s="129" t="s">
        <v>332</v>
      </c>
      <c r="C21" s="129"/>
      <c r="D21" s="129"/>
      <c r="E21" s="129"/>
      <c r="F21" s="129"/>
      <c r="G21" s="129"/>
      <c r="J21" s="77" t="s">
        <v>323</v>
      </c>
      <c r="K21" s="129" t="s">
        <v>332</v>
      </c>
      <c r="L21" s="129"/>
      <c r="M21" s="129"/>
      <c r="N21" s="129"/>
      <c r="O21" s="129"/>
      <c r="P21" s="129"/>
    </row>
    <row r="23" spans="1:16" x14ac:dyDescent="0.25">
      <c r="B23" s="102" t="str">
        <f>HYPERLINK("#'Factor List'!A1","Back to Factor List")</f>
        <v>Back to Factor List</v>
      </c>
    </row>
    <row r="24" spans="1:16" x14ac:dyDescent="0.25">
      <c r="B24" s="102" t="s">
        <v>13</v>
      </c>
    </row>
    <row r="25" spans="1:16" x14ac:dyDescent="0.25">
      <c r="B25" s="102"/>
    </row>
    <row r="26" spans="1:16" x14ac:dyDescent="0.25">
      <c r="A26" s="103" t="s">
        <v>855</v>
      </c>
      <c r="B26" s="103">
        <v>50</v>
      </c>
      <c r="C26" s="103">
        <v>51</v>
      </c>
      <c r="D26" s="103">
        <v>52</v>
      </c>
      <c r="E26" s="103">
        <v>53</v>
      </c>
      <c r="F26" s="103">
        <v>54</v>
      </c>
      <c r="G26" s="103">
        <v>55</v>
      </c>
      <c r="J26" s="103" t="s">
        <v>855</v>
      </c>
      <c r="K26" s="103">
        <v>50</v>
      </c>
      <c r="L26" s="103">
        <v>51</v>
      </c>
      <c r="M26" s="103">
        <v>52</v>
      </c>
      <c r="N26" s="103">
        <v>53</v>
      </c>
      <c r="O26" s="103">
        <v>54</v>
      </c>
      <c r="P26" s="103">
        <v>55</v>
      </c>
    </row>
    <row r="27" spans="1:16" x14ac:dyDescent="0.25">
      <c r="A27" s="104">
        <v>0</v>
      </c>
      <c r="B27" s="128">
        <v>0.214</v>
      </c>
      <c r="C27" s="128">
        <v>0.17100000000000001</v>
      </c>
      <c r="D27" s="128">
        <v>0.128</v>
      </c>
      <c r="E27" s="128">
        <v>8.5000000000000006E-2</v>
      </c>
      <c r="F27" s="128">
        <v>4.1000000000000002E-2</v>
      </c>
      <c r="G27" s="128">
        <v>0</v>
      </c>
      <c r="J27" s="104">
        <v>0</v>
      </c>
      <c r="K27" s="128">
        <v>1.073</v>
      </c>
      <c r="L27" s="128">
        <v>1.0940000000000001</v>
      </c>
      <c r="M27" s="128">
        <v>1.1160000000000001</v>
      </c>
      <c r="N27" s="128">
        <v>1.139</v>
      </c>
      <c r="O27" s="128">
        <v>1.161</v>
      </c>
      <c r="P27" s="128">
        <v>1.1839999999999999</v>
      </c>
    </row>
    <row r="28" spans="1:16" x14ac:dyDescent="0.25">
      <c r="A28" s="104">
        <v>1</v>
      </c>
      <c r="B28" s="128">
        <v>0.21099999999999999</v>
      </c>
      <c r="C28" s="128">
        <v>0.16800000000000001</v>
      </c>
      <c r="D28" s="128">
        <v>0.125</v>
      </c>
      <c r="E28" s="128">
        <v>8.2000000000000003E-2</v>
      </c>
      <c r="F28" s="128">
        <v>3.7999999999999999E-2</v>
      </c>
      <c r="G28" s="128"/>
      <c r="J28" s="104">
        <v>1</v>
      </c>
      <c r="K28" s="128">
        <v>1.075</v>
      </c>
      <c r="L28" s="128">
        <v>1.0960000000000001</v>
      </c>
      <c r="M28" s="128">
        <v>1.1180000000000001</v>
      </c>
      <c r="N28" s="128">
        <v>1.141</v>
      </c>
      <c r="O28" s="128">
        <v>1.163</v>
      </c>
      <c r="P28" s="128"/>
    </row>
    <row r="29" spans="1:16" x14ac:dyDescent="0.25">
      <c r="A29" s="104">
        <v>2</v>
      </c>
      <c r="B29" s="128">
        <v>0.20699999999999999</v>
      </c>
      <c r="C29" s="128">
        <v>0.16400000000000001</v>
      </c>
      <c r="D29" s="128">
        <v>0.121</v>
      </c>
      <c r="E29" s="128">
        <v>7.8E-2</v>
      </c>
      <c r="F29" s="128">
        <v>3.4000000000000002E-2</v>
      </c>
      <c r="G29" s="128"/>
      <c r="J29" s="104">
        <v>2</v>
      </c>
      <c r="K29" s="128">
        <v>1.0760000000000001</v>
      </c>
      <c r="L29" s="128">
        <v>1.0980000000000001</v>
      </c>
      <c r="M29" s="128">
        <v>1.1200000000000001</v>
      </c>
      <c r="N29" s="128">
        <v>1.143</v>
      </c>
      <c r="O29" s="128">
        <v>1.165</v>
      </c>
      <c r="P29" s="128"/>
    </row>
    <row r="30" spans="1:16" x14ac:dyDescent="0.25">
      <c r="A30" s="104">
        <v>3</v>
      </c>
      <c r="B30" s="128">
        <v>0.20300000000000001</v>
      </c>
      <c r="C30" s="128">
        <v>0.16</v>
      </c>
      <c r="D30" s="128">
        <v>0.11700000000000001</v>
      </c>
      <c r="E30" s="128">
        <v>7.3999999999999996E-2</v>
      </c>
      <c r="F30" s="128">
        <v>0.03</v>
      </c>
      <c r="G30" s="128"/>
      <c r="J30" s="104">
        <v>3</v>
      </c>
      <c r="K30" s="128">
        <v>1.0780000000000001</v>
      </c>
      <c r="L30" s="128">
        <v>1.099</v>
      </c>
      <c r="M30" s="128">
        <v>1.1220000000000001</v>
      </c>
      <c r="N30" s="128">
        <v>1.1439999999999999</v>
      </c>
      <c r="O30" s="128">
        <v>1.167</v>
      </c>
      <c r="P30" s="128"/>
    </row>
    <row r="31" spans="1:16" x14ac:dyDescent="0.25">
      <c r="A31" s="104">
        <v>4</v>
      </c>
      <c r="B31" s="128">
        <v>0.2</v>
      </c>
      <c r="C31" s="128">
        <v>0.157</v>
      </c>
      <c r="D31" s="128">
        <v>0.114</v>
      </c>
      <c r="E31" s="128">
        <v>7.0999999999999994E-2</v>
      </c>
      <c r="F31" s="128">
        <v>2.7E-2</v>
      </c>
      <c r="G31" s="128"/>
      <c r="J31" s="104">
        <v>4</v>
      </c>
      <c r="K31" s="128">
        <v>1.08</v>
      </c>
      <c r="L31" s="128">
        <v>1.101</v>
      </c>
      <c r="M31" s="128">
        <v>1.1240000000000001</v>
      </c>
      <c r="N31" s="128">
        <v>1.1459999999999999</v>
      </c>
      <c r="O31" s="128">
        <v>1.169</v>
      </c>
      <c r="P31" s="128"/>
    </row>
    <row r="32" spans="1:16" x14ac:dyDescent="0.25">
      <c r="A32" s="104">
        <v>5</v>
      </c>
      <c r="B32" s="128">
        <v>0.19600000000000001</v>
      </c>
      <c r="C32" s="128">
        <v>0.153</v>
      </c>
      <c r="D32" s="128">
        <v>0.11</v>
      </c>
      <c r="E32" s="128">
        <v>6.7000000000000004E-2</v>
      </c>
      <c r="F32" s="128">
        <v>2.3E-2</v>
      </c>
      <c r="G32" s="128"/>
      <c r="J32" s="104">
        <v>5</v>
      </c>
      <c r="K32" s="128">
        <v>1.0820000000000001</v>
      </c>
      <c r="L32" s="128">
        <v>1.103</v>
      </c>
      <c r="M32" s="128">
        <v>1.1259999999999999</v>
      </c>
      <c r="N32" s="128">
        <v>1.1479999999999999</v>
      </c>
      <c r="O32" s="128">
        <v>1.171</v>
      </c>
      <c r="P32" s="128"/>
    </row>
    <row r="33" spans="1:16" x14ac:dyDescent="0.25">
      <c r="A33" s="104">
        <v>6</v>
      </c>
      <c r="B33" s="128">
        <v>0.193</v>
      </c>
      <c r="C33" s="128">
        <v>0.15</v>
      </c>
      <c r="D33" s="128">
        <v>0.107</v>
      </c>
      <c r="E33" s="128">
        <v>6.3E-2</v>
      </c>
      <c r="F33" s="128">
        <v>0.02</v>
      </c>
      <c r="G33" s="128"/>
      <c r="J33" s="104">
        <v>6</v>
      </c>
      <c r="K33" s="128">
        <v>1.083</v>
      </c>
      <c r="L33" s="128">
        <v>1.105</v>
      </c>
      <c r="M33" s="128">
        <v>1.127</v>
      </c>
      <c r="N33" s="128">
        <v>1.1499999999999999</v>
      </c>
      <c r="O33" s="128">
        <v>1.173</v>
      </c>
      <c r="P33" s="128"/>
    </row>
    <row r="34" spans="1:16" x14ac:dyDescent="0.25">
      <c r="A34" s="104">
        <v>7</v>
      </c>
      <c r="B34" s="128">
        <v>0.189</v>
      </c>
      <c r="C34" s="128">
        <v>0.14599999999999999</v>
      </c>
      <c r="D34" s="128">
        <v>0.10299999999999999</v>
      </c>
      <c r="E34" s="128">
        <v>0.06</v>
      </c>
      <c r="F34" s="128">
        <v>1.6E-2</v>
      </c>
      <c r="G34" s="128"/>
      <c r="J34" s="104">
        <v>7</v>
      </c>
      <c r="K34" s="128">
        <v>1.085</v>
      </c>
      <c r="L34" s="128">
        <v>1.107</v>
      </c>
      <c r="M34" s="128">
        <v>1.129</v>
      </c>
      <c r="N34" s="128">
        <v>1.1519999999999999</v>
      </c>
      <c r="O34" s="128">
        <v>1.175</v>
      </c>
      <c r="P34" s="128"/>
    </row>
    <row r="35" spans="1:16" x14ac:dyDescent="0.25">
      <c r="A35" s="104">
        <v>8</v>
      </c>
      <c r="B35" s="128">
        <v>0.186</v>
      </c>
      <c r="C35" s="128">
        <v>0.14299999999999999</v>
      </c>
      <c r="D35" s="128">
        <v>0.1</v>
      </c>
      <c r="E35" s="128">
        <v>5.6000000000000001E-2</v>
      </c>
      <c r="F35" s="128">
        <v>1.2999999999999999E-2</v>
      </c>
      <c r="G35" s="128"/>
      <c r="J35" s="104">
        <v>8</v>
      </c>
      <c r="K35" s="128">
        <v>1.087</v>
      </c>
      <c r="L35" s="128">
        <v>1.109</v>
      </c>
      <c r="M35" s="128">
        <v>1.131</v>
      </c>
      <c r="N35" s="128">
        <v>1.1539999999999999</v>
      </c>
      <c r="O35" s="128">
        <v>1.177</v>
      </c>
      <c r="P35" s="128"/>
    </row>
    <row r="36" spans="1:16" x14ac:dyDescent="0.25">
      <c r="A36" s="104">
        <v>9</v>
      </c>
      <c r="B36" s="128">
        <v>0.182</v>
      </c>
      <c r="C36" s="128">
        <v>0.13900000000000001</v>
      </c>
      <c r="D36" s="128">
        <v>9.6000000000000002E-2</v>
      </c>
      <c r="E36" s="128">
        <v>5.1999999999999998E-2</v>
      </c>
      <c r="F36" s="128">
        <v>8.9999999999999993E-3</v>
      </c>
      <c r="G36" s="128"/>
      <c r="J36" s="104">
        <v>9</v>
      </c>
      <c r="K36" s="128">
        <v>1.089</v>
      </c>
      <c r="L36" s="128">
        <v>1.1100000000000001</v>
      </c>
      <c r="M36" s="128">
        <v>1.133</v>
      </c>
      <c r="N36" s="128">
        <v>1.155</v>
      </c>
      <c r="O36" s="128">
        <v>1.179</v>
      </c>
      <c r="P36" s="128"/>
    </row>
    <row r="37" spans="1:16" x14ac:dyDescent="0.25">
      <c r="A37" s="104">
        <v>10</v>
      </c>
      <c r="B37" s="128">
        <v>0.17799999999999999</v>
      </c>
      <c r="C37" s="128">
        <v>0.13500000000000001</v>
      </c>
      <c r="D37" s="128">
        <v>9.1999999999999998E-2</v>
      </c>
      <c r="E37" s="128">
        <v>4.9000000000000002E-2</v>
      </c>
      <c r="F37" s="128">
        <v>5.0000000000000001E-3</v>
      </c>
      <c r="G37" s="128"/>
      <c r="J37" s="104">
        <v>10</v>
      </c>
      <c r="K37" s="128">
        <v>1.0900000000000001</v>
      </c>
      <c r="L37" s="128">
        <v>1.1120000000000001</v>
      </c>
      <c r="M37" s="128">
        <v>1.135</v>
      </c>
      <c r="N37" s="128">
        <v>1.157</v>
      </c>
      <c r="O37" s="128">
        <v>1.181</v>
      </c>
      <c r="P37" s="128"/>
    </row>
    <row r="38" spans="1:16" x14ac:dyDescent="0.25">
      <c r="A38" s="104">
        <v>11</v>
      </c>
      <c r="B38" s="128">
        <v>0.17499999999999999</v>
      </c>
      <c r="C38" s="128">
        <v>0.13200000000000001</v>
      </c>
      <c r="D38" s="128">
        <v>8.8999999999999996E-2</v>
      </c>
      <c r="E38" s="128">
        <v>4.4999999999999998E-2</v>
      </c>
      <c r="F38" s="128">
        <v>2E-3</v>
      </c>
      <c r="G38" s="128"/>
      <c r="J38" s="104">
        <v>11</v>
      </c>
      <c r="K38" s="128">
        <v>1.0920000000000001</v>
      </c>
      <c r="L38" s="128">
        <v>1.1140000000000001</v>
      </c>
      <c r="M38" s="128">
        <v>1.137</v>
      </c>
      <c r="N38" s="128">
        <v>1.159</v>
      </c>
      <c r="O38" s="128">
        <v>1.1830000000000001</v>
      </c>
      <c r="P38" s="128"/>
    </row>
    <row r="39" spans="1:16" x14ac:dyDescent="0.25">
      <c r="A39"/>
      <c r="B39"/>
    </row>
    <row r="40" spans="1:16" x14ac:dyDescent="0.25">
      <c r="A40"/>
      <c r="B40"/>
    </row>
    <row r="41" spans="1:16" x14ac:dyDescent="0.25">
      <c r="A41"/>
      <c r="B41"/>
    </row>
    <row r="42" spans="1:16" x14ac:dyDescent="0.25">
      <c r="A42"/>
      <c r="B42"/>
    </row>
    <row r="43" spans="1:16" x14ac:dyDescent="0.25">
      <c r="A43"/>
      <c r="B43"/>
    </row>
    <row r="44" spans="1:16" ht="39.6" customHeight="1" x14ac:dyDescent="0.25">
      <c r="A44"/>
      <c r="B44"/>
    </row>
    <row r="45" spans="1:16" x14ac:dyDescent="0.25">
      <c r="A45"/>
      <c r="B45"/>
    </row>
    <row r="46" spans="1:16" ht="27.6" customHeight="1" x14ac:dyDescent="0.25">
      <c r="A46"/>
      <c r="B46"/>
    </row>
    <row r="47" spans="1:16" x14ac:dyDescent="0.25">
      <c r="A47"/>
      <c r="B47"/>
    </row>
    <row r="48" spans="1: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Nj2YOpoU1ntWNSWAVWsIgWkn74GuVqBP0gBr/n4cdLr6ee3hSRANCfYuk1Lmic1g6kb7Ww7hgQ/4qYnGEb4I0A==" saltValue="91rVvBLUE50ZWLPRHvReOA==" spinCount="100000" sheet="1" objects="1" scenarios="1"/>
  <conditionalFormatting sqref="A6:A21">
    <cfRule type="expression" dxfId="983" priority="1" stopIfTrue="1">
      <formula>MOD(ROW(),2)=0</formula>
    </cfRule>
    <cfRule type="expression" dxfId="982" priority="2" stopIfTrue="1">
      <formula>MOD(ROW(),2)&lt;&gt;0</formula>
    </cfRule>
  </conditionalFormatting>
  <conditionalFormatting sqref="A26:A38">
    <cfRule type="expression" dxfId="981" priority="17" stopIfTrue="1">
      <formula>MOD(ROW(),2)=0</formula>
    </cfRule>
    <cfRule type="expression" dxfId="980" priority="18" stopIfTrue="1">
      <formula>MOD(ROW(),2)&lt;&gt;0</formula>
    </cfRule>
  </conditionalFormatting>
  <conditionalFormatting sqref="B18:B21">
    <cfRule type="expression" dxfId="979" priority="9" stopIfTrue="1">
      <formula>MOD(ROW(),2)=0</formula>
    </cfRule>
    <cfRule type="expression" dxfId="978" priority="10" stopIfTrue="1">
      <formula>MOD(ROW(),2)&lt;&gt;0</formula>
    </cfRule>
  </conditionalFormatting>
  <conditionalFormatting sqref="B6:G6 C7:G7 B8:G17 C18:G21">
    <cfRule type="expression" dxfId="977" priority="46" stopIfTrue="1">
      <formula>MOD(ROW(),2)&lt;&gt;0</formula>
    </cfRule>
    <cfRule type="expression" dxfId="976" priority="45" stopIfTrue="1">
      <formula>MOD(ROW(),2)=0</formula>
    </cfRule>
  </conditionalFormatting>
  <conditionalFormatting sqref="B6:G21">
    <cfRule type="expression" dxfId="975" priority="38" stopIfTrue="1">
      <formula>MOD(ROW(),2)&lt;&gt;0</formula>
    </cfRule>
    <cfRule type="expression" dxfId="974" priority="37" stopIfTrue="1">
      <formula>MOD(ROW(),2)=0</formula>
    </cfRule>
  </conditionalFormatting>
  <conditionalFormatting sqref="B26:G38">
    <cfRule type="expression" dxfId="973" priority="19" stopIfTrue="1">
      <formula>MOD(ROW(),2)=0</formula>
    </cfRule>
    <cfRule type="expression" dxfId="972" priority="20" stopIfTrue="1">
      <formula>MOD(ROW(),2)&lt;&gt;0</formula>
    </cfRule>
  </conditionalFormatting>
  <conditionalFormatting sqref="J6:J21">
    <cfRule type="expression" dxfId="971" priority="33" stopIfTrue="1">
      <formula>MOD(ROW(),2)=0</formula>
    </cfRule>
    <cfRule type="expression" dxfId="970" priority="34" stopIfTrue="1">
      <formula>MOD(ROW(),2)&lt;&gt;0</formula>
    </cfRule>
  </conditionalFormatting>
  <conditionalFormatting sqref="J26:J38">
    <cfRule type="expression" dxfId="969" priority="14" stopIfTrue="1">
      <formula>MOD(ROW(),2)&lt;&gt;0</formula>
    </cfRule>
    <cfRule type="expression" dxfId="968" priority="13" stopIfTrue="1">
      <formula>MOD(ROW(),2)=0</formula>
    </cfRule>
  </conditionalFormatting>
  <conditionalFormatting sqref="K18:K21">
    <cfRule type="expression" dxfId="967" priority="5" stopIfTrue="1">
      <formula>MOD(ROW(),2)=0</formula>
    </cfRule>
    <cfRule type="expression" dxfId="966" priority="6" stopIfTrue="1">
      <formula>MOD(ROW(),2)&lt;&gt;0</formula>
    </cfRule>
  </conditionalFormatting>
  <conditionalFormatting sqref="K6:P6 L7:P7 K8:P17 L18:P21">
    <cfRule type="expression" dxfId="965" priority="53" stopIfTrue="1">
      <formula>MOD(ROW(),2)=0</formula>
    </cfRule>
    <cfRule type="expression" dxfId="964" priority="54" stopIfTrue="1">
      <formula>MOD(ROW(),2)&lt;&gt;0</formula>
    </cfRule>
  </conditionalFormatting>
  <conditionalFormatting sqref="K6:P21">
    <cfRule type="expression" dxfId="963" priority="35" stopIfTrue="1">
      <formula>MOD(ROW(),2)=0</formula>
    </cfRule>
    <cfRule type="expression" dxfId="962" priority="36" stopIfTrue="1">
      <formula>MOD(ROW(),2)&lt;&gt;0</formula>
    </cfRule>
  </conditionalFormatting>
  <conditionalFormatting sqref="K26:P38">
    <cfRule type="expression" dxfId="961" priority="16" stopIfTrue="1">
      <formula>MOD(ROW(),2)&lt;&gt;0</formula>
    </cfRule>
    <cfRule type="expression" dxfId="960" priority="15" stopIfTrue="1">
      <formula>MOD(ROW(),2)=0</formula>
    </cfRule>
  </conditionalFormatting>
  <hyperlinks>
    <hyperlink ref="B24" location="Sheet1!A1" display="Assumptions" xr:uid="{77ECD018-132C-4EAC-9732-A53F0AEC674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0"/>
  <dimension ref="A1:I65"/>
  <sheetViews>
    <sheetView showGridLines="0" zoomScale="85" zoomScaleNormal="85" workbookViewId="0">
      <selection activeCell="A4" sqref="A4"/>
    </sheetView>
  </sheetViews>
  <sheetFormatPr defaultColWidth="10" defaultRowHeight="13.2" x14ac:dyDescent="0.25"/>
  <cols>
    <col min="1" max="1" width="50.77734375" style="27" customWidth="1"/>
    <col min="2" max="2" width="28.554687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ERF - x-414</v>
      </c>
      <c r="B3" s="42"/>
      <c r="C3" s="42"/>
      <c r="D3" s="42"/>
      <c r="E3" s="42"/>
      <c r="F3" s="42"/>
      <c r="G3" s="42"/>
      <c r="H3" s="42"/>
      <c r="I3" s="42"/>
    </row>
    <row r="4" spans="1:9" x14ac:dyDescent="0.25">
      <c r="A4" s="44"/>
    </row>
    <row r="6" spans="1:9" x14ac:dyDescent="0.25">
      <c r="A6" s="76" t="s">
        <v>290</v>
      </c>
      <c r="B6" s="129" t="s">
        <v>291</v>
      </c>
    </row>
    <row r="7" spans="1:9" x14ac:dyDescent="0.25">
      <c r="A7" s="77" t="s">
        <v>804</v>
      </c>
      <c r="B7" s="129" t="s">
        <v>345</v>
      </c>
    </row>
    <row r="8" spans="1:9" x14ac:dyDescent="0.25">
      <c r="A8" s="77" t="s">
        <v>805</v>
      </c>
      <c r="B8" s="129" t="s">
        <v>89</v>
      </c>
    </row>
    <row r="9" spans="1:9" x14ac:dyDescent="0.25">
      <c r="A9" s="77" t="s">
        <v>296</v>
      </c>
      <c r="B9" s="129" t="s">
        <v>418</v>
      </c>
    </row>
    <row r="10" spans="1:9" x14ac:dyDescent="0.25">
      <c r="A10" s="77" t="s">
        <v>6</v>
      </c>
      <c r="B10" s="129" t="s">
        <v>465</v>
      </c>
    </row>
    <row r="11" spans="1:9" x14ac:dyDescent="0.25">
      <c r="A11" s="77" t="s">
        <v>299</v>
      </c>
      <c r="B11" s="129" t="s">
        <v>364</v>
      </c>
    </row>
    <row r="12" spans="1:9" x14ac:dyDescent="0.25">
      <c r="A12" s="77" t="s">
        <v>301</v>
      </c>
      <c r="B12" s="129" t="s">
        <v>466</v>
      </c>
    </row>
    <row r="13" spans="1:9" x14ac:dyDescent="0.25">
      <c r="A13" s="77" t="s">
        <v>806</v>
      </c>
      <c r="B13" s="129">
        <v>1</v>
      </c>
    </row>
    <row r="14" spans="1:9" x14ac:dyDescent="0.25">
      <c r="A14" s="77" t="s">
        <v>305</v>
      </c>
      <c r="B14" s="129">
        <v>414</v>
      </c>
    </row>
    <row r="15" spans="1:9" x14ac:dyDescent="0.25">
      <c r="A15" s="77" t="s">
        <v>307</v>
      </c>
      <c r="B15" s="129" t="s">
        <v>467</v>
      </c>
    </row>
    <row r="16" spans="1:9" x14ac:dyDescent="0.25">
      <c r="A16" s="77" t="s">
        <v>825</v>
      </c>
      <c r="B16" s="129" t="s">
        <v>468</v>
      </c>
    </row>
    <row r="17" spans="1:2" x14ac:dyDescent="0.25">
      <c r="A17" s="77" t="s">
        <v>803</v>
      </c>
      <c r="B17" s="129"/>
    </row>
    <row r="18" spans="1:2" x14ac:dyDescent="0.25">
      <c r="A18" s="77" t="s">
        <v>313</v>
      </c>
      <c r="B18" s="187">
        <v>45106</v>
      </c>
    </row>
    <row r="19" spans="1:2" x14ac:dyDescent="0.25">
      <c r="A19" s="77" t="s">
        <v>315</v>
      </c>
      <c r="B19" s="187"/>
    </row>
    <row r="20" spans="1:2" x14ac:dyDescent="0.25">
      <c r="A20" s="77" t="s">
        <v>317</v>
      </c>
      <c r="B20" s="129" t="s">
        <v>331</v>
      </c>
    </row>
    <row r="21" spans="1:2" x14ac:dyDescent="0.25">
      <c r="A21" s="77" t="s">
        <v>323</v>
      </c>
      <c r="B21" s="129" t="s">
        <v>332</v>
      </c>
    </row>
    <row r="23" spans="1:2" x14ac:dyDescent="0.25">
      <c r="B23" s="102" t="str">
        <f>HYPERLINK("#'Factor List'!A1","Back to Factor List")</f>
        <v>Back to Factor List</v>
      </c>
    </row>
    <row r="24" spans="1:2" x14ac:dyDescent="0.25">
      <c r="B24" s="102" t="s">
        <v>13</v>
      </c>
    </row>
    <row r="25" spans="1:2" x14ac:dyDescent="0.25">
      <c r="B25" s="102"/>
    </row>
    <row r="26" spans="1:2" x14ac:dyDescent="0.25">
      <c r="A26" s="167" t="s">
        <v>856</v>
      </c>
      <c r="B26" s="168" t="s">
        <v>824</v>
      </c>
    </row>
    <row r="27" spans="1:2" x14ac:dyDescent="0.25">
      <c r="A27" s="169" t="s">
        <v>857</v>
      </c>
      <c r="B27" s="170">
        <v>4.7500000000000001E-2</v>
      </c>
    </row>
    <row r="28" spans="1:2" x14ac:dyDescent="0.25">
      <c r="A28" s="171" t="s">
        <v>858</v>
      </c>
      <c r="B28" s="172">
        <v>3.6999999999999998E-2</v>
      </c>
    </row>
    <row r="29" spans="1:2" x14ac:dyDescent="0.25">
      <c r="A29" s="169" t="s">
        <v>859</v>
      </c>
      <c r="B29" s="170">
        <v>2.9000000000000001E-2</v>
      </c>
    </row>
    <row r="30" spans="1:2" x14ac:dyDescent="0.25">
      <c r="A30"/>
      <c r="B30"/>
    </row>
    <row r="31" spans="1:2" x14ac:dyDescent="0.25">
      <c r="A31"/>
      <c r="B31"/>
    </row>
    <row r="32" spans="1:2"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0gbf+VzVv6xXw8dWQwNFQpd0GS7Ql/zz4Gn15lqUBEwaNFGLc3SROGZKTuIHJULbcKFaoiMnhRUWlwOXOpN5Lg==" saltValue="llg0PgLNUIL8w1KU2fENlA==" spinCount="100000" sheet="1" objects="1" scenarios="1"/>
  <conditionalFormatting sqref="A6:A21">
    <cfRule type="expression" dxfId="959" priority="1" stopIfTrue="1">
      <formula>MOD(ROW(),2)=0</formula>
    </cfRule>
    <cfRule type="expression" dxfId="958" priority="2" stopIfTrue="1">
      <formula>MOD(ROW(),2)&lt;&gt;0</formula>
    </cfRule>
  </conditionalFormatting>
  <conditionalFormatting sqref="B6 B8:B11 B13:B17">
    <cfRule type="expression" dxfId="957" priority="25" stopIfTrue="1">
      <formula>MOD(ROW(),2)=0</formula>
    </cfRule>
    <cfRule type="expression" dxfId="956" priority="26" stopIfTrue="1">
      <formula>MOD(ROW(),2)&lt;&gt;0</formula>
    </cfRule>
  </conditionalFormatting>
  <conditionalFormatting sqref="B6:B21">
    <cfRule type="expression" dxfId="955" priority="17" stopIfTrue="1">
      <formula>MOD(ROW(),2)=0</formula>
    </cfRule>
    <cfRule type="expression" dxfId="954" priority="18" stopIfTrue="1">
      <formula>MOD(ROW(),2)&lt;&gt;0</formula>
    </cfRule>
  </conditionalFormatting>
  <conditionalFormatting sqref="B18:B21">
    <cfRule type="expression" dxfId="953" priority="3" stopIfTrue="1">
      <formula>MOD(ROW(),2)=0</formula>
    </cfRule>
    <cfRule type="expression" dxfId="952" priority="4" stopIfTrue="1">
      <formula>MOD(ROW(),2)&lt;&gt;0</formula>
    </cfRule>
  </conditionalFormatting>
  <hyperlinks>
    <hyperlink ref="B24" location="Sheet1!A1" display="Assumptions" xr:uid="{7B1A3905-4122-4561-9598-684DDDB10C5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1"/>
  <dimension ref="A1:AA65"/>
  <sheetViews>
    <sheetView showGridLines="0" zoomScale="85" zoomScaleNormal="85" workbookViewId="0">
      <selection activeCell="A4" sqref="A4"/>
    </sheetView>
  </sheetViews>
  <sheetFormatPr defaultColWidth="10" defaultRowHeight="13.2" x14ac:dyDescent="0.25"/>
  <cols>
    <col min="1" max="1" width="31.5546875" style="27" customWidth="1"/>
    <col min="2" max="27" width="22.5546875" style="27" customWidth="1"/>
    <col min="28" max="16384" width="10" style="27"/>
  </cols>
  <sheetData>
    <row r="1" spans="1:27" ht="21" x14ac:dyDescent="0.4">
      <c r="A1" s="39" t="s">
        <v>0</v>
      </c>
      <c r="B1" s="40"/>
      <c r="C1" s="40"/>
      <c r="D1" s="40"/>
      <c r="E1" s="40"/>
      <c r="F1" s="40"/>
      <c r="G1" s="40"/>
      <c r="H1" s="40"/>
      <c r="I1" s="40"/>
    </row>
    <row r="2" spans="1:27"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27" ht="15.6" x14ac:dyDescent="0.3">
      <c r="A3" s="43" t="str">
        <f>TABLE_FACTOR_TYPE_1&amp;" - x-"&amp;TABLE_SERIES_NUMBER_1</f>
        <v>LRF - x-415</v>
      </c>
      <c r="B3" s="42"/>
      <c r="C3" s="42"/>
      <c r="D3" s="42"/>
      <c r="E3" s="42"/>
      <c r="F3" s="42"/>
      <c r="G3" s="42"/>
      <c r="H3" s="42"/>
      <c r="I3" s="42"/>
    </row>
    <row r="4" spans="1:27" x14ac:dyDescent="0.25">
      <c r="A4" s="44"/>
    </row>
    <row r="6" spans="1:27" x14ac:dyDescent="0.25">
      <c r="A6" s="76" t="s">
        <v>290</v>
      </c>
      <c r="B6" s="129" t="s">
        <v>291</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row>
    <row r="7" spans="1:27" x14ac:dyDescent="0.25">
      <c r="A7" s="77" t="s">
        <v>804</v>
      </c>
      <c r="B7" s="129" t="s">
        <v>324</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row>
    <row r="8" spans="1:27" x14ac:dyDescent="0.25">
      <c r="A8" s="77" t="s">
        <v>805</v>
      </c>
      <c r="B8" s="129" t="s">
        <v>85</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row>
    <row r="9" spans="1:27" x14ac:dyDescent="0.25">
      <c r="A9" s="77" t="s">
        <v>296</v>
      </c>
      <c r="B9" s="129" t="s">
        <v>469</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row>
    <row r="10" spans="1:27" x14ac:dyDescent="0.25">
      <c r="A10" s="77" t="s">
        <v>6</v>
      </c>
      <c r="B10" s="129" t="s">
        <v>470</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row>
    <row r="11" spans="1:27" x14ac:dyDescent="0.25">
      <c r="A11" s="77" t="s">
        <v>299</v>
      </c>
      <c r="B11" s="129" t="s">
        <v>364</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row>
    <row r="12" spans="1:27" x14ac:dyDescent="0.25">
      <c r="A12" s="77" t="s">
        <v>301</v>
      </c>
      <c r="B12" s="129" t="s">
        <v>471</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row>
    <row r="13" spans="1:27" x14ac:dyDescent="0.25">
      <c r="A13" s="77" t="s">
        <v>806</v>
      </c>
      <c r="B13" s="129">
        <v>0</v>
      </c>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row>
    <row r="14" spans="1:27" x14ac:dyDescent="0.25">
      <c r="A14" s="77" t="s">
        <v>305</v>
      </c>
      <c r="B14" s="129">
        <v>415</v>
      </c>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row>
    <row r="15" spans="1:27" x14ac:dyDescent="0.25">
      <c r="A15" s="77" t="s">
        <v>307</v>
      </c>
      <c r="B15" s="129" t="s">
        <v>472</v>
      </c>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row>
    <row r="16" spans="1:27" x14ac:dyDescent="0.25">
      <c r="A16" s="77" t="s">
        <v>825</v>
      </c>
      <c r="B16" s="129" t="s">
        <v>473</v>
      </c>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row>
    <row r="17" spans="1:27" x14ac:dyDescent="0.25">
      <c r="A17" s="77" t="s">
        <v>803</v>
      </c>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row>
    <row r="18" spans="1:27" x14ac:dyDescent="0.25">
      <c r="A18" s="77" t="s">
        <v>313</v>
      </c>
      <c r="B18" s="187" t="s">
        <v>474</v>
      </c>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row>
    <row r="19" spans="1:27" x14ac:dyDescent="0.25">
      <c r="A19" s="77" t="s">
        <v>315</v>
      </c>
      <c r="B19" s="187"/>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row>
    <row r="20" spans="1:27" x14ac:dyDescent="0.25">
      <c r="A20" s="77" t="s">
        <v>317</v>
      </c>
      <c r="B20" s="129" t="s">
        <v>331</v>
      </c>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row>
    <row r="21" spans="1:27" x14ac:dyDescent="0.25">
      <c r="A21" s="77" t="s">
        <v>323</v>
      </c>
      <c r="B21" s="129" t="s">
        <v>332</v>
      </c>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row>
    <row r="23" spans="1:27" x14ac:dyDescent="0.25">
      <c r="B23" s="102" t="str">
        <f>HYPERLINK("#'Factor List'!A1","Back to Factor List")</f>
        <v>Back to Factor List</v>
      </c>
    </row>
    <row r="24" spans="1:27" x14ac:dyDescent="0.25">
      <c r="B24" s="102" t="s">
        <v>13</v>
      </c>
    </row>
    <row r="25" spans="1:27" x14ac:dyDescent="0.25">
      <c r="B25" s="102"/>
    </row>
    <row r="26" spans="1:27" x14ac:dyDescent="0.25">
      <c r="A26" s="73" t="s">
        <v>855</v>
      </c>
      <c r="B26" s="73">
        <v>60</v>
      </c>
      <c r="C26" s="73">
        <v>61</v>
      </c>
      <c r="D26" s="73">
        <v>62</v>
      </c>
      <c r="E26" s="73">
        <v>63</v>
      </c>
      <c r="F26" s="73">
        <v>64</v>
      </c>
      <c r="G26" s="73">
        <v>65</v>
      </c>
      <c r="H26" s="73">
        <v>66</v>
      </c>
      <c r="I26" s="73">
        <v>67</v>
      </c>
      <c r="J26" s="73">
        <v>68</v>
      </c>
      <c r="K26" s="73">
        <v>69</v>
      </c>
      <c r="L26" s="73">
        <v>70</v>
      </c>
      <c r="M26" s="73">
        <v>71</v>
      </c>
      <c r="N26" s="73">
        <v>72</v>
      </c>
      <c r="O26" s="73">
        <v>73</v>
      </c>
      <c r="P26" s="73">
        <v>74</v>
      </c>
      <c r="Q26" s="73">
        <v>75</v>
      </c>
      <c r="R26" s="73">
        <v>76</v>
      </c>
      <c r="S26" s="73">
        <v>77</v>
      </c>
      <c r="T26" s="73">
        <v>78</v>
      </c>
      <c r="U26" s="73">
        <v>79</v>
      </c>
      <c r="V26" s="73">
        <v>80</v>
      </c>
      <c r="W26" s="73">
        <v>81</v>
      </c>
      <c r="X26" s="73">
        <v>82</v>
      </c>
      <c r="Y26" s="73">
        <v>83</v>
      </c>
      <c r="Z26" s="73">
        <v>84</v>
      </c>
      <c r="AA26" s="73">
        <v>85</v>
      </c>
    </row>
    <row r="27" spans="1:27" x14ac:dyDescent="0.25">
      <c r="A27" s="74">
        <v>0</v>
      </c>
      <c r="B27" s="135">
        <v>0.77300000000000002</v>
      </c>
      <c r="C27" s="135">
        <v>0.81</v>
      </c>
      <c r="D27" s="135">
        <v>0.85199999999999998</v>
      </c>
      <c r="E27" s="135">
        <v>0.89800000000000002</v>
      </c>
      <c r="F27" s="135">
        <v>0.94699999999999995</v>
      </c>
      <c r="G27" s="135">
        <v>1</v>
      </c>
      <c r="H27" s="135">
        <v>1.0569999999999999</v>
      </c>
      <c r="I27" s="135">
        <v>1.119</v>
      </c>
      <c r="J27" s="135">
        <v>1.1870000000000001</v>
      </c>
      <c r="K27" s="135">
        <v>1.2629999999999999</v>
      </c>
      <c r="L27" s="135">
        <v>1.343</v>
      </c>
      <c r="M27" s="135">
        <v>1.4350000000000001</v>
      </c>
      <c r="N27" s="135">
        <v>1.5369999999999999</v>
      </c>
      <c r="O27" s="135">
        <v>1.649</v>
      </c>
      <c r="P27" s="135">
        <v>1.774</v>
      </c>
      <c r="Q27" s="135">
        <v>1.903</v>
      </c>
      <c r="R27" s="135">
        <v>2.056</v>
      </c>
      <c r="S27" s="135">
        <v>2.2250000000000001</v>
      </c>
      <c r="T27" s="135">
        <v>2.4140000000000001</v>
      </c>
      <c r="U27" s="135">
        <v>2.6230000000000002</v>
      </c>
      <c r="V27" s="135">
        <v>2.8420000000000001</v>
      </c>
      <c r="W27" s="135">
        <v>3.097</v>
      </c>
      <c r="X27" s="135">
        <v>3.38</v>
      </c>
      <c r="Y27" s="135">
        <v>3.69</v>
      </c>
      <c r="Z27" s="135">
        <v>4.03</v>
      </c>
      <c r="AA27" s="135">
        <v>4.3819999999999997</v>
      </c>
    </row>
    <row r="28" spans="1:27" x14ac:dyDescent="0.25">
      <c r="A28" s="74">
        <v>1</v>
      </c>
      <c r="B28" s="135">
        <v>0.77600000000000002</v>
      </c>
      <c r="C28" s="135">
        <v>0.81399999999999995</v>
      </c>
      <c r="D28" s="135">
        <v>0.85599999999999998</v>
      </c>
      <c r="E28" s="135">
        <v>0.90200000000000002</v>
      </c>
      <c r="F28" s="135">
        <v>0.95099999999999996</v>
      </c>
      <c r="G28" s="135">
        <v>1.0049999999999999</v>
      </c>
      <c r="H28" s="135">
        <v>1.0620000000000001</v>
      </c>
      <c r="I28" s="135">
        <v>1.125</v>
      </c>
      <c r="J28" s="135">
        <v>1.1930000000000001</v>
      </c>
      <c r="K28" s="135">
        <v>1.27</v>
      </c>
      <c r="L28" s="135">
        <v>1.351</v>
      </c>
      <c r="M28" s="135">
        <v>1.444</v>
      </c>
      <c r="N28" s="135">
        <v>1.546</v>
      </c>
      <c r="O28" s="135">
        <v>1.659</v>
      </c>
      <c r="P28" s="135">
        <v>1.7849999999999999</v>
      </c>
      <c r="Q28" s="135">
        <v>1.9159999999999999</v>
      </c>
      <c r="R28" s="135">
        <v>2.0699999999999998</v>
      </c>
      <c r="S28" s="135">
        <v>2.2410000000000001</v>
      </c>
      <c r="T28" s="135">
        <v>2.431</v>
      </c>
      <c r="U28" s="135">
        <v>2.641</v>
      </c>
      <c r="V28" s="135">
        <v>2.863</v>
      </c>
      <c r="W28" s="135">
        <v>3.121</v>
      </c>
      <c r="X28" s="135">
        <v>3.4060000000000001</v>
      </c>
      <c r="Y28" s="135">
        <v>3.718</v>
      </c>
      <c r="Z28" s="135">
        <v>4.0590000000000002</v>
      </c>
      <c r="AA28" s="135"/>
    </row>
    <row r="29" spans="1:27" x14ac:dyDescent="0.25">
      <c r="A29" s="74">
        <v>2</v>
      </c>
      <c r="B29" s="135">
        <v>0.77900000000000003</v>
      </c>
      <c r="C29" s="135">
        <v>0.81699999999999995</v>
      </c>
      <c r="D29" s="135">
        <v>0.86</v>
      </c>
      <c r="E29" s="135">
        <v>0.90600000000000003</v>
      </c>
      <c r="F29" s="135">
        <v>0.95599999999999996</v>
      </c>
      <c r="G29" s="135">
        <v>1.01</v>
      </c>
      <c r="H29" s="135">
        <v>1.0669999999999999</v>
      </c>
      <c r="I29" s="135">
        <v>1.1299999999999999</v>
      </c>
      <c r="J29" s="135">
        <v>1.2</v>
      </c>
      <c r="K29" s="135">
        <v>1.276</v>
      </c>
      <c r="L29" s="135">
        <v>1.3580000000000001</v>
      </c>
      <c r="M29" s="135">
        <v>1.452</v>
      </c>
      <c r="N29" s="135">
        <v>1.556</v>
      </c>
      <c r="O29" s="135">
        <v>1.67</v>
      </c>
      <c r="P29" s="135">
        <v>1.796</v>
      </c>
      <c r="Q29" s="135">
        <v>1.929</v>
      </c>
      <c r="R29" s="135">
        <v>2.0840000000000001</v>
      </c>
      <c r="S29" s="135">
        <v>2.2570000000000001</v>
      </c>
      <c r="T29" s="135">
        <v>2.4489999999999998</v>
      </c>
      <c r="U29" s="135">
        <v>2.66</v>
      </c>
      <c r="V29" s="135">
        <v>2.8849999999999998</v>
      </c>
      <c r="W29" s="135">
        <v>3.1440000000000001</v>
      </c>
      <c r="X29" s="135">
        <v>3.4319999999999999</v>
      </c>
      <c r="Y29" s="135">
        <v>3.7469999999999999</v>
      </c>
      <c r="Z29" s="135">
        <v>4.0890000000000004</v>
      </c>
      <c r="AA29" s="135"/>
    </row>
    <row r="30" spans="1:27" x14ac:dyDescent="0.25">
      <c r="A30" s="74">
        <v>3</v>
      </c>
      <c r="B30" s="135">
        <v>0.78200000000000003</v>
      </c>
      <c r="C30" s="135">
        <v>0.82099999999999995</v>
      </c>
      <c r="D30" s="135">
        <v>0.86399999999999999</v>
      </c>
      <c r="E30" s="135">
        <v>0.91</v>
      </c>
      <c r="F30" s="135">
        <v>0.96</v>
      </c>
      <c r="G30" s="135">
        <v>1.014</v>
      </c>
      <c r="H30" s="135">
        <v>1.073</v>
      </c>
      <c r="I30" s="135">
        <v>1.1359999999999999</v>
      </c>
      <c r="J30" s="135">
        <v>1.206</v>
      </c>
      <c r="K30" s="135">
        <v>1.2829999999999999</v>
      </c>
      <c r="L30" s="135">
        <v>1.3660000000000001</v>
      </c>
      <c r="M30" s="135">
        <v>1.4610000000000001</v>
      </c>
      <c r="N30" s="135">
        <v>1.5649999999999999</v>
      </c>
      <c r="O30" s="135">
        <v>1.68</v>
      </c>
      <c r="P30" s="135">
        <v>1.806</v>
      </c>
      <c r="Q30" s="135">
        <v>1.9410000000000001</v>
      </c>
      <c r="R30" s="135">
        <v>2.0979999999999999</v>
      </c>
      <c r="S30" s="135">
        <v>2.2719999999999998</v>
      </c>
      <c r="T30" s="135">
        <v>2.4660000000000002</v>
      </c>
      <c r="U30" s="135">
        <v>2.6779999999999999</v>
      </c>
      <c r="V30" s="135">
        <v>2.9060000000000001</v>
      </c>
      <c r="W30" s="135">
        <v>3.1680000000000001</v>
      </c>
      <c r="X30" s="135">
        <v>3.4580000000000002</v>
      </c>
      <c r="Y30" s="135">
        <v>3.7749999999999999</v>
      </c>
      <c r="Z30" s="135">
        <v>4.1180000000000003</v>
      </c>
      <c r="AA30" s="135"/>
    </row>
    <row r="31" spans="1:27" x14ac:dyDescent="0.25">
      <c r="A31" s="74">
        <v>4</v>
      </c>
      <c r="B31" s="135">
        <v>0.78500000000000003</v>
      </c>
      <c r="C31" s="135">
        <v>0.82399999999999995</v>
      </c>
      <c r="D31" s="135">
        <v>0.86699999999999999</v>
      </c>
      <c r="E31" s="135">
        <v>0.91400000000000003</v>
      </c>
      <c r="F31" s="135">
        <v>0.96499999999999997</v>
      </c>
      <c r="G31" s="135">
        <v>1.0189999999999999</v>
      </c>
      <c r="H31" s="135">
        <v>1.0780000000000001</v>
      </c>
      <c r="I31" s="135">
        <v>1.1419999999999999</v>
      </c>
      <c r="J31" s="135">
        <v>1.212</v>
      </c>
      <c r="K31" s="135">
        <v>1.29</v>
      </c>
      <c r="L31" s="135">
        <v>1.3740000000000001</v>
      </c>
      <c r="M31" s="135">
        <v>1.4690000000000001</v>
      </c>
      <c r="N31" s="135">
        <v>1.5740000000000001</v>
      </c>
      <c r="O31" s="135">
        <v>1.6910000000000001</v>
      </c>
      <c r="P31" s="135">
        <v>1.8169999999999999</v>
      </c>
      <c r="Q31" s="135">
        <v>1.954</v>
      </c>
      <c r="R31" s="135">
        <v>2.1120000000000001</v>
      </c>
      <c r="S31" s="135">
        <v>2.2879999999999998</v>
      </c>
      <c r="T31" s="135">
        <v>2.484</v>
      </c>
      <c r="U31" s="135">
        <v>2.6960000000000002</v>
      </c>
      <c r="V31" s="135">
        <v>2.927</v>
      </c>
      <c r="W31" s="135">
        <v>3.1909999999999998</v>
      </c>
      <c r="X31" s="135">
        <v>3.4830000000000001</v>
      </c>
      <c r="Y31" s="135">
        <v>3.8029999999999999</v>
      </c>
      <c r="Z31" s="135">
        <v>4.1470000000000002</v>
      </c>
      <c r="AA31" s="135"/>
    </row>
    <row r="32" spans="1:27" x14ac:dyDescent="0.25">
      <c r="A32" s="74">
        <v>5</v>
      </c>
      <c r="B32" s="135">
        <v>0.78800000000000003</v>
      </c>
      <c r="C32" s="135">
        <v>0.82799999999999996</v>
      </c>
      <c r="D32" s="135">
        <v>0.871</v>
      </c>
      <c r="E32" s="135">
        <v>0.91800000000000004</v>
      </c>
      <c r="F32" s="135">
        <v>0.96899999999999997</v>
      </c>
      <c r="G32" s="135">
        <v>1.024</v>
      </c>
      <c r="H32" s="135">
        <v>1.083</v>
      </c>
      <c r="I32" s="135">
        <v>1.147</v>
      </c>
      <c r="J32" s="135">
        <v>1.2190000000000001</v>
      </c>
      <c r="K32" s="135">
        <v>1.296</v>
      </c>
      <c r="L32" s="135">
        <v>1.381</v>
      </c>
      <c r="M32" s="135">
        <v>1.478</v>
      </c>
      <c r="N32" s="135">
        <v>1.5840000000000001</v>
      </c>
      <c r="O32" s="135">
        <v>1.7010000000000001</v>
      </c>
      <c r="P32" s="135">
        <v>1.8280000000000001</v>
      </c>
      <c r="Q32" s="135">
        <v>1.9670000000000001</v>
      </c>
      <c r="R32" s="135">
        <v>2.1259999999999999</v>
      </c>
      <c r="S32" s="135">
        <v>2.3039999999999998</v>
      </c>
      <c r="T32" s="135">
        <v>2.5009999999999999</v>
      </c>
      <c r="U32" s="135">
        <v>2.714</v>
      </c>
      <c r="V32" s="135">
        <v>2.948</v>
      </c>
      <c r="W32" s="135">
        <v>3.2149999999999999</v>
      </c>
      <c r="X32" s="135">
        <v>3.5089999999999999</v>
      </c>
      <c r="Y32" s="135">
        <v>3.8319999999999999</v>
      </c>
      <c r="Z32" s="135">
        <v>4.1769999999999996</v>
      </c>
      <c r="AA32" s="135"/>
    </row>
    <row r="33" spans="1:27" x14ac:dyDescent="0.25">
      <c r="A33" s="74">
        <v>6</v>
      </c>
      <c r="B33" s="135">
        <v>0.79200000000000004</v>
      </c>
      <c r="C33" s="135">
        <v>0.83099999999999996</v>
      </c>
      <c r="D33" s="135">
        <v>0.875</v>
      </c>
      <c r="E33" s="135">
        <v>0.92300000000000004</v>
      </c>
      <c r="F33" s="135">
        <v>0.97399999999999998</v>
      </c>
      <c r="G33" s="135">
        <v>1.0289999999999999</v>
      </c>
      <c r="H33" s="135">
        <v>1.0880000000000001</v>
      </c>
      <c r="I33" s="135">
        <v>1.153</v>
      </c>
      <c r="J33" s="135">
        <v>1.2250000000000001</v>
      </c>
      <c r="K33" s="135">
        <v>1.3029999999999999</v>
      </c>
      <c r="L33" s="135">
        <v>1.389</v>
      </c>
      <c r="M33" s="135">
        <v>1.486</v>
      </c>
      <c r="N33" s="135">
        <v>1.593</v>
      </c>
      <c r="O33" s="135">
        <v>1.712</v>
      </c>
      <c r="P33" s="135">
        <v>1.839</v>
      </c>
      <c r="Q33" s="135">
        <v>1.98</v>
      </c>
      <c r="R33" s="135">
        <v>2.141</v>
      </c>
      <c r="S33" s="135">
        <v>2.3199999999999998</v>
      </c>
      <c r="T33" s="135">
        <v>2.5190000000000001</v>
      </c>
      <c r="U33" s="135">
        <v>2.7330000000000001</v>
      </c>
      <c r="V33" s="135">
        <v>2.97</v>
      </c>
      <c r="W33" s="135">
        <v>3.2389999999999999</v>
      </c>
      <c r="X33" s="135">
        <v>3.5350000000000001</v>
      </c>
      <c r="Y33" s="135">
        <v>3.86</v>
      </c>
      <c r="Z33" s="135">
        <v>4.2060000000000004</v>
      </c>
      <c r="AA33" s="135"/>
    </row>
    <row r="34" spans="1:27" x14ac:dyDescent="0.25">
      <c r="A34" s="74">
        <v>7</v>
      </c>
      <c r="B34" s="135">
        <v>0.79500000000000004</v>
      </c>
      <c r="C34" s="135">
        <v>0.83499999999999996</v>
      </c>
      <c r="D34" s="135">
        <v>0.879</v>
      </c>
      <c r="E34" s="135">
        <v>0.92700000000000005</v>
      </c>
      <c r="F34" s="135">
        <v>0.97799999999999998</v>
      </c>
      <c r="G34" s="135">
        <v>1.0329999999999999</v>
      </c>
      <c r="H34" s="135">
        <v>1.093</v>
      </c>
      <c r="I34" s="135">
        <v>1.159</v>
      </c>
      <c r="J34" s="135">
        <v>1.2310000000000001</v>
      </c>
      <c r="K34" s="135">
        <v>1.31</v>
      </c>
      <c r="L34" s="135">
        <v>1.397</v>
      </c>
      <c r="M34" s="135">
        <v>1.4950000000000001</v>
      </c>
      <c r="N34" s="135">
        <v>1.6020000000000001</v>
      </c>
      <c r="O34" s="135">
        <v>1.722</v>
      </c>
      <c r="P34" s="135">
        <v>1.849</v>
      </c>
      <c r="Q34" s="135">
        <v>1.992</v>
      </c>
      <c r="R34" s="135">
        <v>2.1549999999999998</v>
      </c>
      <c r="S34" s="135">
        <v>2.335</v>
      </c>
      <c r="T34" s="135">
        <v>2.536</v>
      </c>
      <c r="U34" s="135">
        <v>2.7509999999999999</v>
      </c>
      <c r="V34" s="135">
        <v>2.9910000000000001</v>
      </c>
      <c r="W34" s="135">
        <v>3.262</v>
      </c>
      <c r="X34" s="135">
        <v>3.5609999999999999</v>
      </c>
      <c r="Y34" s="135">
        <v>3.8879999999999999</v>
      </c>
      <c r="Z34" s="135">
        <v>4.2350000000000003</v>
      </c>
      <c r="AA34" s="135"/>
    </row>
    <row r="35" spans="1:27" x14ac:dyDescent="0.25">
      <c r="A35" s="74">
        <v>8</v>
      </c>
      <c r="B35" s="135">
        <v>0.79800000000000004</v>
      </c>
      <c r="C35" s="135">
        <v>0.83799999999999997</v>
      </c>
      <c r="D35" s="135">
        <v>0.88300000000000001</v>
      </c>
      <c r="E35" s="135">
        <v>0.93100000000000005</v>
      </c>
      <c r="F35" s="135">
        <v>0.98199999999999998</v>
      </c>
      <c r="G35" s="135">
        <v>1.038</v>
      </c>
      <c r="H35" s="135">
        <v>1.0980000000000001</v>
      </c>
      <c r="I35" s="135">
        <v>1.1639999999999999</v>
      </c>
      <c r="J35" s="135">
        <v>1.238</v>
      </c>
      <c r="K35" s="135">
        <v>1.3160000000000001</v>
      </c>
      <c r="L35" s="135">
        <v>1.4039999999999999</v>
      </c>
      <c r="M35" s="135">
        <v>1.5029999999999999</v>
      </c>
      <c r="N35" s="135">
        <v>1.6120000000000001</v>
      </c>
      <c r="O35" s="135">
        <v>1.732</v>
      </c>
      <c r="P35" s="135">
        <v>1.86</v>
      </c>
      <c r="Q35" s="135">
        <v>2.0049999999999999</v>
      </c>
      <c r="R35" s="135">
        <v>2.169</v>
      </c>
      <c r="S35" s="135">
        <v>2.351</v>
      </c>
      <c r="T35" s="135">
        <v>2.5529999999999999</v>
      </c>
      <c r="U35" s="135">
        <v>2.7690000000000001</v>
      </c>
      <c r="V35" s="135">
        <v>3.012</v>
      </c>
      <c r="W35" s="135">
        <v>3.286</v>
      </c>
      <c r="X35" s="135">
        <v>3.5870000000000002</v>
      </c>
      <c r="Y35" s="135">
        <v>3.9169999999999998</v>
      </c>
      <c r="Z35" s="135">
        <v>4.2649999999999997</v>
      </c>
      <c r="AA35" s="135"/>
    </row>
    <row r="36" spans="1:27" x14ac:dyDescent="0.25">
      <c r="A36" s="74">
        <v>9</v>
      </c>
      <c r="B36" s="135">
        <v>0.80100000000000005</v>
      </c>
      <c r="C36" s="135">
        <v>0.84199999999999997</v>
      </c>
      <c r="D36" s="135">
        <v>0.88700000000000001</v>
      </c>
      <c r="E36" s="135">
        <v>0.93500000000000005</v>
      </c>
      <c r="F36" s="135">
        <v>0.98699999999999999</v>
      </c>
      <c r="G36" s="135">
        <v>1.0429999999999999</v>
      </c>
      <c r="H36" s="135">
        <v>1.1040000000000001</v>
      </c>
      <c r="I36" s="135">
        <v>1.17</v>
      </c>
      <c r="J36" s="135">
        <v>1.244</v>
      </c>
      <c r="K36" s="135">
        <v>1.323</v>
      </c>
      <c r="L36" s="135">
        <v>1.4119999999999999</v>
      </c>
      <c r="M36" s="135">
        <v>1.512</v>
      </c>
      <c r="N36" s="135">
        <v>1.621</v>
      </c>
      <c r="O36" s="135">
        <v>1.7430000000000001</v>
      </c>
      <c r="P36" s="135">
        <v>1.871</v>
      </c>
      <c r="Q36" s="135">
        <v>2.0179999999999998</v>
      </c>
      <c r="R36" s="135">
        <v>2.1829999999999998</v>
      </c>
      <c r="S36" s="135">
        <v>2.367</v>
      </c>
      <c r="T36" s="135">
        <v>2.5710000000000002</v>
      </c>
      <c r="U36" s="135">
        <v>2.7869999999999999</v>
      </c>
      <c r="V36" s="135">
        <v>3.0329999999999999</v>
      </c>
      <c r="W36" s="135">
        <v>3.3090000000000002</v>
      </c>
      <c r="X36" s="135">
        <v>3.613</v>
      </c>
      <c r="Y36" s="135">
        <v>3.9449999999999998</v>
      </c>
      <c r="Z36" s="135">
        <v>4.2939999999999996</v>
      </c>
      <c r="AA36" s="135"/>
    </row>
    <row r="37" spans="1:27" x14ac:dyDescent="0.25">
      <c r="A37" s="74">
        <v>10</v>
      </c>
      <c r="B37" s="135">
        <v>0.80400000000000005</v>
      </c>
      <c r="C37" s="135">
        <v>0.84499999999999997</v>
      </c>
      <c r="D37" s="135">
        <v>0.89</v>
      </c>
      <c r="E37" s="135">
        <v>0.93899999999999995</v>
      </c>
      <c r="F37" s="135">
        <v>0.99099999999999999</v>
      </c>
      <c r="G37" s="135">
        <v>1.048</v>
      </c>
      <c r="H37" s="135">
        <v>1.109</v>
      </c>
      <c r="I37" s="135">
        <v>1.1759999999999999</v>
      </c>
      <c r="J37" s="135">
        <v>1.25</v>
      </c>
      <c r="K37" s="135">
        <v>1.33</v>
      </c>
      <c r="L37" s="135">
        <v>1.42</v>
      </c>
      <c r="M37" s="135">
        <v>1.52</v>
      </c>
      <c r="N37" s="135">
        <v>1.63</v>
      </c>
      <c r="O37" s="135">
        <v>1.7529999999999999</v>
      </c>
      <c r="P37" s="135">
        <v>1.8819999999999999</v>
      </c>
      <c r="Q37" s="135">
        <v>2.0310000000000001</v>
      </c>
      <c r="R37" s="135">
        <v>2.1970000000000001</v>
      </c>
      <c r="S37" s="135">
        <v>2.383</v>
      </c>
      <c r="T37" s="135">
        <v>2.5880000000000001</v>
      </c>
      <c r="U37" s="135">
        <v>2.806</v>
      </c>
      <c r="V37" s="135">
        <v>3.0550000000000002</v>
      </c>
      <c r="W37" s="135">
        <v>3.3330000000000002</v>
      </c>
      <c r="X37" s="135">
        <v>3.6379999999999999</v>
      </c>
      <c r="Y37" s="135">
        <v>3.9729999999999999</v>
      </c>
      <c r="Z37" s="135">
        <v>4.3230000000000004</v>
      </c>
      <c r="AA37" s="135"/>
    </row>
    <row r="38" spans="1:27" x14ac:dyDescent="0.25">
      <c r="A38" s="74">
        <v>11</v>
      </c>
      <c r="B38" s="135">
        <v>0.80700000000000005</v>
      </c>
      <c r="C38" s="135">
        <v>0.84899999999999998</v>
      </c>
      <c r="D38" s="135">
        <v>0.89400000000000002</v>
      </c>
      <c r="E38" s="135">
        <v>0.94299999999999995</v>
      </c>
      <c r="F38" s="135">
        <v>0.996</v>
      </c>
      <c r="G38" s="135">
        <v>1.052</v>
      </c>
      <c r="H38" s="135">
        <v>1.1140000000000001</v>
      </c>
      <c r="I38" s="135">
        <v>1.181</v>
      </c>
      <c r="J38" s="135">
        <v>1.2569999999999999</v>
      </c>
      <c r="K38" s="135">
        <v>1.3360000000000001</v>
      </c>
      <c r="L38" s="135">
        <v>1.427</v>
      </c>
      <c r="M38" s="135">
        <v>1.5289999999999999</v>
      </c>
      <c r="N38" s="135">
        <v>1.64</v>
      </c>
      <c r="O38" s="135">
        <v>1.764</v>
      </c>
      <c r="P38" s="135">
        <v>1.8919999999999999</v>
      </c>
      <c r="Q38" s="135">
        <v>2.0430000000000001</v>
      </c>
      <c r="R38" s="135">
        <v>2.2109999999999999</v>
      </c>
      <c r="S38" s="135">
        <v>2.3980000000000001</v>
      </c>
      <c r="T38" s="135">
        <v>2.6059999999999999</v>
      </c>
      <c r="U38" s="135">
        <v>2.8239999999999998</v>
      </c>
      <c r="V38" s="135">
        <v>3.0760000000000001</v>
      </c>
      <c r="W38" s="135">
        <v>3.3559999999999999</v>
      </c>
      <c r="X38" s="135">
        <v>3.6640000000000001</v>
      </c>
      <c r="Y38" s="135">
        <v>4.0019999999999998</v>
      </c>
      <c r="Z38" s="135">
        <v>4.3529999999999998</v>
      </c>
      <c r="AA38" s="135"/>
    </row>
    <row r="39" spans="1:27" x14ac:dyDescent="0.25">
      <c r="A39"/>
      <c r="B39"/>
    </row>
    <row r="40" spans="1:27" x14ac:dyDescent="0.25">
      <c r="A40"/>
      <c r="B40"/>
    </row>
    <row r="41" spans="1:27" x14ac:dyDescent="0.25">
      <c r="A41"/>
      <c r="B41"/>
    </row>
    <row r="42" spans="1:27" x14ac:dyDescent="0.25">
      <c r="A42"/>
      <c r="B42"/>
    </row>
    <row r="43" spans="1:27" x14ac:dyDescent="0.25">
      <c r="A43"/>
      <c r="B43"/>
    </row>
    <row r="44" spans="1:27" ht="39.6" customHeight="1" x14ac:dyDescent="0.25">
      <c r="A44"/>
      <c r="B44"/>
    </row>
    <row r="45" spans="1:27" x14ac:dyDescent="0.25">
      <c r="A45"/>
      <c r="B45"/>
    </row>
    <row r="46" spans="1:27" ht="27.6" customHeight="1" x14ac:dyDescent="0.25">
      <c r="A46"/>
      <c r="B46"/>
    </row>
    <row r="47" spans="1:27" x14ac:dyDescent="0.25">
      <c r="A47"/>
      <c r="B47"/>
    </row>
    <row r="48" spans="1:2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52AJAQvJj8WrAje8aIvCN1p1ygdxD2mU8RvvaBd6DnDxY6nrBdFzGn6dcyn82+ECVzQqIU/3P7vbXS/EOpt5LQ==" saltValue="Lh4TSgr5Z4AkqcM6EF/h0g==" spinCount="100000" sheet="1" objects="1" scenarios="1"/>
  <conditionalFormatting sqref="A6:A21">
    <cfRule type="expression" dxfId="951" priority="1" stopIfTrue="1">
      <formula>MOD(ROW(),2)=0</formula>
    </cfRule>
    <cfRule type="expression" dxfId="950" priority="2" stopIfTrue="1">
      <formula>MOD(ROW(),2)&lt;&gt;0</formula>
    </cfRule>
  </conditionalFormatting>
  <conditionalFormatting sqref="A26:A38">
    <cfRule type="expression" dxfId="949" priority="9" stopIfTrue="1">
      <formula>MOD(ROW(),2)=0</formula>
    </cfRule>
    <cfRule type="expression" dxfId="948" priority="10" stopIfTrue="1">
      <formula>MOD(ROW(),2)&lt;&gt;0</formula>
    </cfRule>
  </conditionalFormatting>
  <conditionalFormatting sqref="B17:B21">
    <cfRule type="expression" dxfId="947" priority="13" stopIfTrue="1">
      <formula>MOD(ROW(),2)=0</formula>
    </cfRule>
    <cfRule type="expression" dxfId="946" priority="14" stopIfTrue="1">
      <formula>MOD(ROW(),2)&lt;&gt;0</formula>
    </cfRule>
  </conditionalFormatting>
  <conditionalFormatting sqref="B6:AA21">
    <cfRule type="expression" dxfId="945" priority="37" stopIfTrue="1">
      <formula>MOD(ROW(),2)=0</formula>
    </cfRule>
    <cfRule type="expression" dxfId="944" priority="38" stopIfTrue="1">
      <formula>MOD(ROW(),2)&lt;&gt;0</formula>
    </cfRule>
  </conditionalFormatting>
  <conditionalFormatting sqref="B26:AA38">
    <cfRule type="expression" dxfId="943" priority="5" stopIfTrue="1">
      <formula>MOD(ROW(),2)=0</formula>
    </cfRule>
    <cfRule type="expression" dxfId="942" priority="6" stopIfTrue="1">
      <formula>MOD(ROW(),2)&lt;&gt;0</formula>
    </cfRule>
  </conditionalFormatting>
  <conditionalFormatting sqref="W6:AA21">
    <cfRule type="expression" dxfId="941" priority="7" stopIfTrue="1">
      <formula>MOD(ROW(),2)=0</formula>
    </cfRule>
    <cfRule type="expression" dxfId="940" priority="8" stopIfTrue="1">
      <formula>MOD(ROW(),2)&lt;&gt;0</formula>
    </cfRule>
  </conditionalFormatting>
  <hyperlinks>
    <hyperlink ref="B24" location="Sheet1!A1" display="Assumptions" xr:uid="{8B9F50A0-8EDC-4087-8C59-86AD2825517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2"/>
  <dimension ref="A1:AA65"/>
  <sheetViews>
    <sheetView showGridLines="0" zoomScale="85" zoomScaleNormal="85" workbookViewId="0">
      <selection activeCell="A4" sqref="A4"/>
    </sheetView>
  </sheetViews>
  <sheetFormatPr defaultColWidth="10" defaultRowHeight="13.2" x14ac:dyDescent="0.25"/>
  <cols>
    <col min="1" max="1" width="31.5546875" style="27" customWidth="1"/>
    <col min="2" max="27" width="22.5546875" style="27" customWidth="1"/>
    <col min="28" max="16384" width="10" style="27"/>
  </cols>
  <sheetData>
    <row r="1" spans="1:27" ht="21" x14ac:dyDescent="0.4">
      <c r="A1" s="39" t="s">
        <v>0</v>
      </c>
      <c r="B1" s="40"/>
      <c r="C1" s="40"/>
      <c r="D1" s="40"/>
      <c r="E1" s="40"/>
      <c r="F1" s="40"/>
      <c r="G1" s="40"/>
      <c r="H1" s="40"/>
      <c r="I1" s="40"/>
    </row>
    <row r="2" spans="1:27"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27" ht="15.6" x14ac:dyDescent="0.3">
      <c r="A3" s="43" t="str">
        <f>TABLE_FACTOR_TYPE_1&amp;" - x-"&amp;TABLE_SERIES_NUMBER_1</f>
        <v>LRF - x-416</v>
      </c>
      <c r="B3" s="42"/>
      <c r="C3" s="42"/>
      <c r="D3" s="42"/>
      <c r="E3" s="42"/>
      <c r="F3" s="42"/>
      <c r="G3" s="42"/>
      <c r="H3" s="42"/>
      <c r="I3" s="42"/>
    </row>
    <row r="4" spans="1:27" x14ac:dyDescent="0.25">
      <c r="A4" s="44"/>
    </row>
    <row r="6" spans="1:27" x14ac:dyDescent="0.25">
      <c r="A6" s="76" t="s">
        <v>290</v>
      </c>
      <c r="B6" s="129" t="s">
        <v>291</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row>
    <row r="7" spans="1:27" x14ac:dyDescent="0.25">
      <c r="A7" s="77" t="s">
        <v>804</v>
      </c>
      <c r="B7" s="129" t="s">
        <v>324</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row>
    <row r="8" spans="1:27" x14ac:dyDescent="0.25">
      <c r="A8" s="77" t="s">
        <v>805</v>
      </c>
      <c r="B8" s="129" t="s">
        <v>85</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row>
    <row r="9" spans="1:27" x14ac:dyDescent="0.25">
      <c r="A9" s="77" t="s">
        <v>296</v>
      </c>
      <c r="B9" s="129" t="s">
        <v>469</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row>
    <row r="10" spans="1:27" x14ac:dyDescent="0.25">
      <c r="A10" s="77" t="s">
        <v>6</v>
      </c>
      <c r="B10" s="129" t="s">
        <v>475</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row>
    <row r="11" spans="1:27" x14ac:dyDescent="0.25">
      <c r="A11" s="77" t="s">
        <v>299</v>
      </c>
      <c r="B11" s="129" t="s">
        <v>364</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row>
    <row r="12" spans="1:27" x14ac:dyDescent="0.25">
      <c r="A12" s="77" t="s">
        <v>301</v>
      </c>
      <c r="B12" s="129" t="s">
        <v>471</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row>
    <row r="13" spans="1:27" x14ac:dyDescent="0.25">
      <c r="A13" s="77" t="s">
        <v>806</v>
      </c>
      <c r="B13" s="129">
        <v>0</v>
      </c>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row>
    <row r="14" spans="1:27" x14ac:dyDescent="0.25">
      <c r="A14" s="77" t="s">
        <v>305</v>
      </c>
      <c r="B14" s="129">
        <v>416</v>
      </c>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row>
    <row r="15" spans="1:27" x14ac:dyDescent="0.25">
      <c r="A15" s="77" t="s">
        <v>307</v>
      </c>
      <c r="B15" s="129" t="s">
        <v>476</v>
      </c>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row>
    <row r="16" spans="1:27" x14ac:dyDescent="0.25">
      <c r="A16" s="77" t="s">
        <v>825</v>
      </c>
      <c r="B16" s="129" t="s">
        <v>477</v>
      </c>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row>
    <row r="17" spans="1:27" x14ac:dyDescent="0.25">
      <c r="A17" s="77" t="s">
        <v>803</v>
      </c>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row>
    <row r="18" spans="1:27" x14ac:dyDescent="0.25">
      <c r="A18" s="77" t="s">
        <v>313</v>
      </c>
      <c r="B18" s="187" t="s">
        <v>474</v>
      </c>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row>
    <row r="19" spans="1:27" x14ac:dyDescent="0.25">
      <c r="A19" s="77" t="s">
        <v>315</v>
      </c>
      <c r="B19" s="187"/>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row>
    <row r="20" spans="1:27" x14ac:dyDescent="0.25">
      <c r="A20" s="77" t="s">
        <v>317</v>
      </c>
      <c r="B20" s="129" t="s">
        <v>331</v>
      </c>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row>
    <row r="21" spans="1:27" x14ac:dyDescent="0.25">
      <c r="A21" s="77" t="s">
        <v>323</v>
      </c>
      <c r="B21" s="129" t="s">
        <v>332</v>
      </c>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row>
    <row r="23" spans="1:27" x14ac:dyDescent="0.25">
      <c r="B23" s="102" t="str">
        <f>HYPERLINK("#'Factor List'!A1","Back to Factor List")</f>
        <v>Back to Factor List</v>
      </c>
    </row>
    <row r="24" spans="1:27" x14ac:dyDescent="0.25">
      <c r="B24" s="102" t="s">
        <v>13</v>
      </c>
    </row>
    <row r="25" spans="1:27" x14ac:dyDescent="0.25">
      <c r="B25" s="102"/>
    </row>
    <row r="26" spans="1:27" x14ac:dyDescent="0.25">
      <c r="A26" s="73" t="s">
        <v>855</v>
      </c>
      <c r="B26" s="73">
        <v>60</v>
      </c>
      <c r="C26" s="73">
        <v>61</v>
      </c>
      <c r="D26" s="73">
        <v>62</v>
      </c>
      <c r="E26" s="73">
        <v>63</v>
      </c>
      <c r="F26" s="73">
        <v>64</v>
      </c>
      <c r="G26" s="73">
        <v>65</v>
      </c>
      <c r="H26" s="73">
        <v>66</v>
      </c>
      <c r="I26" s="73">
        <v>67</v>
      </c>
      <c r="J26" s="73">
        <v>68</v>
      </c>
      <c r="K26" s="73">
        <v>69</v>
      </c>
      <c r="L26" s="73">
        <v>70</v>
      </c>
      <c r="M26" s="73">
        <v>71</v>
      </c>
      <c r="N26" s="73">
        <v>72</v>
      </c>
      <c r="O26" s="73">
        <v>73</v>
      </c>
      <c r="P26" s="73">
        <v>74</v>
      </c>
      <c r="Q26" s="73">
        <v>75</v>
      </c>
      <c r="R26" s="73">
        <v>76</v>
      </c>
      <c r="S26" s="73">
        <v>77</v>
      </c>
      <c r="T26" s="73">
        <v>78</v>
      </c>
      <c r="U26" s="73">
        <v>79</v>
      </c>
      <c r="V26" s="73">
        <v>80</v>
      </c>
      <c r="W26" s="73">
        <v>81</v>
      </c>
      <c r="X26" s="73">
        <v>82</v>
      </c>
      <c r="Y26" s="73">
        <v>83</v>
      </c>
      <c r="Z26" s="73">
        <v>84</v>
      </c>
      <c r="AA26" s="73">
        <v>85</v>
      </c>
    </row>
    <row r="27" spans="1:27" x14ac:dyDescent="0.25">
      <c r="A27" s="74">
        <v>0</v>
      </c>
      <c r="B27" s="135">
        <v>0.76200000000000001</v>
      </c>
      <c r="C27" s="135">
        <v>0.8</v>
      </c>
      <c r="D27" s="135">
        <v>0.84399999999999997</v>
      </c>
      <c r="E27" s="135">
        <v>0.89100000000000001</v>
      </c>
      <c r="F27" s="135">
        <v>0.94299999999999995</v>
      </c>
      <c r="G27" s="135">
        <v>1</v>
      </c>
      <c r="H27" s="135">
        <v>1.06</v>
      </c>
      <c r="I27" s="135">
        <v>1.1259999999999999</v>
      </c>
      <c r="J27" s="135">
        <v>1.1990000000000001</v>
      </c>
      <c r="K27" s="135">
        <v>1.28</v>
      </c>
      <c r="L27" s="135">
        <v>1.369</v>
      </c>
      <c r="M27" s="135">
        <v>1.4690000000000001</v>
      </c>
      <c r="N27" s="135">
        <v>1.579</v>
      </c>
      <c r="O27" s="135">
        <v>1.702</v>
      </c>
      <c r="P27" s="135">
        <v>1.8380000000000001</v>
      </c>
      <c r="Q27" s="135">
        <v>1.99</v>
      </c>
      <c r="R27" s="135">
        <v>2.1589999999999998</v>
      </c>
      <c r="S27" s="135">
        <v>2.3479999999999999</v>
      </c>
      <c r="T27" s="135">
        <v>2.5579999999999998</v>
      </c>
      <c r="U27" s="135">
        <v>2.7919999999999998</v>
      </c>
      <c r="V27" s="135">
        <v>3.0529999999999999</v>
      </c>
      <c r="W27" s="135">
        <v>3.3410000000000002</v>
      </c>
      <c r="X27" s="135">
        <v>3.66</v>
      </c>
      <c r="Y27" s="135">
        <v>4.01</v>
      </c>
      <c r="Z27" s="135">
        <v>4.3920000000000003</v>
      </c>
      <c r="AA27" s="135">
        <v>4.8090000000000002</v>
      </c>
    </row>
    <row r="28" spans="1:27" x14ac:dyDescent="0.25">
      <c r="A28" s="74">
        <v>1</v>
      </c>
      <c r="B28" s="135">
        <v>0.76500000000000001</v>
      </c>
      <c r="C28" s="135">
        <v>0.80400000000000005</v>
      </c>
      <c r="D28" s="135">
        <v>0.84799999999999998</v>
      </c>
      <c r="E28" s="135">
        <v>0.89500000000000002</v>
      </c>
      <c r="F28" s="135">
        <v>0.94799999999999995</v>
      </c>
      <c r="G28" s="135">
        <v>1.0049999999999999</v>
      </c>
      <c r="H28" s="135">
        <v>1.0660000000000001</v>
      </c>
      <c r="I28" s="135">
        <v>1.1319999999999999</v>
      </c>
      <c r="J28" s="135">
        <v>1.206</v>
      </c>
      <c r="K28" s="135">
        <v>1.2869999999999999</v>
      </c>
      <c r="L28" s="135">
        <v>1.377</v>
      </c>
      <c r="M28" s="135">
        <v>1.478</v>
      </c>
      <c r="N28" s="135">
        <v>1.589</v>
      </c>
      <c r="O28" s="135">
        <v>1.7130000000000001</v>
      </c>
      <c r="P28" s="135">
        <v>1.851</v>
      </c>
      <c r="Q28" s="135">
        <v>2.004</v>
      </c>
      <c r="R28" s="135">
        <v>2.1749999999999998</v>
      </c>
      <c r="S28" s="135">
        <v>2.3660000000000001</v>
      </c>
      <c r="T28" s="135">
        <v>2.5779999999999998</v>
      </c>
      <c r="U28" s="135">
        <v>2.8140000000000001</v>
      </c>
      <c r="V28" s="135">
        <v>3.077</v>
      </c>
      <c r="W28" s="135">
        <v>3.3679999999999999</v>
      </c>
      <c r="X28" s="135">
        <v>3.6890000000000001</v>
      </c>
      <c r="Y28" s="135">
        <v>4.0419999999999998</v>
      </c>
      <c r="Z28" s="135">
        <v>4.4269999999999996</v>
      </c>
      <c r="AA28" s="135"/>
    </row>
    <row r="29" spans="1:27" x14ac:dyDescent="0.25">
      <c r="A29" s="74">
        <v>2</v>
      </c>
      <c r="B29" s="135">
        <v>0.76800000000000002</v>
      </c>
      <c r="C29" s="135">
        <v>0.80700000000000005</v>
      </c>
      <c r="D29" s="135">
        <v>0.85199999999999998</v>
      </c>
      <c r="E29" s="135">
        <v>0.9</v>
      </c>
      <c r="F29" s="135">
        <v>0.95299999999999996</v>
      </c>
      <c r="G29" s="135">
        <v>1.01</v>
      </c>
      <c r="H29" s="135">
        <v>1.071</v>
      </c>
      <c r="I29" s="135">
        <v>1.1379999999999999</v>
      </c>
      <c r="J29" s="135">
        <v>1.2130000000000001</v>
      </c>
      <c r="K29" s="135">
        <v>1.2949999999999999</v>
      </c>
      <c r="L29" s="135">
        <v>1.3859999999999999</v>
      </c>
      <c r="M29" s="135">
        <v>1.4870000000000001</v>
      </c>
      <c r="N29" s="135">
        <v>1.6</v>
      </c>
      <c r="O29" s="135">
        <v>1.7250000000000001</v>
      </c>
      <c r="P29" s="135">
        <v>1.863</v>
      </c>
      <c r="Q29" s="135">
        <v>2.0179999999999998</v>
      </c>
      <c r="R29" s="135">
        <v>2.1909999999999998</v>
      </c>
      <c r="S29" s="135">
        <v>2.383</v>
      </c>
      <c r="T29" s="135">
        <v>2.597</v>
      </c>
      <c r="U29" s="135">
        <v>2.8359999999999999</v>
      </c>
      <c r="V29" s="135">
        <v>3.101</v>
      </c>
      <c r="W29" s="135">
        <v>3.3940000000000001</v>
      </c>
      <c r="X29" s="135">
        <v>3.718</v>
      </c>
      <c r="Y29" s="135">
        <v>4.0739999999999998</v>
      </c>
      <c r="Z29" s="135">
        <v>4.4619999999999997</v>
      </c>
      <c r="AA29" s="135"/>
    </row>
    <row r="30" spans="1:27" x14ac:dyDescent="0.25">
      <c r="A30" s="74">
        <v>3</v>
      </c>
      <c r="B30" s="135">
        <v>0.77200000000000002</v>
      </c>
      <c r="C30" s="135">
        <v>0.81100000000000005</v>
      </c>
      <c r="D30" s="135">
        <v>0.85599999999999998</v>
      </c>
      <c r="E30" s="135">
        <v>0.90400000000000003</v>
      </c>
      <c r="F30" s="135">
        <v>0.95699999999999996</v>
      </c>
      <c r="G30" s="135">
        <v>1.0149999999999999</v>
      </c>
      <c r="H30" s="135">
        <v>1.077</v>
      </c>
      <c r="I30" s="135">
        <v>1.1439999999999999</v>
      </c>
      <c r="J30" s="135">
        <v>1.2190000000000001</v>
      </c>
      <c r="K30" s="135">
        <v>1.302</v>
      </c>
      <c r="L30" s="135">
        <v>1.3939999999999999</v>
      </c>
      <c r="M30" s="135">
        <v>1.4970000000000001</v>
      </c>
      <c r="N30" s="135">
        <v>1.61</v>
      </c>
      <c r="O30" s="135">
        <v>1.736</v>
      </c>
      <c r="P30" s="135">
        <v>1.8759999999999999</v>
      </c>
      <c r="Q30" s="135">
        <v>2.032</v>
      </c>
      <c r="R30" s="135">
        <v>2.206</v>
      </c>
      <c r="S30" s="135">
        <v>2.4009999999999998</v>
      </c>
      <c r="T30" s="135">
        <v>2.617</v>
      </c>
      <c r="U30" s="135">
        <v>2.8570000000000002</v>
      </c>
      <c r="V30" s="135">
        <v>3.125</v>
      </c>
      <c r="W30" s="135">
        <v>3.4209999999999998</v>
      </c>
      <c r="X30" s="135">
        <v>3.7480000000000002</v>
      </c>
      <c r="Y30" s="135">
        <v>4.1059999999999999</v>
      </c>
      <c r="Z30" s="135">
        <v>4.4960000000000004</v>
      </c>
      <c r="AA30" s="135"/>
    </row>
    <row r="31" spans="1:27" x14ac:dyDescent="0.25">
      <c r="A31" s="74">
        <v>4</v>
      </c>
      <c r="B31" s="135">
        <v>0.77500000000000002</v>
      </c>
      <c r="C31" s="135">
        <v>0.81499999999999995</v>
      </c>
      <c r="D31" s="135">
        <v>0.86</v>
      </c>
      <c r="E31" s="135">
        <v>0.90800000000000003</v>
      </c>
      <c r="F31" s="135">
        <v>0.96199999999999997</v>
      </c>
      <c r="G31" s="135">
        <v>1.02</v>
      </c>
      <c r="H31" s="135">
        <v>1.0820000000000001</v>
      </c>
      <c r="I31" s="135">
        <v>1.1499999999999999</v>
      </c>
      <c r="J31" s="135">
        <v>1.226</v>
      </c>
      <c r="K31" s="135">
        <v>1.31</v>
      </c>
      <c r="L31" s="135">
        <v>1.4019999999999999</v>
      </c>
      <c r="M31" s="135">
        <v>1.506</v>
      </c>
      <c r="N31" s="135">
        <v>1.62</v>
      </c>
      <c r="O31" s="135">
        <v>1.7470000000000001</v>
      </c>
      <c r="P31" s="135">
        <v>1.889</v>
      </c>
      <c r="Q31" s="135">
        <v>2.0459999999999998</v>
      </c>
      <c r="R31" s="135">
        <v>2.222</v>
      </c>
      <c r="S31" s="135">
        <v>2.4180000000000001</v>
      </c>
      <c r="T31" s="135">
        <v>2.6360000000000001</v>
      </c>
      <c r="U31" s="135">
        <v>2.879</v>
      </c>
      <c r="V31" s="135">
        <v>3.149</v>
      </c>
      <c r="W31" s="135">
        <v>3.4470000000000001</v>
      </c>
      <c r="X31" s="135">
        <v>3.7770000000000001</v>
      </c>
      <c r="Y31" s="135">
        <v>4.1369999999999996</v>
      </c>
      <c r="Z31" s="135">
        <v>4.5309999999999997</v>
      </c>
      <c r="AA31" s="135"/>
    </row>
    <row r="32" spans="1:27" x14ac:dyDescent="0.25">
      <c r="A32" s="74">
        <v>5</v>
      </c>
      <c r="B32" s="135">
        <v>0.77800000000000002</v>
      </c>
      <c r="C32" s="135">
        <v>0.81799999999999995</v>
      </c>
      <c r="D32" s="135">
        <v>0.86399999999999999</v>
      </c>
      <c r="E32" s="135">
        <v>0.91300000000000003</v>
      </c>
      <c r="F32" s="135">
        <v>0.96699999999999997</v>
      </c>
      <c r="G32" s="135">
        <v>1.0249999999999999</v>
      </c>
      <c r="H32" s="135">
        <v>1.0880000000000001</v>
      </c>
      <c r="I32" s="135">
        <v>1.1559999999999999</v>
      </c>
      <c r="J32" s="135">
        <v>1.2330000000000001</v>
      </c>
      <c r="K32" s="135">
        <v>1.3169999999999999</v>
      </c>
      <c r="L32" s="135">
        <v>1.411</v>
      </c>
      <c r="M32" s="135">
        <v>1.5149999999999999</v>
      </c>
      <c r="N32" s="135">
        <v>1.63</v>
      </c>
      <c r="O32" s="135">
        <v>1.7589999999999999</v>
      </c>
      <c r="P32" s="135">
        <v>1.901</v>
      </c>
      <c r="Q32" s="135">
        <v>2.06</v>
      </c>
      <c r="R32" s="135">
        <v>2.238</v>
      </c>
      <c r="S32" s="135">
        <v>2.4359999999999999</v>
      </c>
      <c r="T32" s="135">
        <v>2.6560000000000001</v>
      </c>
      <c r="U32" s="135">
        <v>2.9009999999999998</v>
      </c>
      <c r="V32" s="135">
        <v>3.173</v>
      </c>
      <c r="W32" s="135">
        <v>3.4740000000000002</v>
      </c>
      <c r="X32" s="135">
        <v>3.806</v>
      </c>
      <c r="Y32" s="135">
        <v>4.1689999999999996</v>
      </c>
      <c r="Z32" s="135">
        <v>4.5659999999999998</v>
      </c>
      <c r="AA32" s="135"/>
    </row>
    <row r="33" spans="1:27" x14ac:dyDescent="0.25">
      <c r="A33" s="74">
        <v>6</v>
      </c>
      <c r="B33" s="135">
        <v>0.78100000000000003</v>
      </c>
      <c r="C33" s="135">
        <v>0.82199999999999995</v>
      </c>
      <c r="D33" s="135">
        <v>0.86799999999999999</v>
      </c>
      <c r="E33" s="135">
        <v>0.91700000000000004</v>
      </c>
      <c r="F33" s="135">
        <v>0.97199999999999998</v>
      </c>
      <c r="G33" s="135">
        <v>1.03</v>
      </c>
      <c r="H33" s="135">
        <v>1.093</v>
      </c>
      <c r="I33" s="135">
        <v>1.163</v>
      </c>
      <c r="J33" s="135">
        <v>1.24</v>
      </c>
      <c r="K33" s="135">
        <v>1.325</v>
      </c>
      <c r="L33" s="135">
        <v>1.419</v>
      </c>
      <c r="M33" s="135">
        <v>1.524</v>
      </c>
      <c r="N33" s="135">
        <v>1.641</v>
      </c>
      <c r="O33" s="135">
        <v>1.77</v>
      </c>
      <c r="P33" s="135">
        <v>1.9139999999999999</v>
      </c>
      <c r="Q33" s="135">
        <v>2.0750000000000002</v>
      </c>
      <c r="R33" s="135">
        <v>2.254</v>
      </c>
      <c r="S33" s="135">
        <v>2.4529999999999998</v>
      </c>
      <c r="T33" s="135">
        <v>2.6749999999999998</v>
      </c>
      <c r="U33" s="135">
        <v>2.923</v>
      </c>
      <c r="V33" s="135">
        <v>3.1970000000000001</v>
      </c>
      <c r="W33" s="135">
        <v>3.5009999999999999</v>
      </c>
      <c r="X33" s="135">
        <v>3.835</v>
      </c>
      <c r="Y33" s="135">
        <v>4.2009999999999996</v>
      </c>
      <c r="Z33" s="135">
        <v>4.601</v>
      </c>
      <c r="AA33" s="135"/>
    </row>
    <row r="34" spans="1:27" x14ac:dyDescent="0.25">
      <c r="A34" s="74">
        <v>7</v>
      </c>
      <c r="B34" s="135">
        <v>0.78400000000000003</v>
      </c>
      <c r="C34" s="135">
        <v>0.82599999999999996</v>
      </c>
      <c r="D34" s="135">
        <v>0.871</v>
      </c>
      <c r="E34" s="135">
        <v>0.92100000000000004</v>
      </c>
      <c r="F34" s="135">
        <v>0.97599999999999998</v>
      </c>
      <c r="G34" s="135">
        <v>1.0349999999999999</v>
      </c>
      <c r="H34" s="135">
        <v>1.099</v>
      </c>
      <c r="I34" s="135">
        <v>1.169</v>
      </c>
      <c r="J34" s="135">
        <v>1.246</v>
      </c>
      <c r="K34" s="135">
        <v>1.3320000000000001</v>
      </c>
      <c r="L34" s="135">
        <v>1.427</v>
      </c>
      <c r="M34" s="135">
        <v>1.5329999999999999</v>
      </c>
      <c r="N34" s="135">
        <v>1.651</v>
      </c>
      <c r="O34" s="135">
        <v>1.7809999999999999</v>
      </c>
      <c r="P34" s="135">
        <v>1.927</v>
      </c>
      <c r="Q34" s="135">
        <v>2.089</v>
      </c>
      <c r="R34" s="135">
        <v>2.2690000000000001</v>
      </c>
      <c r="S34" s="135">
        <v>2.4710000000000001</v>
      </c>
      <c r="T34" s="135">
        <v>2.6949999999999998</v>
      </c>
      <c r="U34" s="135">
        <v>2.944</v>
      </c>
      <c r="V34" s="135">
        <v>3.2210000000000001</v>
      </c>
      <c r="W34" s="135">
        <v>3.5270000000000001</v>
      </c>
      <c r="X34" s="135">
        <v>3.8639999999999999</v>
      </c>
      <c r="Y34" s="135">
        <v>4.2329999999999997</v>
      </c>
      <c r="Z34" s="135">
        <v>4.6349999999999998</v>
      </c>
      <c r="AA34" s="135"/>
    </row>
    <row r="35" spans="1:27" x14ac:dyDescent="0.25">
      <c r="A35" s="74">
        <v>8</v>
      </c>
      <c r="B35" s="135">
        <v>0.78700000000000003</v>
      </c>
      <c r="C35" s="135">
        <v>0.82899999999999996</v>
      </c>
      <c r="D35" s="135">
        <v>0.875</v>
      </c>
      <c r="E35" s="135">
        <v>0.92600000000000005</v>
      </c>
      <c r="F35" s="135">
        <v>0.98099999999999998</v>
      </c>
      <c r="G35" s="135">
        <v>1.04</v>
      </c>
      <c r="H35" s="135">
        <v>1.1040000000000001</v>
      </c>
      <c r="I35" s="135">
        <v>1.175</v>
      </c>
      <c r="J35" s="135">
        <v>1.2529999999999999</v>
      </c>
      <c r="K35" s="135">
        <v>1.339</v>
      </c>
      <c r="L35" s="135">
        <v>1.4359999999999999</v>
      </c>
      <c r="M35" s="135">
        <v>1.542</v>
      </c>
      <c r="N35" s="135">
        <v>1.661</v>
      </c>
      <c r="O35" s="135">
        <v>1.7929999999999999</v>
      </c>
      <c r="P35" s="135">
        <v>1.9390000000000001</v>
      </c>
      <c r="Q35" s="135">
        <v>2.1030000000000002</v>
      </c>
      <c r="R35" s="135">
        <v>2.2850000000000001</v>
      </c>
      <c r="S35" s="135">
        <v>2.488</v>
      </c>
      <c r="T35" s="135">
        <v>2.714</v>
      </c>
      <c r="U35" s="135">
        <v>2.9660000000000002</v>
      </c>
      <c r="V35" s="135">
        <v>3.2450000000000001</v>
      </c>
      <c r="W35" s="135">
        <v>3.5539999999999998</v>
      </c>
      <c r="X35" s="135">
        <v>3.8929999999999998</v>
      </c>
      <c r="Y35" s="135">
        <v>4.2649999999999997</v>
      </c>
      <c r="Z35" s="135">
        <v>4.67</v>
      </c>
      <c r="AA35" s="135"/>
    </row>
    <row r="36" spans="1:27" x14ac:dyDescent="0.25">
      <c r="A36" s="74">
        <v>9</v>
      </c>
      <c r="B36" s="135">
        <v>0.79100000000000004</v>
      </c>
      <c r="C36" s="135">
        <v>0.83299999999999996</v>
      </c>
      <c r="D36" s="135">
        <v>0.879</v>
      </c>
      <c r="E36" s="135">
        <v>0.93</v>
      </c>
      <c r="F36" s="135">
        <v>0.98599999999999999</v>
      </c>
      <c r="G36" s="135">
        <v>1.0449999999999999</v>
      </c>
      <c r="H36" s="135">
        <v>1.1100000000000001</v>
      </c>
      <c r="I36" s="135">
        <v>1.181</v>
      </c>
      <c r="J36" s="135">
        <v>1.26</v>
      </c>
      <c r="K36" s="135">
        <v>1.347</v>
      </c>
      <c r="L36" s="135">
        <v>1.444</v>
      </c>
      <c r="M36" s="135">
        <v>1.552</v>
      </c>
      <c r="N36" s="135">
        <v>1.671</v>
      </c>
      <c r="O36" s="135">
        <v>1.804</v>
      </c>
      <c r="P36" s="135">
        <v>1.952</v>
      </c>
      <c r="Q36" s="135">
        <v>2.117</v>
      </c>
      <c r="R36" s="135">
        <v>2.3010000000000002</v>
      </c>
      <c r="S36" s="135">
        <v>2.5059999999999998</v>
      </c>
      <c r="T36" s="135">
        <v>2.734</v>
      </c>
      <c r="U36" s="135">
        <v>2.988</v>
      </c>
      <c r="V36" s="135">
        <v>3.2690000000000001</v>
      </c>
      <c r="W36" s="135">
        <v>3.58</v>
      </c>
      <c r="X36" s="135">
        <v>3.923</v>
      </c>
      <c r="Y36" s="135">
        <v>4.2969999999999997</v>
      </c>
      <c r="Z36" s="135">
        <v>4.7050000000000001</v>
      </c>
      <c r="AA36" s="135"/>
    </row>
    <row r="37" spans="1:27" x14ac:dyDescent="0.25">
      <c r="A37" s="74">
        <v>10</v>
      </c>
      <c r="B37" s="135">
        <v>0.79400000000000004</v>
      </c>
      <c r="C37" s="135">
        <v>0.83699999999999997</v>
      </c>
      <c r="D37" s="135">
        <v>0.88300000000000001</v>
      </c>
      <c r="E37" s="135">
        <v>0.93400000000000005</v>
      </c>
      <c r="F37" s="135">
        <v>0.99099999999999999</v>
      </c>
      <c r="G37" s="135">
        <v>1.05</v>
      </c>
      <c r="H37" s="135">
        <v>1.115</v>
      </c>
      <c r="I37" s="135">
        <v>1.1870000000000001</v>
      </c>
      <c r="J37" s="135">
        <v>1.2669999999999999</v>
      </c>
      <c r="K37" s="135">
        <v>1.3540000000000001</v>
      </c>
      <c r="L37" s="135">
        <v>1.452</v>
      </c>
      <c r="M37" s="135">
        <v>1.5609999999999999</v>
      </c>
      <c r="N37" s="135">
        <v>1.6819999999999999</v>
      </c>
      <c r="O37" s="135">
        <v>1.8149999999999999</v>
      </c>
      <c r="P37" s="135">
        <v>1.9650000000000001</v>
      </c>
      <c r="Q37" s="135">
        <v>2.1309999999999998</v>
      </c>
      <c r="R37" s="135">
        <v>2.3170000000000002</v>
      </c>
      <c r="S37" s="135">
        <v>2.5230000000000001</v>
      </c>
      <c r="T37" s="135">
        <v>2.7530000000000001</v>
      </c>
      <c r="U37" s="135">
        <v>3.01</v>
      </c>
      <c r="V37" s="135">
        <v>3.2930000000000001</v>
      </c>
      <c r="W37" s="135">
        <v>3.6070000000000002</v>
      </c>
      <c r="X37" s="135">
        <v>3.952</v>
      </c>
      <c r="Y37" s="135">
        <v>4.3280000000000003</v>
      </c>
      <c r="Z37" s="135">
        <v>4.74</v>
      </c>
      <c r="AA37" s="135"/>
    </row>
    <row r="38" spans="1:27" x14ac:dyDescent="0.25">
      <c r="A38" s="74">
        <v>11</v>
      </c>
      <c r="B38" s="135">
        <v>0.79700000000000004</v>
      </c>
      <c r="C38" s="135">
        <v>0.84</v>
      </c>
      <c r="D38" s="135">
        <v>0.88700000000000001</v>
      </c>
      <c r="E38" s="135">
        <v>0.93899999999999995</v>
      </c>
      <c r="F38" s="135">
        <v>0.995</v>
      </c>
      <c r="G38" s="135">
        <v>1.0549999999999999</v>
      </c>
      <c r="H38" s="135">
        <v>1.121</v>
      </c>
      <c r="I38" s="135">
        <v>1.1930000000000001</v>
      </c>
      <c r="J38" s="135">
        <v>1.2729999999999999</v>
      </c>
      <c r="K38" s="135">
        <v>1.3620000000000001</v>
      </c>
      <c r="L38" s="135">
        <v>1.4610000000000001</v>
      </c>
      <c r="M38" s="135">
        <v>1.57</v>
      </c>
      <c r="N38" s="135">
        <v>1.6919999999999999</v>
      </c>
      <c r="O38" s="135">
        <v>1.827</v>
      </c>
      <c r="P38" s="135">
        <v>1.9770000000000001</v>
      </c>
      <c r="Q38" s="135">
        <v>2.145</v>
      </c>
      <c r="R38" s="135">
        <v>2.3319999999999999</v>
      </c>
      <c r="S38" s="135">
        <v>2.5409999999999999</v>
      </c>
      <c r="T38" s="135">
        <v>2.7730000000000001</v>
      </c>
      <c r="U38" s="135">
        <v>3.0310000000000001</v>
      </c>
      <c r="V38" s="135">
        <v>3.3170000000000002</v>
      </c>
      <c r="W38" s="135">
        <v>3.633</v>
      </c>
      <c r="X38" s="135">
        <v>3.9809999999999999</v>
      </c>
      <c r="Y38" s="135">
        <v>4.3600000000000003</v>
      </c>
      <c r="Z38" s="135">
        <v>4.774</v>
      </c>
      <c r="AA38" s="135"/>
    </row>
    <row r="39" spans="1:27" x14ac:dyDescent="0.25">
      <c r="A39"/>
      <c r="B39"/>
    </row>
    <row r="40" spans="1:27" x14ac:dyDescent="0.25">
      <c r="A40"/>
      <c r="B40"/>
    </row>
    <row r="41" spans="1:27" x14ac:dyDescent="0.25">
      <c r="A41"/>
      <c r="B41"/>
    </row>
    <row r="42" spans="1:27" x14ac:dyDescent="0.25">
      <c r="A42"/>
      <c r="B42"/>
    </row>
    <row r="43" spans="1:27" x14ac:dyDescent="0.25">
      <c r="A43"/>
      <c r="B43"/>
    </row>
    <row r="44" spans="1:27" ht="39.6" customHeight="1" x14ac:dyDescent="0.25">
      <c r="A44"/>
      <c r="B44"/>
    </row>
    <row r="45" spans="1:27" x14ac:dyDescent="0.25">
      <c r="A45"/>
      <c r="B45"/>
    </row>
    <row r="46" spans="1:27" ht="27.6" customHeight="1" x14ac:dyDescent="0.25">
      <c r="A46"/>
      <c r="B46"/>
    </row>
    <row r="47" spans="1:27" x14ac:dyDescent="0.25">
      <c r="A47"/>
      <c r="B47"/>
    </row>
    <row r="48" spans="1:2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aXGC7XJcDqSe9uLMnme3DiBN53vCgJDrAFpVGRV0gQ1NGws3lZO2+1ja150jQsAeEEgaajCRmQXOUyLvw7FRWw==" saltValue="EFmq6/NsoM8x5IUMvL3siQ==" spinCount="100000" sheet="1" objects="1" scenarios="1"/>
  <conditionalFormatting sqref="A6:A21">
    <cfRule type="expression" dxfId="939" priority="1" stopIfTrue="1">
      <formula>MOD(ROW(),2)=0</formula>
    </cfRule>
    <cfRule type="expression" dxfId="938" priority="2" stopIfTrue="1">
      <formula>MOD(ROW(),2)&lt;&gt;0</formula>
    </cfRule>
  </conditionalFormatting>
  <conditionalFormatting sqref="A26:A38">
    <cfRule type="expression" dxfId="937" priority="9" stopIfTrue="1">
      <formula>MOD(ROW(),2)=0</formula>
    </cfRule>
    <cfRule type="expression" dxfId="936" priority="10" stopIfTrue="1">
      <formula>MOD(ROW(),2)&lt;&gt;0</formula>
    </cfRule>
  </conditionalFormatting>
  <conditionalFormatting sqref="B17:B21">
    <cfRule type="expression" dxfId="935" priority="13" stopIfTrue="1">
      <formula>MOD(ROW(),2)=0</formula>
    </cfRule>
    <cfRule type="expression" dxfId="934" priority="14" stopIfTrue="1">
      <formula>MOD(ROW(),2)&lt;&gt;0</formula>
    </cfRule>
  </conditionalFormatting>
  <conditionalFormatting sqref="B6:AA21">
    <cfRule type="expression" dxfId="933" priority="37" stopIfTrue="1">
      <formula>MOD(ROW(),2)=0</formula>
    </cfRule>
    <cfRule type="expression" dxfId="932" priority="38" stopIfTrue="1">
      <formula>MOD(ROW(),2)&lt;&gt;0</formula>
    </cfRule>
  </conditionalFormatting>
  <conditionalFormatting sqref="B26:AA38">
    <cfRule type="expression" dxfId="931" priority="5" stopIfTrue="1">
      <formula>MOD(ROW(),2)=0</formula>
    </cfRule>
    <cfRule type="expression" dxfId="930" priority="6" stopIfTrue="1">
      <formula>MOD(ROW(),2)&lt;&gt;0</formula>
    </cfRule>
  </conditionalFormatting>
  <conditionalFormatting sqref="W6:AA21">
    <cfRule type="expression" dxfId="929" priority="7" stopIfTrue="1">
      <formula>MOD(ROW(),2)=0</formula>
    </cfRule>
    <cfRule type="expression" dxfId="928" priority="8" stopIfTrue="1">
      <formula>MOD(ROW(),2)&lt;&gt;0</formula>
    </cfRule>
  </conditionalFormatting>
  <hyperlinks>
    <hyperlink ref="B24" location="Sheet1!A1" display="Assumptions" xr:uid="{04325492-130E-41CB-8900-BE93758EDF4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3"/>
  <dimension ref="A1:I52"/>
  <sheetViews>
    <sheetView showGridLines="0" topLeftCell="A7"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LRF - x-417</v>
      </c>
      <c r="B3" s="42"/>
      <c r="C3" s="42"/>
      <c r="D3" s="42"/>
      <c r="E3" s="42"/>
      <c r="F3" s="42"/>
      <c r="G3" s="42"/>
      <c r="H3" s="42"/>
      <c r="I3" s="42"/>
    </row>
    <row r="4" spans="1:9" x14ac:dyDescent="0.25">
      <c r="A4" s="44"/>
    </row>
    <row r="6" spans="1:9" x14ac:dyDescent="0.25">
      <c r="A6" s="76" t="s">
        <v>290</v>
      </c>
      <c r="B6" s="129" t="s">
        <v>291</v>
      </c>
    </row>
    <row r="7" spans="1:9" ht="23.7" customHeight="1" x14ac:dyDescent="0.25">
      <c r="A7" s="77" t="s">
        <v>804</v>
      </c>
      <c r="B7" s="129" t="s">
        <v>345</v>
      </c>
    </row>
    <row r="8" spans="1:9" x14ac:dyDescent="0.25">
      <c r="A8" s="77" t="s">
        <v>805</v>
      </c>
      <c r="B8" s="129" t="s">
        <v>89</v>
      </c>
    </row>
    <row r="9" spans="1:9" x14ac:dyDescent="0.25">
      <c r="A9" s="77" t="s">
        <v>296</v>
      </c>
      <c r="B9" s="129" t="s">
        <v>469</v>
      </c>
    </row>
    <row r="10" spans="1:9" x14ac:dyDescent="0.25">
      <c r="A10" s="77" t="s">
        <v>6</v>
      </c>
      <c r="B10" s="129" t="s">
        <v>478</v>
      </c>
    </row>
    <row r="11" spans="1:9" x14ac:dyDescent="0.25">
      <c r="A11" s="77" t="s">
        <v>299</v>
      </c>
      <c r="B11" s="129" t="s">
        <v>364</v>
      </c>
    </row>
    <row r="12" spans="1:9" ht="90" customHeight="1" x14ac:dyDescent="0.25">
      <c r="A12" s="77" t="s">
        <v>301</v>
      </c>
      <c r="B12" s="129" t="s">
        <v>479</v>
      </c>
    </row>
    <row r="13" spans="1:9" x14ac:dyDescent="0.25">
      <c r="A13" s="77" t="s">
        <v>806</v>
      </c>
      <c r="B13" s="129">
        <v>1</v>
      </c>
    </row>
    <row r="14" spans="1:9" x14ac:dyDescent="0.25">
      <c r="A14" s="77" t="s">
        <v>305</v>
      </c>
      <c r="B14" s="129">
        <v>417</v>
      </c>
    </row>
    <row r="15" spans="1:9" x14ac:dyDescent="0.25">
      <c r="A15" s="77" t="s">
        <v>307</v>
      </c>
      <c r="B15" s="129" t="s">
        <v>480</v>
      </c>
    </row>
    <row r="16" spans="1:9" x14ac:dyDescent="0.25">
      <c r="A16" s="77" t="s">
        <v>825</v>
      </c>
      <c r="B16" s="129" t="s">
        <v>481</v>
      </c>
    </row>
    <row r="17" spans="1:2" ht="115.2" customHeight="1" x14ac:dyDescent="0.25">
      <c r="A17" s="77" t="s">
        <v>803</v>
      </c>
      <c r="B17" s="129"/>
    </row>
    <row r="18" spans="1:2" x14ac:dyDescent="0.25">
      <c r="A18" s="77" t="s">
        <v>313</v>
      </c>
      <c r="B18" s="187">
        <v>45106</v>
      </c>
    </row>
    <row r="19" spans="1:2" x14ac:dyDescent="0.25">
      <c r="A19" s="77" t="s">
        <v>315</v>
      </c>
      <c r="B19" s="187"/>
    </row>
    <row r="20" spans="1:2" x14ac:dyDescent="0.25">
      <c r="A20" s="77" t="s">
        <v>317</v>
      </c>
      <c r="B20" s="129" t="s">
        <v>331</v>
      </c>
    </row>
    <row r="21" spans="1:2" x14ac:dyDescent="0.25">
      <c r="A21" s="77" t="s">
        <v>323</v>
      </c>
      <c r="B21" s="129" t="s">
        <v>332</v>
      </c>
    </row>
    <row r="23" spans="1:2" x14ac:dyDescent="0.25">
      <c r="B23" s="102" t="str">
        <f>HYPERLINK("#'Factor List'!A1","Back to Factor List")</f>
        <v>Back to Factor List</v>
      </c>
    </row>
    <row r="24" spans="1:2" x14ac:dyDescent="0.25">
      <c r="B24" s="102" t="s">
        <v>13</v>
      </c>
    </row>
    <row r="25" spans="1:2" x14ac:dyDescent="0.25">
      <c r="B25" s="102"/>
    </row>
    <row r="26" spans="1:2" x14ac:dyDescent="0.25">
      <c r="A26" s="73" t="s">
        <v>860</v>
      </c>
      <c r="B26" s="73" t="s">
        <v>861</v>
      </c>
    </row>
    <row r="27" spans="1:2" x14ac:dyDescent="0.25">
      <c r="A27" s="86" t="s">
        <v>862</v>
      </c>
      <c r="B27" s="130">
        <v>5.6000000000000001E-2</v>
      </c>
    </row>
    <row r="28" spans="1:2" x14ac:dyDescent="0.25">
      <c r="A28" s="86" t="s">
        <v>863</v>
      </c>
      <c r="B28" s="130">
        <v>6.4000000000000001E-2</v>
      </c>
    </row>
    <row r="29" spans="1:2" x14ac:dyDescent="0.25">
      <c r="A29" s="86" t="s">
        <v>864</v>
      </c>
      <c r="B29" s="130">
        <v>7.4999999999999997E-2</v>
      </c>
    </row>
    <row r="30" spans="1:2" x14ac:dyDescent="0.25">
      <c r="A30"/>
      <c r="B30"/>
    </row>
    <row r="31" spans="1:2" ht="39.6" customHeight="1" x14ac:dyDescent="0.25">
      <c r="A31"/>
      <c r="B31"/>
    </row>
    <row r="32" spans="1:2" x14ac:dyDescent="0.25">
      <c r="A32"/>
      <c r="B32"/>
    </row>
    <row r="33" spans="1:2" ht="27.6" customHeight="1"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sheetData>
  <sheetProtection algorithmName="SHA-512" hashValue="48yzPjWIu5Lmo4JXgx9nmeXbgNXqfwebMVpXp59A0kuKC6ImLtz8cwarQzx5u5mznGsXfPNyb75NlSw91OjA9g==" saltValue="5SmmQ979TC6vLYxfSzOI8A==" spinCount="100000" sheet="1" objects="1" scenarios="1"/>
  <conditionalFormatting sqref="A6:A21">
    <cfRule type="expression" dxfId="927" priority="1" stopIfTrue="1">
      <formula>MOD(ROW(),2)=0</formula>
    </cfRule>
    <cfRule type="expression" dxfId="926" priority="2" stopIfTrue="1">
      <formula>MOD(ROW(),2)&lt;&gt;0</formula>
    </cfRule>
  </conditionalFormatting>
  <conditionalFormatting sqref="A26:A29">
    <cfRule type="expression" dxfId="925" priority="9" stopIfTrue="1">
      <formula>MOD(ROW(),2)=0</formula>
    </cfRule>
    <cfRule type="expression" dxfId="924" priority="10" stopIfTrue="1">
      <formula>MOD(ROW(),2)&lt;&gt;0</formula>
    </cfRule>
  </conditionalFormatting>
  <conditionalFormatting sqref="B6 B8:B11 B13:B17">
    <cfRule type="expression" dxfId="923" priority="33" stopIfTrue="1">
      <formula>MOD(ROW(),2)=0</formula>
    </cfRule>
    <cfRule type="expression" dxfId="922" priority="34" stopIfTrue="1">
      <formula>MOD(ROW(),2)&lt;&gt;0</formula>
    </cfRule>
  </conditionalFormatting>
  <conditionalFormatting sqref="B6:B21">
    <cfRule type="expression" dxfId="921" priority="25" stopIfTrue="1">
      <formula>MOD(ROW(),2)=0</formula>
    </cfRule>
    <cfRule type="expression" dxfId="920" priority="26" stopIfTrue="1">
      <formula>MOD(ROW(),2)&lt;&gt;0</formula>
    </cfRule>
  </conditionalFormatting>
  <conditionalFormatting sqref="B18:B21">
    <cfRule type="expression" dxfId="919" priority="3" stopIfTrue="1">
      <formula>MOD(ROW(),2)=0</formula>
    </cfRule>
    <cfRule type="expression" dxfId="918" priority="4" stopIfTrue="1">
      <formula>MOD(ROW(),2)&lt;&gt;0</formula>
    </cfRule>
  </conditionalFormatting>
  <conditionalFormatting sqref="B26:B29">
    <cfRule type="expression" dxfId="917" priority="11" stopIfTrue="1">
      <formula>MOD(ROW(),2)=0</formula>
    </cfRule>
    <cfRule type="expression" dxfId="916" priority="12" stopIfTrue="1">
      <formula>MOD(ROW(),2)&lt;&gt;0</formula>
    </cfRule>
  </conditionalFormatting>
  <hyperlinks>
    <hyperlink ref="B24" location="Sheet1!A1" display="Assumptions" xr:uid="{8CF023C3-992D-47A1-BC78-DB5E296347D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3.2" x14ac:dyDescent="0.25"/>
  <sheetData>
    <row r="1" spans="1:3" x14ac:dyDescent="0.25">
      <c r="A1" t="s">
        <v>100</v>
      </c>
    </row>
    <row r="3" spans="1:3" x14ac:dyDescent="0.25">
      <c r="A3" t="s">
        <v>101</v>
      </c>
      <c r="C3" t="s">
        <v>102</v>
      </c>
    </row>
    <row r="4" spans="1:3" x14ac:dyDescent="0.25">
      <c r="A4" t="s">
        <v>103</v>
      </c>
      <c r="C4" t="s">
        <v>104</v>
      </c>
    </row>
    <row r="5" spans="1:3" x14ac:dyDescent="0.25">
      <c r="A5" t="s">
        <v>105</v>
      </c>
      <c r="C5" t="s">
        <v>106</v>
      </c>
    </row>
    <row r="6" spans="1:3" x14ac:dyDescent="0.25">
      <c r="A6" t="s">
        <v>107</v>
      </c>
      <c r="C6" t="s">
        <v>108</v>
      </c>
    </row>
    <row r="7" spans="1:3" x14ac:dyDescent="0.25">
      <c r="A7" t="s">
        <v>109</v>
      </c>
      <c r="C7" t="s">
        <v>110</v>
      </c>
    </row>
    <row r="8" spans="1:3" x14ac:dyDescent="0.25">
      <c r="A8" t="s">
        <v>111</v>
      </c>
      <c r="C8" t="s">
        <v>112</v>
      </c>
    </row>
    <row r="9" spans="1:3" x14ac:dyDescent="0.25">
      <c r="A9" t="s">
        <v>113</v>
      </c>
      <c r="C9" t="s">
        <v>109</v>
      </c>
    </row>
    <row r="10" spans="1:3" x14ac:dyDescent="0.25">
      <c r="A10" t="s">
        <v>114</v>
      </c>
      <c r="C10" t="s">
        <v>115</v>
      </c>
    </row>
    <row r="11" spans="1:3" x14ac:dyDescent="0.25">
      <c r="A11" t="s">
        <v>116</v>
      </c>
      <c r="C11" t="s">
        <v>116</v>
      </c>
    </row>
    <row r="12" spans="1:3" x14ac:dyDescent="0.25">
      <c r="A12" t="s">
        <v>117</v>
      </c>
      <c r="C12" t="s">
        <v>118</v>
      </c>
    </row>
    <row r="13" spans="1:3" x14ac:dyDescent="0.25">
      <c r="A13" t="s">
        <v>119</v>
      </c>
      <c r="C13" t="s">
        <v>120</v>
      </c>
    </row>
    <row r="14" spans="1:3" x14ac:dyDescent="0.25">
      <c r="A14" t="s">
        <v>121</v>
      </c>
      <c r="C14" t="s">
        <v>122</v>
      </c>
    </row>
    <row r="15" spans="1:3" x14ac:dyDescent="0.25">
      <c r="A15" t="s">
        <v>123</v>
      </c>
      <c r="C15" t="s">
        <v>124</v>
      </c>
    </row>
    <row r="16" spans="1:3" x14ac:dyDescent="0.25">
      <c r="A16" t="s">
        <v>125</v>
      </c>
      <c r="C16" t="s">
        <v>126</v>
      </c>
    </row>
    <row r="17" spans="1:3" x14ac:dyDescent="0.25">
      <c r="A17" t="s">
        <v>127</v>
      </c>
      <c r="C17" t="s">
        <v>128</v>
      </c>
    </row>
    <row r="18" spans="1:3" x14ac:dyDescent="0.25">
      <c r="A18" t="s">
        <v>129</v>
      </c>
      <c r="C18" t="s">
        <v>130</v>
      </c>
    </row>
    <row r="19" spans="1:3" x14ac:dyDescent="0.25">
      <c r="A19" t="s">
        <v>131</v>
      </c>
      <c r="C19" t="s">
        <v>132</v>
      </c>
    </row>
    <row r="20" spans="1:3" x14ac:dyDescent="0.25">
      <c r="A20" t="s">
        <v>133</v>
      </c>
      <c r="C20" t="s">
        <v>134</v>
      </c>
    </row>
    <row r="21" spans="1:3" x14ac:dyDescent="0.25">
      <c r="A21" t="s">
        <v>135</v>
      </c>
      <c r="C21" t="s">
        <v>136</v>
      </c>
    </row>
    <row r="22" spans="1:3" x14ac:dyDescent="0.25">
      <c r="A22" t="s">
        <v>137</v>
      </c>
      <c r="C22" t="s">
        <v>138</v>
      </c>
    </row>
    <row r="23" spans="1:3" x14ac:dyDescent="0.25">
      <c r="A23" t="s">
        <v>139</v>
      </c>
      <c r="C23" t="s">
        <v>140</v>
      </c>
    </row>
    <row r="24" spans="1:3" x14ac:dyDescent="0.25">
      <c r="A24" t="s">
        <v>141</v>
      </c>
      <c r="C24" t="s">
        <v>142</v>
      </c>
    </row>
    <row r="25" spans="1:3" x14ac:dyDescent="0.25">
      <c r="A25" t="s">
        <v>143</v>
      </c>
      <c r="C25" t="s">
        <v>144</v>
      </c>
    </row>
    <row r="26" spans="1:3" x14ac:dyDescent="0.25">
      <c r="A26" t="s">
        <v>145</v>
      </c>
      <c r="C26" t="s">
        <v>146</v>
      </c>
    </row>
    <row r="27" spans="1:3" x14ac:dyDescent="0.25">
      <c r="A27" t="s">
        <v>147</v>
      </c>
      <c r="C27" t="s">
        <v>148</v>
      </c>
    </row>
    <row r="28" spans="1:3" x14ac:dyDescent="0.25">
      <c r="A28" t="s">
        <v>149</v>
      </c>
      <c r="C28" t="s">
        <v>150</v>
      </c>
    </row>
    <row r="29" spans="1:3" x14ac:dyDescent="0.25">
      <c r="A29" t="s">
        <v>151</v>
      </c>
      <c r="C29" t="s">
        <v>152</v>
      </c>
    </row>
    <row r="30" spans="1:3" x14ac:dyDescent="0.25">
      <c r="A30" t="s">
        <v>153</v>
      </c>
      <c r="C30" t="s">
        <v>154</v>
      </c>
    </row>
    <row r="31" spans="1:3" x14ac:dyDescent="0.25">
      <c r="A31" t="s">
        <v>155</v>
      </c>
      <c r="C31" t="s">
        <v>156</v>
      </c>
    </row>
    <row r="32" spans="1:3" x14ac:dyDescent="0.25">
      <c r="A32" t="s">
        <v>157</v>
      </c>
      <c r="C32" t="s">
        <v>158</v>
      </c>
    </row>
    <row r="33" spans="1:3" x14ac:dyDescent="0.25">
      <c r="A33" t="s">
        <v>159</v>
      </c>
      <c r="C33" t="s">
        <v>160</v>
      </c>
    </row>
    <row r="34" spans="1:3" x14ac:dyDescent="0.25">
      <c r="A34" t="s">
        <v>161</v>
      </c>
      <c r="C34" t="s">
        <v>162</v>
      </c>
    </row>
    <row r="35" spans="1:3" x14ac:dyDescent="0.25">
      <c r="A35" t="s">
        <v>163</v>
      </c>
      <c r="C35" t="s">
        <v>164</v>
      </c>
    </row>
    <row r="36" spans="1:3" x14ac:dyDescent="0.25">
      <c r="A36" t="s">
        <v>165</v>
      </c>
      <c r="C36" t="s">
        <v>55</v>
      </c>
    </row>
    <row r="37" spans="1:3" x14ac:dyDescent="0.25">
      <c r="A37" t="s">
        <v>166</v>
      </c>
    </row>
    <row r="38" spans="1:3" x14ac:dyDescent="0.25">
      <c r="A38" t="s">
        <v>167</v>
      </c>
    </row>
    <row r="39" spans="1:3" x14ac:dyDescent="0.25">
      <c r="A39" t="s">
        <v>168</v>
      </c>
    </row>
    <row r="40" spans="1:3" x14ac:dyDescent="0.25">
      <c r="A40" t="s">
        <v>169</v>
      </c>
    </row>
    <row r="41" spans="1:3" x14ac:dyDescent="0.25">
      <c r="A41" t="s">
        <v>170</v>
      </c>
    </row>
    <row r="42" spans="1:3" x14ac:dyDescent="0.25">
      <c r="A42" t="s">
        <v>171</v>
      </c>
    </row>
    <row r="43" spans="1:3" x14ac:dyDescent="0.25">
      <c r="A43" t="s">
        <v>172</v>
      </c>
    </row>
    <row r="44" spans="1:3" x14ac:dyDescent="0.25">
      <c r="A44" t="s">
        <v>173</v>
      </c>
    </row>
    <row r="45" spans="1:3" x14ac:dyDescent="0.25">
      <c r="A45" t="s">
        <v>174</v>
      </c>
    </row>
    <row r="46" spans="1:3" x14ac:dyDescent="0.25">
      <c r="A46" t="s">
        <v>175</v>
      </c>
    </row>
    <row r="47" spans="1:3" x14ac:dyDescent="0.25">
      <c r="A47" t="s">
        <v>176</v>
      </c>
    </row>
    <row r="48" spans="1:3" x14ac:dyDescent="0.25">
      <c r="A48" t="s">
        <v>177</v>
      </c>
    </row>
    <row r="49" spans="1:1" x14ac:dyDescent="0.25">
      <c r="A49" t="s">
        <v>178</v>
      </c>
    </row>
    <row r="50" spans="1:1" x14ac:dyDescent="0.25">
      <c r="A50" t="s">
        <v>179</v>
      </c>
    </row>
    <row r="51" spans="1:1" x14ac:dyDescent="0.25">
      <c r="A51" t="s">
        <v>180</v>
      </c>
    </row>
    <row r="52" spans="1:1" x14ac:dyDescent="0.25">
      <c r="A52" t="s">
        <v>181</v>
      </c>
    </row>
    <row r="53" spans="1:1" x14ac:dyDescent="0.25">
      <c r="A53" t="s">
        <v>182</v>
      </c>
    </row>
    <row r="54" spans="1:1" x14ac:dyDescent="0.25">
      <c r="A54" t="s">
        <v>183</v>
      </c>
    </row>
    <row r="55" spans="1:1" x14ac:dyDescent="0.25">
      <c r="A55" t="s">
        <v>184</v>
      </c>
    </row>
    <row r="56" spans="1:1" x14ac:dyDescent="0.25">
      <c r="A56" t="s">
        <v>185</v>
      </c>
    </row>
    <row r="57" spans="1:1" x14ac:dyDescent="0.25">
      <c r="A57" t="s">
        <v>186</v>
      </c>
    </row>
    <row r="58" spans="1:1" x14ac:dyDescent="0.25">
      <c r="A58" t="s">
        <v>187</v>
      </c>
    </row>
    <row r="59" spans="1:1" x14ac:dyDescent="0.25">
      <c r="A59" t="s">
        <v>188</v>
      </c>
    </row>
    <row r="60" spans="1:1" x14ac:dyDescent="0.25">
      <c r="A60" t="s">
        <v>189</v>
      </c>
    </row>
    <row r="61" spans="1:1" x14ac:dyDescent="0.25">
      <c r="A61" t="s">
        <v>190</v>
      </c>
    </row>
    <row r="62" spans="1:1" x14ac:dyDescent="0.25">
      <c r="A62" t="s">
        <v>191</v>
      </c>
    </row>
    <row r="63" spans="1:1" x14ac:dyDescent="0.25">
      <c r="A63" t="s">
        <v>192</v>
      </c>
    </row>
    <row r="64" spans="1:1" x14ac:dyDescent="0.25">
      <c r="A64" t="s">
        <v>193</v>
      </c>
    </row>
    <row r="65" spans="1:1" x14ac:dyDescent="0.25">
      <c r="A65" t="s">
        <v>194</v>
      </c>
    </row>
    <row r="66" spans="1:1" x14ac:dyDescent="0.25">
      <c r="A66" t="s">
        <v>195</v>
      </c>
    </row>
    <row r="67" spans="1:1" x14ac:dyDescent="0.25">
      <c r="A67" t="s">
        <v>196</v>
      </c>
    </row>
    <row r="68" spans="1:1" x14ac:dyDescent="0.25">
      <c r="A68" t="s">
        <v>197</v>
      </c>
    </row>
    <row r="69" spans="1:1" x14ac:dyDescent="0.25">
      <c r="A69" t="s">
        <v>198</v>
      </c>
    </row>
    <row r="70" spans="1:1" x14ac:dyDescent="0.25">
      <c r="A70" t="s">
        <v>199</v>
      </c>
    </row>
    <row r="71" spans="1:1" x14ac:dyDescent="0.25">
      <c r="A71" t="s">
        <v>200</v>
      </c>
    </row>
    <row r="72" spans="1:1" x14ac:dyDescent="0.25">
      <c r="A72" t="s">
        <v>201</v>
      </c>
    </row>
    <row r="73" spans="1:1" x14ac:dyDescent="0.25">
      <c r="A73" t="s">
        <v>202</v>
      </c>
    </row>
    <row r="74" spans="1:1" x14ac:dyDescent="0.25">
      <c r="A74" t="s">
        <v>203</v>
      </c>
    </row>
    <row r="75" spans="1:1" x14ac:dyDescent="0.25">
      <c r="A75" t="s">
        <v>204</v>
      </c>
    </row>
    <row r="76" spans="1:1" x14ac:dyDescent="0.25">
      <c r="A76" t="s">
        <v>205</v>
      </c>
    </row>
    <row r="77" spans="1:1" x14ac:dyDescent="0.25">
      <c r="A77" t="s">
        <v>206</v>
      </c>
    </row>
    <row r="78" spans="1:1" x14ac:dyDescent="0.25">
      <c r="A78" t="s">
        <v>207</v>
      </c>
    </row>
    <row r="79" spans="1:1" x14ac:dyDescent="0.25">
      <c r="A79" t="s">
        <v>208</v>
      </c>
    </row>
    <row r="80" spans="1:1" x14ac:dyDescent="0.25">
      <c r="A80" t="s">
        <v>209</v>
      </c>
    </row>
    <row r="81" spans="1:1" x14ac:dyDescent="0.25">
      <c r="A81" t="s">
        <v>210</v>
      </c>
    </row>
    <row r="82" spans="1:1" x14ac:dyDescent="0.25">
      <c r="A82" t="s">
        <v>211</v>
      </c>
    </row>
    <row r="83" spans="1:1" x14ac:dyDescent="0.25">
      <c r="A83" t="s">
        <v>212</v>
      </c>
    </row>
    <row r="84" spans="1:1" x14ac:dyDescent="0.25">
      <c r="A84" t="s">
        <v>213</v>
      </c>
    </row>
    <row r="85" spans="1:1" x14ac:dyDescent="0.25">
      <c r="A85" t="s">
        <v>214</v>
      </c>
    </row>
    <row r="86" spans="1:1" x14ac:dyDescent="0.25">
      <c r="A86" t="s">
        <v>215</v>
      </c>
    </row>
    <row r="87" spans="1:1" x14ac:dyDescent="0.25">
      <c r="A87" t="s">
        <v>216</v>
      </c>
    </row>
    <row r="88" spans="1:1" x14ac:dyDescent="0.25">
      <c r="A88" t="s">
        <v>217</v>
      </c>
    </row>
    <row r="89" spans="1:1" x14ac:dyDescent="0.25">
      <c r="A89" t="s">
        <v>218</v>
      </c>
    </row>
    <row r="90" spans="1:1" x14ac:dyDescent="0.25">
      <c r="A90" t="s">
        <v>219</v>
      </c>
    </row>
    <row r="91" spans="1:1" x14ac:dyDescent="0.25">
      <c r="A91" t="s">
        <v>220</v>
      </c>
    </row>
    <row r="92" spans="1:1" x14ac:dyDescent="0.25">
      <c r="A92" t="s">
        <v>221</v>
      </c>
    </row>
    <row r="93" spans="1:1" x14ac:dyDescent="0.25">
      <c r="A93" t="s">
        <v>222</v>
      </c>
    </row>
    <row r="94" spans="1:1" x14ac:dyDescent="0.25">
      <c r="A94" t="s">
        <v>223</v>
      </c>
    </row>
    <row r="95" spans="1:1" x14ac:dyDescent="0.25">
      <c r="A95" t="s">
        <v>224</v>
      </c>
    </row>
    <row r="96" spans="1:1" x14ac:dyDescent="0.25">
      <c r="A96" t="s">
        <v>225</v>
      </c>
    </row>
    <row r="97" spans="1:1" x14ac:dyDescent="0.25">
      <c r="A97" t="s">
        <v>226</v>
      </c>
    </row>
    <row r="98" spans="1:1" x14ac:dyDescent="0.25">
      <c r="A98" t="s">
        <v>227</v>
      </c>
    </row>
    <row r="99" spans="1:1" x14ac:dyDescent="0.25">
      <c r="A99" t="s">
        <v>228</v>
      </c>
    </row>
    <row r="100" spans="1:1" x14ac:dyDescent="0.25">
      <c r="A100" t="s">
        <v>229</v>
      </c>
    </row>
    <row r="101" spans="1:1" x14ac:dyDescent="0.25">
      <c r="A101" t="s">
        <v>230</v>
      </c>
    </row>
    <row r="102" spans="1:1" x14ac:dyDescent="0.25">
      <c r="A102" t="s">
        <v>231</v>
      </c>
    </row>
    <row r="103" spans="1:1" x14ac:dyDescent="0.25">
      <c r="A103" t="s">
        <v>232</v>
      </c>
    </row>
    <row r="104" spans="1:1" x14ac:dyDescent="0.25">
      <c r="A104" t="s">
        <v>233</v>
      </c>
    </row>
    <row r="105" spans="1:1" x14ac:dyDescent="0.25">
      <c r="A105" t="s">
        <v>234</v>
      </c>
    </row>
    <row r="106" spans="1:1" x14ac:dyDescent="0.25">
      <c r="A106" t="s">
        <v>235</v>
      </c>
    </row>
    <row r="107" spans="1:1" x14ac:dyDescent="0.25">
      <c r="A107" t="s">
        <v>236</v>
      </c>
    </row>
    <row r="108" spans="1:1" x14ac:dyDescent="0.25">
      <c r="A108" t="s">
        <v>237</v>
      </c>
    </row>
    <row r="109" spans="1:1" x14ac:dyDescent="0.25">
      <c r="A109" t="s">
        <v>238</v>
      </c>
    </row>
    <row r="110" spans="1:1" x14ac:dyDescent="0.25">
      <c r="A110" t="s">
        <v>239</v>
      </c>
    </row>
    <row r="111" spans="1:1" x14ac:dyDescent="0.25">
      <c r="A111" t="s">
        <v>240</v>
      </c>
    </row>
    <row r="112" spans="1:1" x14ac:dyDescent="0.25">
      <c r="A112" t="s">
        <v>241</v>
      </c>
    </row>
    <row r="113" spans="1:1" x14ac:dyDescent="0.25">
      <c r="A113" t="s">
        <v>242</v>
      </c>
    </row>
    <row r="114" spans="1:1" x14ac:dyDescent="0.25">
      <c r="A114" t="s">
        <v>243</v>
      </c>
    </row>
    <row r="115" spans="1:1" x14ac:dyDescent="0.25">
      <c r="A115" t="s">
        <v>244</v>
      </c>
    </row>
    <row r="116" spans="1:1" x14ac:dyDescent="0.25">
      <c r="A116" t="s">
        <v>245</v>
      </c>
    </row>
    <row r="117" spans="1:1" x14ac:dyDescent="0.25">
      <c r="A117" t="s">
        <v>246</v>
      </c>
    </row>
    <row r="118" spans="1:1" x14ac:dyDescent="0.25">
      <c r="A118" t="s">
        <v>247</v>
      </c>
    </row>
    <row r="119" spans="1:1" x14ac:dyDescent="0.25">
      <c r="A119" t="s">
        <v>248</v>
      </c>
    </row>
    <row r="120" spans="1:1" x14ac:dyDescent="0.25">
      <c r="A120" t="s">
        <v>249</v>
      </c>
    </row>
    <row r="121" spans="1:1" x14ac:dyDescent="0.25">
      <c r="A121" t="s">
        <v>250</v>
      </c>
    </row>
    <row r="122" spans="1:1" x14ac:dyDescent="0.25">
      <c r="A122" t="s">
        <v>251</v>
      </c>
    </row>
    <row r="123" spans="1:1" x14ac:dyDescent="0.25">
      <c r="A123" t="s">
        <v>252</v>
      </c>
    </row>
    <row r="124" spans="1:1" x14ac:dyDescent="0.25">
      <c r="A124" t="s">
        <v>253</v>
      </c>
    </row>
    <row r="125" spans="1:1" x14ac:dyDescent="0.25">
      <c r="A125" t="s">
        <v>254</v>
      </c>
    </row>
    <row r="126" spans="1:1" x14ac:dyDescent="0.25">
      <c r="A126" t="s">
        <v>255</v>
      </c>
    </row>
    <row r="127" spans="1:1" x14ac:dyDescent="0.25">
      <c r="A127" t="s">
        <v>256</v>
      </c>
    </row>
    <row r="128" spans="1:1" x14ac:dyDescent="0.25">
      <c r="A128" t="s">
        <v>257</v>
      </c>
    </row>
    <row r="129" spans="1:1" x14ac:dyDescent="0.25">
      <c r="A129" t="s">
        <v>258</v>
      </c>
    </row>
    <row r="130" spans="1:1" x14ac:dyDescent="0.25">
      <c r="A130" t="s">
        <v>259</v>
      </c>
    </row>
    <row r="131" spans="1:1" x14ac:dyDescent="0.25">
      <c r="A131" t="s">
        <v>260</v>
      </c>
    </row>
    <row r="132" spans="1:1" x14ac:dyDescent="0.25">
      <c r="A132" t="s">
        <v>261</v>
      </c>
    </row>
    <row r="133" spans="1:1" x14ac:dyDescent="0.25">
      <c r="A133" t="s">
        <v>262</v>
      </c>
    </row>
    <row r="134" spans="1:1" x14ac:dyDescent="0.25">
      <c r="A134" t="s">
        <v>263</v>
      </c>
    </row>
    <row r="135" spans="1:1" x14ac:dyDescent="0.25">
      <c r="A135" t="s">
        <v>264</v>
      </c>
    </row>
    <row r="136" spans="1:1" x14ac:dyDescent="0.25">
      <c r="A136" t="s">
        <v>265</v>
      </c>
    </row>
    <row r="137" spans="1:1" x14ac:dyDescent="0.25">
      <c r="A137" t="s">
        <v>266</v>
      </c>
    </row>
    <row r="138" spans="1:1" x14ac:dyDescent="0.25">
      <c r="A138" t="s">
        <v>267</v>
      </c>
    </row>
    <row r="139" spans="1:1" x14ac:dyDescent="0.25">
      <c r="A139" t="s">
        <v>268</v>
      </c>
    </row>
    <row r="140" spans="1:1" x14ac:dyDescent="0.25">
      <c r="A140" t="s">
        <v>269</v>
      </c>
    </row>
    <row r="141" spans="1:1" x14ac:dyDescent="0.25">
      <c r="A141" t="s">
        <v>270</v>
      </c>
    </row>
    <row r="142" spans="1:1" x14ac:dyDescent="0.25">
      <c r="A142" t="s">
        <v>271</v>
      </c>
    </row>
    <row r="143" spans="1:1" x14ac:dyDescent="0.25">
      <c r="A143" t="s">
        <v>272</v>
      </c>
    </row>
    <row r="144" spans="1:1" x14ac:dyDescent="0.25">
      <c r="A144" t="s">
        <v>273</v>
      </c>
    </row>
    <row r="145" spans="1:1" x14ac:dyDescent="0.25">
      <c r="A145" t="s">
        <v>274</v>
      </c>
    </row>
    <row r="146" spans="1:1" x14ac:dyDescent="0.25">
      <c r="A146" t="s">
        <v>275</v>
      </c>
    </row>
    <row r="147" spans="1:1" x14ac:dyDescent="0.25">
      <c r="A147" t="s">
        <v>276</v>
      </c>
    </row>
    <row r="148" spans="1:1" x14ac:dyDescent="0.25">
      <c r="A148" t="s">
        <v>277</v>
      </c>
    </row>
    <row r="149" spans="1:1" x14ac:dyDescent="0.25">
      <c r="A149" t="s">
        <v>278</v>
      </c>
    </row>
    <row r="150" spans="1:1" x14ac:dyDescent="0.25">
      <c r="A150" t="s">
        <v>279</v>
      </c>
    </row>
    <row r="151" spans="1:1" x14ac:dyDescent="0.25">
      <c r="A151" t="s">
        <v>280</v>
      </c>
    </row>
    <row r="152" spans="1:1" x14ac:dyDescent="0.25">
      <c r="A152" t="s">
        <v>281</v>
      </c>
    </row>
    <row r="153" spans="1:1" x14ac:dyDescent="0.25">
      <c r="A153" t="s">
        <v>282</v>
      </c>
    </row>
    <row r="154" spans="1:1" x14ac:dyDescent="0.25">
      <c r="A154" t="s">
        <v>283</v>
      </c>
    </row>
    <row r="155" spans="1:1" x14ac:dyDescent="0.25">
      <c r="A155" t="s">
        <v>284</v>
      </c>
    </row>
    <row r="156" spans="1:1" x14ac:dyDescent="0.25">
      <c r="A156" t="s">
        <v>285</v>
      </c>
    </row>
    <row r="157" spans="1:1" x14ac:dyDescent="0.25">
      <c r="A157" t="s">
        <v>286</v>
      </c>
    </row>
    <row r="158" spans="1:1" x14ac:dyDescent="0.25">
      <c r="A158" t="s">
        <v>287</v>
      </c>
    </row>
    <row r="159" spans="1:1" x14ac:dyDescent="0.25">
      <c r="A159" t="s">
        <v>288</v>
      </c>
    </row>
    <row r="160" spans="1:1" x14ac:dyDescent="0.25">
      <c r="A160" t="s">
        <v>289</v>
      </c>
    </row>
  </sheetData>
  <sheetProtection algorithmName="SHA-512" hashValue="IDA5tVJ7Lf6vlLzitivhj6ZqeBzxJpnJGOrFwyUMclZW+A5mBS4MyUDUiaLot3Cpltq22aUcRmtlF2VFiRXqeQ==" saltValue="AFsJoh18ek7v78xqz56NqA=="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4"/>
  <dimension ref="A1:I52"/>
  <sheetViews>
    <sheetView showGridLines="0" topLeftCell="A7"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LRF - x-418</v>
      </c>
      <c r="B3" s="42"/>
      <c r="C3" s="42"/>
      <c r="D3" s="42"/>
      <c r="E3" s="42"/>
      <c r="F3" s="42"/>
      <c r="G3" s="42"/>
      <c r="H3" s="42"/>
      <c r="I3" s="42"/>
    </row>
    <row r="4" spans="1:9" x14ac:dyDescent="0.25">
      <c r="A4" s="44"/>
    </row>
    <row r="6" spans="1:9" x14ac:dyDescent="0.25">
      <c r="A6" s="76" t="s">
        <v>290</v>
      </c>
      <c r="B6" s="129" t="s">
        <v>291</v>
      </c>
    </row>
    <row r="7" spans="1:9" ht="38.1" customHeight="1" x14ac:dyDescent="0.25">
      <c r="A7" s="77" t="s">
        <v>804</v>
      </c>
      <c r="B7" s="129" t="s">
        <v>345</v>
      </c>
    </row>
    <row r="8" spans="1:9" x14ac:dyDescent="0.25">
      <c r="A8" s="77" t="s">
        <v>805</v>
      </c>
      <c r="B8" s="129" t="s">
        <v>89</v>
      </c>
    </row>
    <row r="9" spans="1:9" x14ac:dyDescent="0.25">
      <c r="A9" s="77" t="s">
        <v>296</v>
      </c>
      <c r="B9" s="129" t="s">
        <v>469</v>
      </c>
    </row>
    <row r="10" spans="1:9" x14ac:dyDescent="0.25">
      <c r="A10" s="77" t="s">
        <v>6</v>
      </c>
      <c r="B10" s="129" t="s">
        <v>482</v>
      </c>
    </row>
    <row r="11" spans="1:9" x14ac:dyDescent="0.25">
      <c r="A11" s="77" t="s">
        <v>299</v>
      </c>
      <c r="B11" s="129" t="s">
        <v>364</v>
      </c>
    </row>
    <row r="12" spans="1:9" ht="88.5" customHeight="1" x14ac:dyDescent="0.25">
      <c r="A12" s="77" t="s">
        <v>301</v>
      </c>
      <c r="B12" s="129" t="s">
        <v>483</v>
      </c>
    </row>
    <row r="13" spans="1:9" x14ac:dyDescent="0.25">
      <c r="A13" s="77" t="s">
        <v>806</v>
      </c>
      <c r="B13" s="129">
        <v>1</v>
      </c>
    </row>
    <row r="14" spans="1:9" x14ac:dyDescent="0.25">
      <c r="A14" s="77" t="s">
        <v>305</v>
      </c>
      <c r="B14" s="129">
        <v>418</v>
      </c>
    </row>
    <row r="15" spans="1:9" x14ac:dyDescent="0.25">
      <c r="A15" s="77" t="s">
        <v>307</v>
      </c>
      <c r="B15" s="129" t="s">
        <v>484</v>
      </c>
    </row>
    <row r="16" spans="1:9" x14ac:dyDescent="0.25">
      <c r="A16" s="77" t="s">
        <v>825</v>
      </c>
      <c r="B16" s="129" t="s">
        <v>485</v>
      </c>
    </row>
    <row r="17" spans="1:2" ht="112.2" customHeight="1" x14ac:dyDescent="0.25">
      <c r="A17" s="77" t="s">
        <v>803</v>
      </c>
      <c r="B17" s="129"/>
    </row>
    <row r="18" spans="1:2" x14ac:dyDescent="0.25">
      <c r="A18" s="77" t="s">
        <v>313</v>
      </c>
      <c r="B18" s="187">
        <v>45106</v>
      </c>
    </row>
    <row r="19" spans="1:2" x14ac:dyDescent="0.25">
      <c r="A19" s="77" t="s">
        <v>315</v>
      </c>
      <c r="B19" s="187"/>
    </row>
    <row r="20" spans="1:2" x14ac:dyDescent="0.25">
      <c r="A20" s="77" t="s">
        <v>317</v>
      </c>
      <c r="B20" s="129" t="s">
        <v>331</v>
      </c>
    </row>
    <row r="21" spans="1:2" x14ac:dyDescent="0.25">
      <c r="A21" s="77" t="s">
        <v>323</v>
      </c>
      <c r="B21" s="129" t="s">
        <v>332</v>
      </c>
    </row>
    <row r="23" spans="1:2" x14ac:dyDescent="0.25">
      <c r="B23" s="102" t="str">
        <f>HYPERLINK("#'Factor List'!A1","Back to Factor List")</f>
        <v>Back to Factor List</v>
      </c>
    </row>
    <row r="24" spans="1:2" x14ac:dyDescent="0.25">
      <c r="B24" s="102" t="s">
        <v>13</v>
      </c>
    </row>
    <row r="25" spans="1:2" x14ac:dyDescent="0.25">
      <c r="B25" s="102"/>
    </row>
    <row r="26" spans="1:2" x14ac:dyDescent="0.25">
      <c r="A26" s="73" t="s">
        <v>860</v>
      </c>
      <c r="B26" s="73" t="s">
        <v>861</v>
      </c>
    </row>
    <row r="27" spans="1:2" x14ac:dyDescent="0.25">
      <c r="A27" s="86" t="s">
        <v>865</v>
      </c>
      <c r="B27" s="130">
        <v>5.5E-2</v>
      </c>
    </row>
    <row r="28" spans="1:2" x14ac:dyDescent="0.25">
      <c r="A28" s="86" t="s">
        <v>866</v>
      </c>
      <c r="B28" s="130">
        <v>6.6000000000000003E-2</v>
      </c>
    </row>
    <row r="29" spans="1:2" x14ac:dyDescent="0.25">
      <c r="A29" s="86" t="s">
        <v>867</v>
      </c>
      <c r="B29" s="130">
        <v>7.6999999999999999E-2</v>
      </c>
    </row>
    <row r="30" spans="1:2" x14ac:dyDescent="0.25">
      <c r="A30"/>
      <c r="B30"/>
    </row>
    <row r="31" spans="1:2" ht="39.6" customHeight="1" x14ac:dyDescent="0.25">
      <c r="A31"/>
      <c r="B31"/>
    </row>
    <row r="32" spans="1:2" x14ac:dyDescent="0.25">
      <c r="A32"/>
      <c r="B32"/>
    </row>
    <row r="33" spans="1:2" ht="27.6" customHeight="1"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sheetData>
  <sheetProtection algorithmName="SHA-512" hashValue="togup5yoPjfK9DuFcOsWxWV6+NMMwLYUgpAEsT5WzY2dOaSE6ENmZt8+afmZ/k9OWbFl65X6e+N+jDrNJF1+hg==" saltValue="L/E5QdOSti/jRrcrKvwFAQ==" spinCount="100000" sheet="1" objects="1" scenarios="1"/>
  <conditionalFormatting sqref="A6:A21">
    <cfRule type="expression" dxfId="915" priority="1" stopIfTrue="1">
      <formula>MOD(ROW(),2)=0</formula>
    </cfRule>
    <cfRule type="expression" dxfId="914" priority="2" stopIfTrue="1">
      <formula>MOD(ROW(),2)&lt;&gt;0</formula>
    </cfRule>
  </conditionalFormatting>
  <conditionalFormatting sqref="A26:A29">
    <cfRule type="expression" dxfId="913" priority="9" stopIfTrue="1">
      <formula>MOD(ROW(),2)=0</formula>
    </cfRule>
    <cfRule type="expression" dxfId="912" priority="10" stopIfTrue="1">
      <formula>MOD(ROW(),2)&lt;&gt;0</formula>
    </cfRule>
  </conditionalFormatting>
  <conditionalFormatting sqref="B6 B8:B17">
    <cfRule type="expression" dxfId="911" priority="33" stopIfTrue="1">
      <formula>MOD(ROW(),2)=0</formula>
    </cfRule>
    <cfRule type="expression" dxfId="910" priority="34" stopIfTrue="1">
      <formula>MOD(ROW(),2)&lt;&gt;0</formula>
    </cfRule>
  </conditionalFormatting>
  <conditionalFormatting sqref="B6:B21">
    <cfRule type="expression" dxfId="909" priority="25" stopIfTrue="1">
      <formula>MOD(ROW(),2)=0</formula>
    </cfRule>
    <cfRule type="expression" dxfId="908" priority="26" stopIfTrue="1">
      <formula>MOD(ROW(),2)&lt;&gt;0</formula>
    </cfRule>
  </conditionalFormatting>
  <conditionalFormatting sqref="B18:B21">
    <cfRule type="expression" dxfId="907" priority="3" stopIfTrue="1">
      <formula>MOD(ROW(),2)=0</formula>
    </cfRule>
    <cfRule type="expression" dxfId="906" priority="4" stopIfTrue="1">
      <formula>MOD(ROW(),2)&lt;&gt;0</formula>
    </cfRule>
  </conditionalFormatting>
  <conditionalFormatting sqref="B26:B29">
    <cfRule type="expression" dxfId="905" priority="11" stopIfTrue="1">
      <formula>MOD(ROW(),2)=0</formula>
    </cfRule>
    <cfRule type="expression" dxfId="904" priority="12" stopIfTrue="1">
      <formula>MOD(ROW(),2)&lt;&gt;0</formula>
    </cfRule>
  </conditionalFormatting>
  <hyperlinks>
    <hyperlink ref="B24" location="Sheet1!A1" display="Assumptions" xr:uid="{083246E3-9D46-4057-AD2D-424654E7256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5"/>
  <dimension ref="A1:V65"/>
  <sheetViews>
    <sheetView showGridLines="0" zoomScale="85" zoomScaleNormal="85" workbookViewId="0">
      <selection activeCell="A4" sqref="A4"/>
    </sheetView>
  </sheetViews>
  <sheetFormatPr defaultColWidth="10" defaultRowHeight="13.2" x14ac:dyDescent="0.25"/>
  <cols>
    <col min="1" max="1" width="31.5546875" style="27" customWidth="1"/>
    <col min="2" max="22" width="22.5546875" style="27" customWidth="1"/>
    <col min="23" max="16384" width="10" style="27"/>
  </cols>
  <sheetData>
    <row r="1" spans="1:22" ht="21" x14ac:dyDescent="0.4">
      <c r="A1" s="39" t="s">
        <v>0</v>
      </c>
      <c r="B1" s="40"/>
      <c r="C1" s="40"/>
      <c r="D1" s="40"/>
      <c r="E1" s="40"/>
      <c r="F1" s="40"/>
      <c r="G1" s="40"/>
      <c r="H1" s="40"/>
      <c r="I1" s="40"/>
    </row>
    <row r="2" spans="1:22"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22" ht="15.6" x14ac:dyDescent="0.3">
      <c r="A3" s="43" t="str">
        <f>TABLE_FACTOR_TYPE_1&amp;" - x-"&amp;TABLE_SERIES_NUMBER_1</f>
        <v>LRF - x-419</v>
      </c>
      <c r="B3" s="42"/>
      <c r="C3" s="42"/>
      <c r="D3" s="42"/>
      <c r="E3" s="42"/>
      <c r="F3" s="42"/>
      <c r="G3" s="42"/>
      <c r="H3" s="42"/>
      <c r="I3" s="42"/>
    </row>
    <row r="4" spans="1:22" x14ac:dyDescent="0.25">
      <c r="A4" s="44"/>
    </row>
    <row r="6" spans="1:22" x14ac:dyDescent="0.25">
      <c r="A6" s="76" t="s">
        <v>290</v>
      </c>
      <c r="B6" s="129" t="s">
        <v>291</v>
      </c>
      <c r="C6" s="129"/>
      <c r="D6" s="129"/>
      <c r="E6" s="129"/>
      <c r="F6" s="129"/>
      <c r="G6" s="129"/>
      <c r="H6" s="129"/>
      <c r="I6" s="129"/>
      <c r="J6" s="129"/>
      <c r="K6" s="129"/>
      <c r="L6" s="129"/>
      <c r="M6" s="129"/>
      <c r="N6" s="129"/>
      <c r="O6" s="129"/>
      <c r="P6" s="129"/>
      <c r="Q6" s="129"/>
      <c r="R6" s="129"/>
      <c r="S6" s="129"/>
      <c r="T6" s="129"/>
      <c r="U6" s="129"/>
      <c r="V6" s="129"/>
    </row>
    <row r="7" spans="1:22" x14ac:dyDescent="0.25">
      <c r="A7" s="77" t="s">
        <v>804</v>
      </c>
      <c r="B7" s="129" t="s">
        <v>324</v>
      </c>
      <c r="C7" s="129"/>
      <c r="D7" s="129"/>
      <c r="E7" s="129"/>
      <c r="F7" s="129"/>
      <c r="G7" s="129"/>
      <c r="H7" s="129"/>
      <c r="I7" s="129"/>
      <c r="J7" s="129"/>
      <c r="K7" s="129"/>
      <c r="L7" s="129"/>
      <c r="M7" s="129"/>
      <c r="N7" s="129"/>
      <c r="O7" s="129"/>
      <c r="P7" s="129"/>
      <c r="Q7" s="129"/>
      <c r="R7" s="129"/>
      <c r="S7" s="129"/>
      <c r="T7" s="129"/>
      <c r="U7" s="129"/>
      <c r="V7" s="129"/>
    </row>
    <row r="8" spans="1:22" x14ac:dyDescent="0.25">
      <c r="A8" s="77" t="s">
        <v>805</v>
      </c>
      <c r="B8" s="129" t="s">
        <v>85</v>
      </c>
      <c r="C8" s="129"/>
      <c r="D8" s="129"/>
      <c r="E8" s="129"/>
      <c r="F8" s="129"/>
      <c r="G8" s="129"/>
      <c r="H8" s="129"/>
      <c r="I8" s="129"/>
      <c r="J8" s="129"/>
      <c r="K8" s="129"/>
      <c r="L8" s="129"/>
      <c r="M8" s="129"/>
      <c r="N8" s="129"/>
      <c r="O8" s="129"/>
      <c r="P8" s="129"/>
      <c r="Q8" s="129"/>
      <c r="R8" s="129"/>
      <c r="S8" s="129"/>
      <c r="T8" s="129"/>
      <c r="U8" s="129"/>
      <c r="V8" s="129"/>
    </row>
    <row r="9" spans="1:22" x14ac:dyDescent="0.25">
      <c r="A9" s="77" t="s">
        <v>296</v>
      </c>
      <c r="B9" s="129" t="s">
        <v>469</v>
      </c>
      <c r="C9" s="129"/>
      <c r="D9" s="129"/>
      <c r="E9" s="129"/>
      <c r="F9" s="129"/>
      <c r="G9" s="129"/>
      <c r="H9" s="129"/>
      <c r="I9" s="129"/>
      <c r="J9" s="129"/>
      <c r="K9" s="129"/>
      <c r="L9" s="129"/>
      <c r="M9" s="129"/>
      <c r="N9" s="129"/>
      <c r="O9" s="129"/>
      <c r="P9" s="129"/>
      <c r="Q9" s="129"/>
      <c r="R9" s="129"/>
      <c r="S9" s="129"/>
      <c r="T9" s="129"/>
      <c r="U9" s="129"/>
      <c r="V9" s="129"/>
    </row>
    <row r="10" spans="1:22" x14ac:dyDescent="0.25">
      <c r="A10" s="77" t="s">
        <v>6</v>
      </c>
      <c r="B10" s="129" t="s">
        <v>486</v>
      </c>
      <c r="C10" s="129"/>
      <c r="D10" s="129"/>
      <c r="E10" s="129"/>
      <c r="F10" s="129"/>
      <c r="G10" s="129"/>
      <c r="H10" s="129"/>
      <c r="I10" s="129"/>
      <c r="J10" s="129"/>
      <c r="K10" s="129"/>
      <c r="L10" s="129"/>
      <c r="M10" s="129"/>
      <c r="N10" s="129"/>
      <c r="O10" s="129"/>
      <c r="P10" s="129"/>
      <c r="Q10" s="129"/>
      <c r="R10" s="129"/>
      <c r="S10" s="129"/>
      <c r="T10" s="129"/>
      <c r="U10" s="129"/>
      <c r="V10" s="129"/>
    </row>
    <row r="11" spans="1:22" x14ac:dyDescent="0.25">
      <c r="A11" s="77" t="s">
        <v>299</v>
      </c>
      <c r="B11" s="129" t="s">
        <v>364</v>
      </c>
      <c r="C11" s="129"/>
      <c r="D11" s="129"/>
      <c r="E11" s="129"/>
      <c r="F11" s="129"/>
      <c r="G11" s="129"/>
      <c r="H11" s="129"/>
      <c r="I11" s="129"/>
      <c r="J11" s="129"/>
      <c r="K11" s="129"/>
      <c r="L11" s="129"/>
      <c r="M11" s="129"/>
      <c r="N11" s="129"/>
      <c r="O11" s="129"/>
      <c r="P11" s="129"/>
      <c r="Q11" s="129"/>
      <c r="R11" s="129"/>
      <c r="S11" s="129"/>
      <c r="T11" s="129"/>
      <c r="U11" s="129"/>
      <c r="V11" s="129"/>
    </row>
    <row r="12" spans="1:22" x14ac:dyDescent="0.25">
      <c r="A12" s="77" t="s">
        <v>301</v>
      </c>
      <c r="B12" s="129" t="s">
        <v>471</v>
      </c>
      <c r="C12" s="129"/>
      <c r="D12" s="129"/>
      <c r="E12" s="129"/>
      <c r="F12" s="129"/>
      <c r="G12" s="129"/>
      <c r="H12" s="129"/>
      <c r="I12" s="129"/>
      <c r="J12" s="129"/>
      <c r="K12" s="129"/>
      <c r="L12" s="129"/>
      <c r="M12" s="129"/>
      <c r="N12" s="129"/>
      <c r="O12" s="129"/>
      <c r="P12" s="129"/>
      <c r="Q12" s="129"/>
      <c r="R12" s="129"/>
      <c r="S12" s="129"/>
      <c r="T12" s="129"/>
      <c r="U12" s="129"/>
      <c r="V12" s="129"/>
    </row>
    <row r="13" spans="1:22" x14ac:dyDescent="0.25">
      <c r="A13" s="77" t="s">
        <v>806</v>
      </c>
      <c r="B13" s="129">
        <v>0</v>
      </c>
      <c r="C13" s="129"/>
      <c r="D13" s="129"/>
      <c r="E13" s="129"/>
      <c r="F13" s="129"/>
      <c r="G13" s="129"/>
      <c r="H13" s="129"/>
      <c r="I13" s="129"/>
      <c r="J13" s="129"/>
      <c r="K13" s="129"/>
      <c r="L13" s="129"/>
      <c r="M13" s="129"/>
      <c r="N13" s="129"/>
      <c r="O13" s="129"/>
      <c r="P13" s="129"/>
      <c r="Q13" s="129"/>
      <c r="R13" s="129"/>
      <c r="S13" s="129"/>
      <c r="T13" s="129"/>
      <c r="U13" s="129"/>
      <c r="V13" s="129"/>
    </row>
    <row r="14" spans="1:22" x14ac:dyDescent="0.25">
      <c r="A14" s="77" t="s">
        <v>305</v>
      </c>
      <c r="B14" s="129">
        <v>419</v>
      </c>
      <c r="C14" s="129"/>
      <c r="D14" s="129"/>
      <c r="E14" s="129"/>
      <c r="F14" s="129"/>
      <c r="G14" s="129"/>
      <c r="H14" s="129"/>
      <c r="I14" s="129"/>
      <c r="J14" s="129"/>
      <c r="K14" s="129"/>
      <c r="L14" s="129"/>
      <c r="M14" s="129"/>
      <c r="N14" s="129"/>
      <c r="O14" s="129"/>
      <c r="P14" s="129"/>
      <c r="Q14" s="129"/>
      <c r="R14" s="129"/>
      <c r="S14" s="129"/>
      <c r="T14" s="129"/>
      <c r="U14" s="129"/>
      <c r="V14" s="129"/>
    </row>
    <row r="15" spans="1:22" x14ac:dyDescent="0.25">
      <c r="A15" s="77" t="s">
        <v>307</v>
      </c>
      <c r="B15" s="129" t="s">
        <v>487</v>
      </c>
      <c r="C15" s="129"/>
      <c r="D15" s="129"/>
      <c r="E15" s="129"/>
      <c r="F15" s="129"/>
      <c r="G15" s="129"/>
      <c r="H15" s="129"/>
      <c r="I15" s="129"/>
      <c r="J15" s="129"/>
      <c r="K15" s="129"/>
      <c r="L15" s="129"/>
      <c r="M15" s="129"/>
      <c r="N15" s="129"/>
      <c r="O15" s="129"/>
      <c r="P15" s="129"/>
      <c r="Q15" s="129"/>
      <c r="R15" s="129"/>
      <c r="S15" s="129"/>
      <c r="T15" s="129"/>
      <c r="U15" s="129"/>
      <c r="V15" s="129"/>
    </row>
    <row r="16" spans="1:22" x14ac:dyDescent="0.25">
      <c r="A16" s="77" t="s">
        <v>825</v>
      </c>
      <c r="B16" s="129" t="s">
        <v>488</v>
      </c>
      <c r="C16" s="129"/>
      <c r="D16" s="129"/>
      <c r="E16" s="129"/>
      <c r="F16" s="129"/>
      <c r="G16" s="129"/>
      <c r="H16" s="129"/>
      <c r="I16" s="129"/>
      <c r="J16" s="129"/>
      <c r="K16" s="129"/>
      <c r="L16" s="129"/>
      <c r="M16" s="129"/>
      <c r="N16" s="129"/>
      <c r="O16" s="129"/>
      <c r="P16" s="129"/>
      <c r="Q16" s="129"/>
      <c r="R16" s="129"/>
      <c r="S16" s="129"/>
      <c r="T16" s="129"/>
      <c r="U16" s="129"/>
      <c r="V16" s="129"/>
    </row>
    <row r="17" spans="1:22" x14ac:dyDescent="0.25">
      <c r="A17" s="77" t="s">
        <v>803</v>
      </c>
      <c r="B17" s="129"/>
      <c r="C17" s="129"/>
      <c r="D17" s="129"/>
      <c r="E17" s="129"/>
      <c r="F17" s="129"/>
      <c r="G17" s="129"/>
      <c r="H17" s="129"/>
      <c r="I17" s="129"/>
      <c r="J17" s="129"/>
      <c r="K17" s="129"/>
      <c r="L17" s="129"/>
      <c r="M17" s="129"/>
      <c r="N17" s="129"/>
      <c r="O17" s="129"/>
      <c r="P17" s="129"/>
      <c r="Q17" s="129"/>
      <c r="R17" s="129"/>
      <c r="S17" s="129"/>
      <c r="T17" s="129"/>
      <c r="U17" s="129"/>
      <c r="V17" s="129"/>
    </row>
    <row r="18" spans="1:22" x14ac:dyDescent="0.25">
      <c r="A18" s="77" t="s">
        <v>313</v>
      </c>
      <c r="B18" s="187">
        <v>45106</v>
      </c>
      <c r="C18" s="129"/>
      <c r="D18" s="129"/>
      <c r="E18" s="129"/>
      <c r="F18" s="129"/>
      <c r="G18" s="129"/>
      <c r="H18" s="129"/>
      <c r="I18" s="129"/>
      <c r="J18" s="129"/>
      <c r="K18" s="129"/>
      <c r="L18" s="129"/>
      <c r="M18" s="129"/>
      <c r="N18" s="129"/>
      <c r="O18" s="129"/>
      <c r="P18" s="129"/>
      <c r="Q18" s="129"/>
      <c r="R18" s="129"/>
      <c r="S18" s="129"/>
      <c r="T18" s="129"/>
      <c r="U18" s="129"/>
      <c r="V18" s="129"/>
    </row>
    <row r="19" spans="1:22" x14ac:dyDescent="0.25">
      <c r="A19" s="77" t="s">
        <v>315</v>
      </c>
      <c r="B19" s="187"/>
      <c r="C19" s="129"/>
      <c r="D19" s="129"/>
      <c r="E19" s="129"/>
      <c r="F19" s="129"/>
      <c r="G19" s="129"/>
      <c r="H19" s="129"/>
      <c r="I19" s="129"/>
      <c r="J19" s="129"/>
      <c r="K19" s="129"/>
      <c r="L19" s="129"/>
      <c r="M19" s="129"/>
      <c r="N19" s="129"/>
      <c r="O19" s="129"/>
      <c r="P19" s="129"/>
      <c r="Q19" s="129"/>
      <c r="R19" s="129"/>
      <c r="S19" s="129"/>
      <c r="T19" s="129"/>
      <c r="U19" s="129"/>
      <c r="V19" s="129"/>
    </row>
    <row r="20" spans="1:22" x14ac:dyDescent="0.25">
      <c r="A20" s="77" t="s">
        <v>317</v>
      </c>
      <c r="B20" s="129" t="s">
        <v>331</v>
      </c>
      <c r="C20" s="129"/>
      <c r="D20" s="129"/>
      <c r="E20" s="129"/>
      <c r="F20" s="129"/>
      <c r="G20" s="129"/>
      <c r="H20" s="129"/>
      <c r="I20" s="129"/>
      <c r="J20" s="129"/>
      <c r="K20" s="129"/>
      <c r="L20" s="129"/>
      <c r="M20" s="129"/>
      <c r="N20" s="129"/>
      <c r="O20" s="129"/>
      <c r="P20" s="129"/>
      <c r="Q20" s="129"/>
      <c r="R20" s="129"/>
      <c r="S20" s="129"/>
      <c r="T20" s="129"/>
      <c r="U20" s="129"/>
      <c r="V20" s="129"/>
    </row>
    <row r="21" spans="1:22" x14ac:dyDescent="0.25">
      <c r="A21" s="77" t="s">
        <v>323</v>
      </c>
      <c r="B21" s="129" t="s">
        <v>332</v>
      </c>
      <c r="C21" s="129"/>
      <c r="D21" s="129"/>
      <c r="E21" s="129"/>
      <c r="F21" s="129"/>
      <c r="G21" s="129"/>
      <c r="H21" s="129"/>
      <c r="I21" s="129"/>
      <c r="J21" s="129"/>
      <c r="K21" s="129"/>
      <c r="L21" s="129"/>
      <c r="M21" s="129"/>
      <c r="N21" s="129"/>
      <c r="O21" s="129"/>
      <c r="P21" s="129"/>
      <c r="Q21" s="129"/>
      <c r="R21" s="129"/>
      <c r="S21" s="129"/>
      <c r="T21" s="129"/>
      <c r="U21" s="129"/>
      <c r="V21" s="129"/>
    </row>
    <row r="23" spans="1:22" x14ac:dyDescent="0.25">
      <c r="B23" s="102" t="str">
        <f>HYPERLINK("#'Factor List'!A1","Back to Factor List")</f>
        <v>Back to Factor List</v>
      </c>
    </row>
    <row r="24" spans="1:22" x14ac:dyDescent="0.25">
      <c r="B24" s="102" t="s">
        <v>13</v>
      </c>
    </row>
    <row r="25" spans="1:22" x14ac:dyDescent="0.25">
      <c r="B25" s="102"/>
    </row>
    <row r="26" spans="1:22" x14ac:dyDescent="0.25">
      <c r="A26" s="103" t="s">
        <v>855</v>
      </c>
      <c r="B26" s="103">
        <v>60</v>
      </c>
      <c r="C26" s="103">
        <v>61</v>
      </c>
      <c r="D26" s="103">
        <v>62</v>
      </c>
      <c r="E26" s="103">
        <v>63</v>
      </c>
      <c r="F26" s="103">
        <v>64</v>
      </c>
      <c r="G26" s="103">
        <v>65</v>
      </c>
      <c r="H26" s="103">
        <v>66</v>
      </c>
      <c r="I26" s="103">
        <v>67</v>
      </c>
      <c r="J26" s="103">
        <v>68</v>
      </c>
      <c r="K26" s="103">
        <v>69</v>
      </c>
      <c r="L26" s="103">
        <v>70</v>
      </c>
      <c r="M26" s="103">
        <v>71</v>
      </c>
      <c r="N26" s="103">
        <v>72</v>
      </c>
      <c r="O26" s="103">
        <v>73</v>
      </c>
      <c r="P26" s="103">
        <v>74</v>
      </c>
      <c r="Q26" s="103">
        <v>75</v>
      </c>
      <c r="R26" s="103">
        <v>76</v>
      </c>
      <c r="S26" s="103">
        <v>77</v>
      </c>
      <c r="T26" s="103">
        <v>78</v>
      </c>
      <c r="U26" s="103">
        <v>79</v>
      </c>
      <c r="V26" s="103">
        <v>80</v>
      </c>
    </row>
    <row r="27" spans="1:22" x14ac:dyDescent="0.25">
      <c r="A27" s="104">
        <v>0</v>
      </c>
      <c r="B27" s="128">
        <v>0.78800000000000003</v>
      </c>
      <c r="C27" s="128">
        <v>0.82399999999999995</v>
      </c>
      <c r="D27" s="128">
        <v>0.86299999999999999</v>
      </c>
      <c r="E27" s="128">
        <v>0.90600000000000003</v>
      </c>
      <c r="F27" s="128">
        <v>0.95199999999999996</v>
      </c>
      <c r="G27" s="128">
        <v>1</v>
      </c>
      <c r="H27" s="128">
        <v>1.052</v>
      </c>
      <c r="I27" s="128">
        <v>1.1080000000000001</v>
      </c>
      <c r="J27" s="128">
        <v>1.17</v>
      </c>
      <c r="K27" s="128">
        <v>1.238</v>
      </c>
      <c r="L27" s="128">
        <v>1.3089999999999999</v>
      </c>
      <c r="M27" s="128">
        <v>1.391</v>
      </c>
      <c r="N27" s="128">
        <v>1.48</v>
      </c>
      <c r="O27" s="128">
        <v>1.5780000000000001</v>
      </c>
      <c r="P27" s="128">
        <v>1.6850000000000001</v>
      </c>
      <c r="Q27" s="128">
        <v>1.796</v>
      </c>
      <c r="R27" s="128">
        <v>1.9259999999999999</v>
      </c>
      <c r="S27" s="128">
        <v>2.0680000000000001</v>
      </c>
      <c r="T27" s="128">
        <v>2.2250000000000001</v>
      </c>
      <c r="U27" s="128">
        <v>2.3980000000000001</v>
      </c>
      <c r="V27" s="128">
        <v>2.5760000000000001</v>
      </c>
    </row>
    <row r="28" spans="1:22" x14ac:dyDescent="0.25">
      <c r="A28" s="104">
        <v>1</v>
      </c>
      <c r="B28" s="128">
        <v>0.79100000000000004</v>
      </c>
      <c r="C28" s="128">
        <v>0.82699999999999996</v>
      </c>
      <c r="D28" s="128">
        <v>0.86699999999999999</v>
      </c>
      <c r="E28" s="128">
        <v>0.91</v>
      </c>
      <c r="F28" s="128">
        <v>0.95599999999999996</v>
      </c>
      <c r="G28" s="128">
        <v>1.004</v>
      </c>
      <c r="H28" s="128">
        <v>1.0569999999999999</v>
      </c>
      <c r="I28" s="128">
        <v>1.113</v>
      </c>
      <c r="J28" s="128">
        <v>1.1759999999999999</v>
      </c>
      <c r="K28" s="128">
        <v>1.244</v>
      </c>
      <c r="L28" s="128">
        <v>1.3160000000000001</v>
      </c>
      <c r="M28" s="128">
        <v>1.3979999999999999</v>
      </c>
      <c r="N28" s="128">
        <v>1.488</v>
      </c>
      <c r="O28" s="128">
        <v>1.587</v>
      </c>
      <c r="P28" s="128">
        <v>1.694</v>
      </c>
      <c r="Q28" s="128">
        <v>1.8069999999999999</v>
      </c>
      <c r="R28" s="128">
        <v>1.9379999999999999</v>
      </c>
      <c r="S28" s="128">
        <v>2.081</v>
      </c>
      <c r="T28" s="128">
        <v>2.2389999999999999</v>
      </c>
      <c r="U28" s="128">
        <v>2.4129999999999998</v>
      </c>
      <c r="V28" s="128"/>
    </row>
    <row r="29" spans="1:22" x14ac:dyDescent="0.25">
      <c r="A29" s="104">
        <v>2</v>
      </c>
      <c r="B29" s="128">
        <v>0.79400000000000004</v>
      </c>
      <c r="C29" s="128">
        <v>0.83099999999999996</v>
      </c>
      <c r="D29" s="128">
        <v>0.87</v>
      </c>
      <c r="E29" s="128">
        <v>0.91400000000000003</v>
      </c>
      <c r="F29" s="128">
        <v>0.96</v>
      </c>
      <c r="G29" s="128">
        <v>1.0089999999999999</v>
      </c>
      <c r="H29" s="128">
        <v>1.0609999999999999</v>
      </c>
      <c r="I29" s="128">
        <v>1.1180000000000001</v>
      </c>
      <c r="J29" s="128">
        <v>1.181</v>
      </c>
      <c r="K29" s="128">
        <v>1.25</v>
      </c>
      <c r="L29" s="128">
        <v>1.323</v>
      </c>
      <c r="M29" s="128">
        <v>1.4059999999999999</v>
      </c>
      <c r="N29" s="128">
        <v>1.496</v>
      </c>
      <c r="O29" s="128">
        <v>1.5960000000000001</v>
      </c>
      <c r="P29" s="128">
        <v>1.704</v>
      </c>
      <c r="Q29" s="128">
        <v>1.8180000000000001</v>
      </c>
      <c r="R29" s="128">
        <v>1.95</v>
      </c>
      <c r="S29" s="128">
        <v>2.0939999999999999</v>
      </c>
      <c r="T29" s="128">
        <v>2.254</v>
      </c>
      <c r="U29" s="128">
        <v>2.4279999999999999</v>
      </c>
      <c r="V29" s="128"/>
    </row>
    <row r="30" spans="1:22" x14ac:dyDescent="0.25">
      <c r="A30" s="104">
        <v>3</v>
      </c>
      <c r="B30" s="128">
        <v>0.79700000000000004</v>
      </c>
      <c r="C30" s="128">
        <v>0.83399999999999996</v>
      </c>
      <c r="D30" s="128">
        <v>0.874</v>
      </c>
      <c r="E30" s="128">
        <v>0.91800000000000004</v>
      </c>
      <c r="F30" s="128">
        <v>0.96399999999999997</v>
      </c>
      <c r="G30" s="128">
        <v>1.0129999999999999</v>
      </c>
      <c r="H30" s="128">
        <v>1.0660000000000001</v>
      </c>
      <c r="I30" s="128">
        <v>1.1240000000000001</v>
      </c>
      <c r="J30" s="128">
        <v>1.1870000000000001</v>
      </c>
      <c r="K30" s="128">
        <v>1.256</v>
      </c>
      <c r="L30" s="128">
        <v>1.33</v>
      </c>
      <c r="M30" s="128">
        <v>1.413</v>
      </c>
      <c r="N30" s="128">
        <v>1.5049999999999999</v>
      </c>
      <c r="O30" s="128">
        <v>1.605</v>
      </c>
      <c r="P30" s="128">
        <v>1.7130000000000001</v>
      </c>
      <c r="Q30" s="128">
        <v>1.829</v>
      </c>
      <c r="R30" s="128">
        <v>1.962</v>
      </c>
      <c r="S30" s="128">
        <v>2.1070000000000002</v>
      </c>
      <c r="T30" s="128">
        <v>2.2679999999999998</v>
      </c>
      <c r="U30" s="128">
        <v>2.4430000000000001</v>
      </c>
      <c r="V30" s="128"/>
    </row>
    <row r="31" spans="1:22" x14ac:dyDescent="0.25">
      <c r="A31" s="104">
        <v>4</v>
      </c>
      <c r="B31" s="128">
        <v>0.8</v>
      </c>
      <c r="C31" s="128">
        <v>0.83699999999999997</v>
      </c>
      <c r="D31" s="128">
        <v>0.877</v>
      </c>
      <c r="E31" s="128">
        <v>0.92100000000000004</v>
      </c>
      <c r="F31" s="128">
        <v>0.96799999999999997</v>
      </c>
      <c r="G31" s="128">
        <v>1.0169999999999999</v>
      </c>
      <c r="H31" s="128">
        <v>1.071</v>
      </c>
      <c r="I31" s="128">
        <v>1.129</v>
      </c>
      <c r="J31" s="128">
        <v>1.1930000000000001</v>
      </c>
      <c r="K31" s="128">
        <v>1.262</v>
      </c>
      <c r="L31" s="128">
        <v>1.3360000000000001</v>
      </c>
      <c r="M31" s="128">
        <v>1.421</v>
      </c>
      <c r="N31" s="128">
        <v>1.5129999999999999</v>
      </c>
      <c r="O31" s="128">
        <v>1.6140000000000001</v>
      </c>
      <c r="P31" s="128">
        <v>1.722</v>
      </c>
      <c r="Q31" s="128">
        <v>1.839</v>
      </c>
      <c r="R31" s="128">
        <v>1.9730000000000001</v>
      </c>
      <c r="S31" s="128">
        <v>2.12</v>
      </c>
      <c r="T31" s="128">
        <v>2.2829999999999999</v>
      </c>
      <c r="U31" s="128">
        <v>2.4569999999999999</v>
      </c>
      <c r="V31" s="128"/>
    </row>
    <row r="32" spans="1:22" x14ac:dyDescent="0.25">
      <c r="A32" s="104">
        <v>5</v>
      </c>
      <c r="B32" s="128">
        <v>0.80300000000000005</v>
      </c>
      <c r="C32" s="128">
        <v>0.84</v>
      </c>
      <c r="D32" s="128">
        <v>0.88100000000000001</v>
      </c>
      <c r="E32" s="128">
        <v>0.92500000000000004</v>
      </c>
      <c r="F32" s="128">
        <v>0.97199999999999998</v>
      </c>
      <c r="G32" s="128">
        <v>1.022</v>
      </c>
      <c r="H32" s="128">
        <v>1.075</v>
      </c>
      <c r="I32" s="128">
        <v>1.1339999999999999</v>
      </c>
      <c r="J32" s="128">
        <v>1.198</v>
      </c>
      <c r="K32" s="128">
        <v>1.268</v>
      </c>
      <c r="L32" s="128">
        <v>1.343</v>
      </c>
      <c r="M32" s="128">
        <v>1.4279999999999999</v>
      </c>
      <c r="N32" s="128">
        <v>1.5209999999999999</v>
      </c>
      <c r="O32" s="128">
        <v>1.623</v>
      </c>
      <c r="P32" s="128">
        <v>1.7310000000000001</v>
      </c>
      <c r="Q32" s="128">
        <v>1.85</v>
      </c>
      <c r="R32" s="128">
        <v>1.9850000000000001</v>
      </c>
      <c r="S32" s="128">
        <v>2.133</v>
      </c>
      <c r="T32" s="128">
        <v>2.2970000000000002</v>
      </c>
      <c r="U32" s="128">
        <v>2.472</v>
      </c>
      <c r="V32" s="128"/>
    </row>
    <row r="33" spans="1:22" x14ac:dyDescent="0.25">
      <c r="A33" s="104">
        <v>6</v>
      </c>
      <c r="B33" s="128">
        <v>0.80600000000000005</v>
      </c>
      <c r="C33" s="128">
        <v>0.84399999999999997</v>
      </c>
      <c r="D33" s="128">
        <v>0.88500000000000001</v>
      </c>
      <c r="E33" s="128">
        <v>0.92900000000000005</v>
      </c>
      <c r="F33" s="128">
        <v>0.97599999999999998</v>
      </c>
      <c r="G33" s="128">
        <v>1.026</v>
      </c>
      <c r="H33" s="128">
        <v>1.08</v>
      </c>
      <c r="I33" s="128">
        <v>1.139</v>
      </c>
      <c r="J33" s="128">
        <v>1.204</v>
      </c>
      <c r="K33" s="128">
        <v>1.274</v>
      </c>
      <c r="L33" s="128">
        <v>1.35</v>
      </c>
      <c r="M33" s="128">
        <v>1.4359999999999999</v>
      </c>
      <c r="N33" s="128">
        <v>1.5289999999999999</v>
      </c>
      <c r="O33" s="128">
        <v>1.6319999999999999</v>
      </c>
      <c r="P33" s="128">
        <v>1.7410000000000001</v>
      </c>
      <c r="Q33" s="128">
        <v>1.861</v>
      </c>
      <c r="R33" s="128">
        <v>1.9970000000000001</v>
      </c>
      <c r="S33" s="128">
        <v>2.1469999999999998</v>
      </c>
      <c r="T33" s="128">
        <v>2.3119999999999998</v>
      </c>
      <c r="U33" s="128">
        <v>2.4870000000000001</v>
      </c>
      <c r="V33" s="128"/>
    </row>
    <row r="34" spans="1:22" x14ac:dyDescent="0.25">
      <c r="A34" s="104">
        <v>7</v>
      </c>
      <c r="B34" s="128">
        <v>0.80900000000000005</v>
      </c>
      <c r="C34" s="128">
        <v>0.84699999999999998</v>
      </c>
      <c r="D34" s="128">
        <v>0.88800000000000001</v>
      </c>
      <c r="E34" s="128">
        <v>0.93300000000000005</v>
      </c>
      <c r="F34" s="128">
        <v>0.98</v>
      </c>
      <c r="G34" s="128">
        <v>1.03</v>
      </c>
      <c r="H34" s="128">
        <v>1.085</v>
      </c>
      <c r="I34" s="128">
        <v>1.1439999999999999</v>
      </c>
      <c r="J34" s="128">
        <v>1.21</v>
      </c>
      <c r="K34" s="128">
        <v>1.2789999999999999</v>
      </c>
      <c r="L34" s="128">
        <v>1.357</v>
      </c>
      <c r="M34" s="128">
        <v>1.4430000000000001</v>
      </c>
      <c r="N34" s="128">
        <v>1.5369999999999999</v>
      </c>
      <c r="O34" s="128">
        <v>1.64</v>
      </c>
      <c r="P34" s="128">
        <v>1.75</v>
      </c>
      <c r="Q34" s="128">
        <v>1.8720000000000001</v>
      </c>
      <c r="R34" s="128">
        <v>2.0089999999999999</v>
      </c>
      <c r="S34" s="128">
        <v>2.16</v>
      </c>
      <c r="T34" s="128">
        <v>2.3260000000000001</v>
      </c>
      <c r="U34" s="128">
        <v>2.5019999999999998</v>
      </c>
      <c r="V34" s="128"/>
    </row>
    <row r="35" spans="1:22" x14ac:dyDescent="0.25">
      <c r="A35" s="104">
        <v>8</v>
      </c>
      <c r="B35" s="128">
        <v>0.81200000000000006</v>
      </c>
      <c r="C35" s="128">
        <v>0.85</v>
      </c>
      <c r="D35" s="128">
        <v>0.89200000000000002</v>
      </c>
      <c r="E35" s="128">
        <v>0.93700000000000006</v>
      </c>
      <c r="F35" s="128">
        <v>0.98399999999999999</v>
      </c>
      <c r="G35" s="128">
        <v>1.0349999999999999</v>
      </c>
      <c r="H35" s="128">
        <v>1.089</v>
      </c>
      <c r="I35" s="128">
        <v>1.149</v>
      </c>
      <c r="J35" s="128">
        <v>1.2150000000000001</v>
      </c>
      <c r="K35" s="128">
        <v>1.2849999999999999</v>
      </c>
      <c r="L35" s="128">
        <v>1.3640000000000001</v>
      </c>
      <c r="M35" s="128">
        <v>1.45</v>
      </c>
      <c r="N35" s="128">
        <v>1.5449999999999999</v>
      </c>
      <c r="O35" s="128">
        <v>1.649</v>
      </c>
      <c r="P35" s="128">
        <v>1.7589999999999999</v>
      </c>
      <c r="Q35" s="128">
        <v>1.883</v>
      </c>
      <c r="R35" s="128">
        <v>2.0209999999999999</v>
      </c>
      <c r="S35" s="128">
        <v>2.173</v>
      </c>
      <c r="T35" s="128">
        <v>2.34</v>
      </c>
      <c r="U35" s="128">
        <v>2.5169999999999999</v>
      </c>
      <c r="V35" s="128"/>
    </row>
    <row r="36" spans="1:22" x14ac:dyDescent="0.25">
      <c r="A36" s="104">
        <v>9</v>
      </c>
      <c r="B36" s="128">
        <v>0.81499999999999995</v>
      </c>
      <c r="C36" s="128">
        <v>0.85299999999999998</v>
      </c>
      <c r="D36" s="128">
        <v>0.89500000000000002</v>
      </c>
      <c r="E36" s="128">
        <v>0.94099999999999995</v>
      </c>
      <c r="F36" s="128">
        <v>0.98799999999999999</v>
      </c>
      <c r="G36" s="128">
        <v>1.0389999999999999</v>
      </c>
      <c r="H36" s="128">
        <v>1.0940000000000001</v>
      </c>
      <c r="I36" s="128">
        <v>1.155</v>
      </c>
      <c r="J36" s="128">
        <v>1.2210000000000001</v>
      </c>
      <c r="K36" s="128">
        <v>1.2909999999999999</v>
      </c>
      <c r="L36" s="128">
        <v>1.371</v>
      </c>
      <c r="M36" s="128">
        <v>1.458</v>
      </c>
      <c r="N36" s="128">
        <v>1.554</v>
      </c>
      <c r="O36" s="128">
        <v>1.6579999999999999</v>
      </c>
      <c r="P36" s="128">
        <v>1.768</v>
      </c>
      <c r="Q36" s="128">
        <v>1.8939999999999999</v>
      </c>
      <c r="R36" s="128">
        <v>2.0329999999999999</v>
      </c>
      <c r="S36" s="128">
        <v>2.1859999999999999</v>
      </c>
      <c r="T36" s="128">
        <v>2.355</v>
      </c>
      <c r="U36" s="128">
        <v>2.532</v>
      </c>
      <c r="V36" s="128"/>
    </row>
    <row r="37" spans="1:22" x14ac:dyDescent="0.25">
      <c r="A37" s="104">
        <v>10</v>
      </c>
      <c r="B37" s="128">
        <v>0.81799999999999995</v>
      </c>
      <c r="C37" s="128">
        <v>0.85699999999999998</v>
      </c>
      <c r="D37" s="128">
        <v>0.89900000000000002</v>
      </c>
      <c r="E37" s="128">
        <v>0.94399999999999995</v>
      </c>
      <c r="F37" s="128">
        <v>0.99199999999999999</v>
      </c>
      <c r="G37" s="128">
        <v>1.0429999999999999</v>
      </c>
      <c r="H37" s="128">
        <v>1.099</v>
      </c>
      <c r="I37" s="128">
        <v>1.1599999999999999</v>
      </c>
      <c r="J37" s="128">
        <v>1.2270000000000001</v>
      </c>
      <c r="K37" s="128">
        <v>1.2969999999999999</v>
      </c>
      <c r="L37" s="128">
        <v>1.377</v>
      </c>
      <c r="M37" s="128">
        <v>1.4650000000000001</v>
      </c>
      <c r="N37" s="128">
        <v>1.5620000000000001</v>
      </c>
      <c r="O37" s="128">
        <v>1.667</v>
      </c>
      <c r="P37" s="128">
        <v>1.778</v>
      </c>
      <c r="Q37" s="128">
        <v>1.9039999999999999</v>
      </c>
      <c r="R37" s="128">
        <v>2.044</v>
      </c>
      <c r="S37" s="128">
        <v>2.1989999999999998</v>
      </c>
      <c r="T37" s="128">
        <v>2.3690000000000002</v>
      </c>
      <c r="U37" s="128">
        <v>2.5459999999999998</v>
      </c>
      <c r="V37" s="128"/>
    </row>
    <row r="38" spans="1:22" x14ac:dyDescent="0.25">
      <c r="A38" s="104">
        <v>11</v>
      </c>
      <c r="B38" s="128">
        <v>0.82099999999999995</v>
      </c>
      <c r="C38" s="128">
        <v>0.86</v>
      </c>
      <c r="D38" s="128">
        <v>0.90200000000000002</v>
      </c>
      <c r="E38" s="128">
        <v>0.94799999999999995</v>
      </c>
      <c r="F38" s="128">
        <v>0.996</v>
      </c>
      <c r="G38" s="128">
        <v>1.048</v>
      </c>
      <c r="H38" s="128">
        <v>1.103</v>
      </c>
      <c r="I38" s="128">
        <v>1.165</v>
      </c>
      <c r="J38" s="128">
        <v>1.232</v>
      </c>
      <c r="K38" s="128">
        <v>1.3029999999999999</v>
      </c>
      <c r="L38" s="128">
        <v>1.3839999999999999</v>
      </c>
      <c r="M38" s="128">
        <v>1.4730000000000001</v>
      </c>
      <c r="N38" s="128">
        <v>1.57</v>
      </c>
      <c r="O38" s="128">
        <v>1.6759999999999999</v>
      </c>
      <c r="P38" s="128">
        <v>1.7869999999999999</v>
      </c>
      <c r="Q38" s="128">
        <v>1.915</v>
      </c>
      <c r="R38" s="128">
        <v>2.056</v>
      </c>
      <c r="S38" s="128">
        <v>2.2120000000000002</v>
      </c>
      <c r="T38" s="128">
        <v>2.3839999999999999</v>
      </c>
      <c r="U38" s="128">
        <v>2.5609999999999999</v>
      </c>
      <c r="V38" s="128"/>
    </row>
    <row r="39" spans="1:22" x14ac:dyDescent="0.25">
      <c r="A39"/>
      <c r="B39"/>
    </row>
    <row r="40" spans="1:22" x14ac:dyDescent="0.25">
      <c r="A40"/>
      <c r="B40"/>
    </row>
    <row r="41" spans="1:22" x14ac:dyDescent="0.25">
      <c r="A41"/>
      <c r="B41"/>
    </row>
    <row r="42" spans="1:22" x14ac:dyDescent="0.25">
      <c r="A42"/>
      <c r="B42"/>
    </row>
    <row r="43" spans="1:22" x14ac:dyDescent="0.25">
      <c r="A43"/>
      <c r="B43"/>
    </row>
    <row r="44" spans="1:22" ht="39.6" customHeight="1" x14ac:dyDescent="0.25">
      <c r="A44"/>
      <c r="B44"/>
    </row>
    <row r="45" spans="1:22" x14ac:dyDescent="0.25">
      <c r="A45"/>
      <c r="B45"/>
    </row>
    <row r="46" spans="1:22" ht="27.6" customHeight="1" x14ac:dyDescent="0.25">
      <c r="A46"/>
      <c r="B46"/>
    </row>
    <row r="47" spans="1:22" x14ac:dyDescent="0.25">
      <c r="A47"/>
      <c r="B47"/>
    </row>
    <row r="48" spans="1:2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wU3MOJNxdTqSEGQ/Mw2FxwAEnyEyjagsQpFBsYKl66q9CqCO4057LI4L2VH7WlOzxOA7K+n8gvCrhN55IrcfAA==" saltValue="hrnNLMz03PwRrdqYU+ZfzA==" spinCount="100000" sheet="1" objects="1" scenarios="1"/>
  <conditionalFormatting sqref="A6:A21">
    <cfRule type="expression" dxfId="903" priority="1" stopIfTrue="1">
      <formula>MOD(ROW(),2)=0</formula>
    </cfRule>
    <cfRule type="expression" dxfId="902" priority="2" stopIfTrue="1">
      <formula>MOD(ROW(),2)&lt;&gt;0</formula>
    </cfRule>
  </conditionalFormatting>
  <conditionalFormatting sqref="A26:A38">
    <cfRule type="expression" dxfId="901" priority="9" stopIfTrue="1">
      <formula>MOD(ROW(),2)=0</formula>
    </cfRule>
    <cfRule type="expression" dxfId="900" priority="10" stopIfTrue="1">
      <formula>MOD(ROW(),2)&lt;&gt;0</formula>
    </cfRule>
  </conditionalFormatting>
  <conditionalFormatting sqref="B17:B21">
    <cfRule type="expression" dxfId="899" priority="5" stopIfTrue="1">
      <formula>MOD(ROW(),2)=0</formula>
    </cfRule>
    <cfRule type="expression" dxfId="898" priority="6" stopIfTrue="1">
      <formula>MOD(ROW(),2)&lt;&gt;0</formula>
    </cfRule>
  </conditionalFormatting>
  <conditionalFormatting sqref="B6:V21">
    <cfRule type="expression" dxfId="897" priority="29" stopIfTrue="1">
      <formula>MOD(ROW(),2)=0</formula>
    </cfRule>
    <cfRule type="expression" dxfId="896" priority="30" stopIfTrue="1">
      <formula>MOD(ROW(),2)&lt;&gt;0</formula>
    </cfRule>
  </conditionalFormatting>
  <conditionalFormatting sqref="B26:V38">
    <cfRule type="expression" dxfId="895" priority="11" stopIfTrue="1">
      <formula>MOD(ROW(),2)=0</formula>
    </cfRule>
    <cfRule type="expression" dxfId="894" priority="12" stopIfTrue="1">
      <formula>MOD(ROW(),2)&lt;&gt;0</formula>
    </cfRule>
  </conditionalFormatting>
  <hyperlinks>
    <hyperlink ref="B24" location="Sheet1!A1" display="Assumptions" xr:uid="{1154C916-91C2-4C88-B42D-731AE6BE2ED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6"/>
  <dimension ref="A1:V65"/>
  <sheetViews>
    <sheetView showGridLines="0" zoomScale="85" zoomScaleNormal="85" workbookViewId="0">
      <selection activeCell="A4" sqref="A4"/>
    </sheetView>
  </sheetViews>
  <sheetFormatPr defaultColWidth="10" defaultRowHeight="13.2" x14ac:dyDescent="0.25"/>
  <cols>
    <col min="1" max="1" width="31.5546875" style="27" customWidth="1"/>
    <col min="2" max="22" width="22.5546875" style="27" customWidth="1"/>
    <col min="23" max="16384" width="10" style="27"/>
  </cols>
  <sheetData>
    <row r="1" spans="1:22" ht="21" x14ac:dyDescent="0.4">
      <c r="A1" s="39" t="s">
        <v>0</v>
      </c>
      <c r="B1" s="40"/>
      <c r="C1" s="40"/>
      <c r="D1" s="40"/>
      <c r="E1" s="40"/>
      <c r="F1" s="40"/>
      <c r="G1" s="40"/>
      <c r="H1" s="40"/>
      <c r="I1" s="40"/>
    </row>
    <row r="2" spans="1:22"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22" ht="15.6" x14ac:dyDescent="0.3">
      <c r="A3" s="43" t="str">
        <f>TABLE_FACTOR_TYPE_1&amp;" - x-"&amp;TABLE_SERIES_NUMBER_1</f>
        <v>LRF - x-420</v>
      </c>
      <c r="B3" s="42"/>
      <c r="C3" s="42"/>
      <c r="D3" s="42"/>
      <c r="E3" s="42"/>
      <c r="F3" s="42"/>
      <c r="G3" s="42"/>
      <c r="H3" s="42"/>
      <c r="I3" s="42"/>
    </row>
    <row r="4" spans="1:22" x14ac:dyDescent="0.25">
      <c r="A4" s="44"/>
    </row>
    <row r="6" spans="1:22" x14ac:dyDescent="0.25">
      <c r="A6" s="76" t="s">
        <v>290</v>
      </c>
      <c r="B6" s="129" t="s">
        <v>291</v>
      </c>
      <c r="C6" s="129"/>
      <c r="D6" s="129"/>
      <c r="E6" s="129"/>
      <c r="F6" s="129"/>
      <c r="G6" s="129"/>
      <c r="H6" s="129"/>
      <c r="I6" s="129"/>
      <c r="J6" s="129"/>
      <c r="K6" s="129"/>
      <c r="L6" s="129"/>
      <c r="M6" s="129"/>
      <c r="N6" s="129"/>
      <c r="O6" s="129"/>
      <c r="P6" s="129"/>
      <c r="Q6" s="129"/>
      <c r="R6" s="129"/>
      <c r="S6" s="129"/>
      <c r="T6" s="129"/>
      <c r="U6" s="129"/>
      <c r="V6" s="129"/>
    </row>
    <row r="7" spans="1:22" x14ac:dyDescent="0.25">
      <c r="A7" s="77" t="s">
        <v>804</v>
      </c>
      <c r="B7" s="129" t="s">
        <v>324</v>
      </c>
      <c r="C7" s="129"/>
      <c r="D7" s="129"/>
      <c r="E7" s="129"/>
      <c r="F7" s="129"/>
      <c r="G7" s="129"/>
      <c r="H7" s="129"/>
      <c r="I7" s="129"/>
      <c r="J7" s="129"/>
      <c r="K7" s="129"/>
      <c r="L7" s="129"/>
      <c r="M7" s="129"/>
      <c r="N7" s="129"/>
      <c r="O7" s="129"/>
      <c r="P7" s="129"/>
      <c r="Q7" s="129"/>
      <c r="R7" s="129"/>
      <c r="S7" s="129"/>
      <c r="T7" s="129"/>
      <c r="U7" s="129"/>
      <c r="V7" s="129"/>
    </row>
    <row r="8" spans="1:22" x14ac:dyDescent="0.25">
      <c r="A8" s="77" t="s">
        <v>805</v>
      </c>
      <c r="B8" s="129" t="s">
        <v>85</v>
      </c>
      <c r="C8" s="129"/>
      <c r="D8" s="129"/>
      <c r="E8" s="129"/>
      <c r="F8" s="129"/>
      <c r="G8" s="129"/>
      <c r="H8" s="129"/>
      <c r="I8" s="129"/>
      <c r="J8" s="129"/>
      <c r="K8" s="129"/>
      <c r="L8" s="129"/>
      <c r="M8" s="129"/>
      <c r="N8" s="129"/>
      <c r="O8" s="129"/>
      <c r="P8" s="129"/>
      <c r="Q8" s="129"/>
      <c r="R8" s="129"/>
      <c r="S8" s="129"/>
      <c r="T8" s="129"/>
      <c r="U8" s="129"/>
      <c r="V8" s="129"/>
    </row>
    <row r="9" spans="1:22" x14ac:dyDescent="0.25">
      <c r="A9" s="77" t="s">
        <v>296</v>
      </c>
      <c r="B9" s="129" t="s">
        <v>469</v>
      </c>
      <c r="C9" s="129"/>
      <c r="D9" s="129"/>
      <c r="E9" s="129"/>
      <c r="F9" s="129"/>
      <c r="G9" s="129"/>
      <c r="H9" s="129"/>
      <c r="I9" s="129"/>
      <c r="J9" s="129"/>
      <c r="K9" s="129"/>
      <c r="L9" s="129"/>
      <c r="M9" s="129"/>
      <c r="N9" s="129"/>
      <c r="O9" s="129"/>
      <c r="P9" s="129"/>
      <c r="Q9" s="129"/>
      <c r="R9" s="129"/>
      <c r="S9" s="129"/>
      <c r="T9" s="129"/>
      <c r="U9" s="129"/>
      <c r="V9" s="129"/>
    </row>
    <row r="10" spans="1:22" x14ac:dyDescent="0.25">
      <c r="A10" s="77" t="s">
        <v>6</v>
      </c>
      <c r="B10" s="129" t="s">
        <v>489</v>
      </c>
      <c r="C10" s="129"/>
      <c r="D10" s="129"/>
      <c r="E10" s="129"/>
      <c r="F10" s="129"/>
      <c r="G10" s="129"/>
      <c r="H10" s="129"/>
      <c r="I10" s="129"/>
      <c r="J10" s="129"/>
      <c r="K10" s="129"/>
      <c r="L10" s="129"/>
      <c r="M10" s="129"/>
      <c r="N10" s="129"/>
      <c r="O10" s="129"/>
      <c r="P10" s="129"/>
      <c r="Q10" s="129"/>
      <c r="R10" s="129"/>
      <c r="S10" s="129"/>
      <c r="T10" s="129"/>
      <c r="U10" s="129"/>
      <c r="V10" s="129"/>
    </row>
    <row r="11" spans="1:22" x14ac:dyDescent="0.25">
      <c r="A11" s="77" t="s">
        <v>299</v>
      </c>
      <c r="B11" s="129" t="s">
        <v>364</v>
      </c>
      <c r="C11" s="129"/>
      <c r="D11" s="129"/>
      <c r="E11" s="129"/>
      <c r="F11" s="129"/>
      <c r="G11" s="129"/>
      <c r="H11" s="129"/>
      <c r="I11" s="129"/>
      <c r="J11" s="129"/>
      <c r="K11" s="129"/>
      <c r="L11" s="129"/>
      <c r="M11" s="129"/>
      <c r="N11" s="129"/>
      <c r="O11" s="129"/>
      <c r="P11" s="129"/>
      <c r="Q11" s="129"/>
      <c r="R11" s="129"/>
      <c r="S11" s="129"/>
      <c r="T11" s="129"/>
      <c r="U11" s="129"/>
      <c r="V11" s="129"/>
    </row>
    <row r="12" spans="1:22" x14ac:dyDescent="0.25">
      <c r="A12" s="77" t="s">
        <v>301</v>
      </c>
      <c r="B12" s="129" t="s">
        <v>471</v>
      </c>
      <c r="C12" s="129"/>
      <c r="D12" s="129"/>
      <c r="E12" s="129"/>
      <c r="F12" s="129"/>
      <c r="G12" s="129"/>
      <c r="H12" s="129"/>
      <c r="I12" s="129"/>
      <c r="J12" s="129"/>
      <c r="K12" s="129"/>
      <c r="L12" s="129"/>
      <c r="M12" s="129"/>
      <c r="N12" s="129"/>
      <c r="O12" s="129"/>
      <c r="P12" s="129"/>
      <c r="Q12" s="129"/>
      <c r="R12" s="129"/>
      <c r="S12" s="129"/>
      <c r="T12" s="129"/>
      <c r="U12" s="129"/>
      <c r="V12" s="129"/>
    </row>
    <row r="13" spans="1:22" x14ac:dyDescent="0.25">
      <c r="A13" s="77" t="s">
        <v>806</v>
      </c>
      <c r="B13" s="129">
        <v>0</v>
      </c>
      <c r="C13" s="129"/>
      <c r="D13" s="129"/>
      <c r="E13" s="129"/>
      <c r="F13" s="129"/>
      <c r="G13" s="129"/>
      <c r="H13" s="129"/>
      <c r="I13" s="129"/>
      <c r="J13" s="129"/>
      <c r="K13" s="129"/>
      <c r="L13" s="129"/>
      <c r="M13" s="129"/>
      <c r="N13" s="129"/>
      <c r="O13" s="129"/>
      <c r="P13" s="129"/>
      <c r="Q13" s="129"/>
      <c r="R13" s="129"/>
      <c r="S13" s="129"/>
      <c r="T13" s="129"/>
      <c r="U13" s="129"/>
      <c r="V13" s="129"/>
    </row>
    <row r="14" spans="1:22" x14ac:dyDescent="0.25">
      <c r="A14" s="77" t="s">
        <v>305</v>
      </c>
      <c r="B14" s="129">
        <v>420</v>
      </c>
      <c r="C14" s="129"/>
      <c r="D14" s="129"/>
      <c r="E14" s="129"/>
      <c r="F14" s="129"/>
      <c r="G14" s="129"/>
      <c r="H14" s="129"/>
      <c r="I14" s="129"/>
      <c r="J14" s="129"/>
      <c r="K14" s="129"/>
      <c r="L14" s="129"/>
      <c r="M14" s="129"/>
      <c r="N14" s="129"/>
      <c r="O14" s="129"/>
      <c r="P14" s="129"/>
      <c r="Q14" s="129"/>
      <c r="R14" s="129"/>
      <c r="S14" s="129"/>
      <c r="T14" s="129"/>
      <c r="U14" s="129"/>
      <c r="V14" s="129"/>
    </row>
    <row r="15" spans="1:22" x14ac:dyDescent="0.25">
      <c r="A15" s="77" t="s">
        <v>307</v>
      </c>
      <c r="B15" s="129" t="s">
        <v>490</v>
      </c>
      <c r="C15" s="129"/>
      <c r="D15" s="129"/>
      <c r="E15" s="129"/>
      <c r="F15" s="129"/>
      <c r="G15" s="129"/>
      <c r="H15" s="129"/>
      <c r="I15" s="129"/>
      <c r="J15" s="129"/>
      <c r="K15" s="129"/>
      <c r="L15" s="129"/>
      <c r="M15" s="129"/>
      <c r="N15" s="129"/>
      <c r="O15" s="129"/>
      <c r="P15" s="129"/>
      <c r="Q15" s="129"/>
      <c r="R15" s="129"/>
      <c r="S15" s="129"/>
      <c r="T15" s="129"/>
      <c r="U15" s="129"/>
      <c r="V15" s="129"/>
    </row>
    <row r="16" spans="1:22" x14ac:dyDescent="0.25">
      <c r="A16" s="77" t="s">
        <v>825</v>
      </c>
      <c r="B16" s="129" t="s">
        <v>491</v>
      </c>
      <c r="C16" s="129"/>
      <c r="D16" s="129"/>
      <c r="E16" s="129"/>
      <c r="F16" s="129"/>
      <c r="G16" s="129"/>
      <c r="H16" s="129"/>
      <c r="I16" s="129"/>
      <c r="J16" s="129"/>
      <c r="K16" s="129"/>
      <c r="L16" s="129"/>
      <c r="M16" s="129"/>
      <c r="N16" s="129"/>
      <c r="O16" s="129"/>
      <c r="P16" s="129"/>
      <c r="Q16" s="129"/>
      <c r="R16" s="129"/>
      <c r="S16" s="129"/>
      <c r="T16" s="129"/>
      <c r="U16" s="129"/>
      <c r="V16" s="129"/>
    </row>
    <row r="17" spans="1:22" x14ac:dyDescent="0.25">
      <c r="A17" s="77" t="s">
        <v>803</v>
      </c>
      <c r="B17" s="129"/>
      <c r="C17" s="129"/>
      <c r="D17" s="129"/>
      <c r="E17" s="129"/>
      <c r="F17" s="129"/>
      <c r="G17" s="129"/>
      <c r="H17" s="129"/>
      <c r="I17" s="129"/>
      <c r="J17" s="129"/>
      <c r="K17" s="129"/>
      <c r="L17" s="129"/>
      <c r="M17" s="129"/>
      <c r="N17" s="129"/>
      <c r="O17" s="129"/>
      <c r="P17" s="129"/>
      <c r="Q17" s="129"/>
      <c r="R17" s="129"/>
      <c r="S17" s="129"/>
      <c r="T17" s="129"/>
      <c r="U17" s="129"/>
      <c r="V17" s="129"/>
    </row>
    <row r="18" spans="1:22" x14ac:dyDescent="0.25">
      <c r="A18" s="77" t="s">
        <v>313</v>
      </c>
      <c r="B18" s="187">
        <v>45106</v>
      </c>
      <c r="C18" s="129"/>
      <c r="D18" s="129"/>
      <c r="E18" s="129"/>
      <c r="F18" s="129"/>
      <c r="G18" s="129"/>
      <c r="H18" s="129"/>
      <c r="I18" s="129"/>
      <c r="J18" s="129"/>
      <c r="K18" s="129"/>
      <c r="L18" s="129"/>
      <c r="M18" s="129"/>
      <c r="N18" s="129"/>
      <c r="O18" s="129"/>
      <c r="P18" s="129"/>
      <c r="Q18" s="129"/>
      <c r="R18" s="129"/>
      <c r="S18" s="129"/>
      <c r="T18" s="129"/>
      <c r="U18" s="129"/>
      <c r="V18" s="129"/>
    </row>
    <row r="19" spans="1:22" x14ac:dyDescent="0.25">
      <c r="A19" s="77" t="s">
        <v>315</v>
      </c>
      <c r="B19" s="187"/>
      <c r="C19" s="129"/>
      <c r="D19" s="129"/>
      <c r="E19" s="129"/>
      <c r="F19" s="129"/>
      <c r="G19" s="129"/>
      <c r="H19" s="129"/>
      <c r="I19" s="129"/>
      <c r="J19" s="129"/>
      <c r="K19" s="129"/>
      <c r="L19" s="129"/>
      <c r="M19" s="129"/>
      <c r="N19" s="129"/>
      <c r="O19" s="129"/>
      <c r="P19" s="129"/>
      <c r="Q19" s="129"/>
      <c r="R19" s="129"/>
      <c r="S19" s="129"/>
      <c r="T19" s="129"/>
      <c r="U19" s="129"/>
      <c r="V19" s="129"/>
    </row>
    <row r="20" spans="1:22" x14ac:dyDescent="0.25">
      <c r="A20" s="77" t="s">
        <v>317</v>
      </c>
      <c r="B20" s="129" t="s">
        <v>331</v>
      </c>
      <c r="C20" s="129"/>
      <c r="D20" s="129"/>
      <c r="E20" s="129"/>
      <c r="F20" s="129"/>
      <c r="G20" s="129"/>
      <c r="H20" s="129"/>
      <c r="I20" s="129"/>
      <c r="J20" s="129"/>
      <c r="K20" s="129"/>
      <c r="L20" s="129"/>
      <c r="M20" s="129"/>
      <c r="N20" s="129"/>
      <c r="O20" s="129"/>
      <c r="P20" s="129"/>
      <c r="Q20" s="129"/>
      <c r="R20" s="129"/>
      <c r="S20" s="129"/>
      <c r="T20" s="129"/>
      <c r="U20" s="129"/>
      <c r="V20" s="129"/>
    </row>
    <row r="21" spans="1:22" x14ac:dyDescent="0.25">
      <c r="A21" s="77" t="s">
        <v>323</v>
      </c>
      <c r="B21" s="129" t="s">
        <v>332</v>
      </c>
      <c r="C21" s="129"/>
      <c r="D21" s="129"/>
      <c r="E21" s="129"/>
      <c r="F21" s="129"/>
      <c r="G21" s="129"/>
      <c r="H21" s="129"/>
      <c r="I21" s="129"/>
      <c r="J21" s="129"/>
      <c r="K21" s="129"/>
      <c r="L21" s="129"/>
      <c r="M21" s="129"/>
      <c r="N21" s="129"/>
      <c r="O21" s="129"/>
      <c r="P21" s="129"/>
      <c r="Q21" s="129"/>
      <c r="R21" s="129"/>
      <c r="S21" s="129"/>
      <c r="T21" s="129"/>
      <c r="U21" s="129"/>
      <c r="V21" s="129"/>
    </row>
    <row r="23" spans="1:22" x14ac:dyDescent="0.25">
      <c r="B23" s="102" t="str">
        <f>HYPERLINK("#'Factor List'!A1","Back to Factor List")</f>
        <v>Back to Factor List</v>
      </c>
    </row>
    <row r="24" spans="1:22" x14ac:dyDescent="0.25">
      <c r="B24" s="102" t="s">
        <v>13</v>
      </c>
    </row>
    <row r="25" spans="1:22" x14ac:dyDescent="0.25">
      <c r="B25" s="102"/>
    </row>
    <row r="26" spans="1:22" x14ac:dyDescent="0.25">
      <c r="A26" s="103" t="s">
        <v>855</v>
      </c>
      <c r="B26" s="103">
        <v>60</v>
      </c>
      <c r="C26" s="103">
        <v>61</v>
      </c>
      <c r="D26" s="103">
        <v>62</v>
      </c>
      <c r="E26" s="103">
        <v>63</v>
      </c>
      <c r="F26" s="103">
        <v>64</v>
      </c>
      <c r="G26" s="103">
        <v>65</v>
      </c>
      <c r="H26" s="103">
        <v>66</v>
      </c>
      <c r="I26" s="103">
        <v>67</v>
      </c>
      <c r="J26" s="103">
        <v>68</v>
      </c>
      <c r="K26" s="103">
        <v>69</v>
      </c>
      <c r="L26" s="103">
        <v>70</v>
      </c>
      <c r="M26" s="103">
        <v>71</v>
      </c>
      <c r="N26" s="103">
        <v>72</v>
      </c>
      <c r="O26" s="103">
        <v>73</v>
      </c>
      <c r="P26" s="103">
        <v>74</v>
      </c>
      <c r="Q26" s="103">
        <v>75</v>
      </c>
      <c r="R26" s="103">
        <v>76</v>
      </c>
      <c r="S26" s="103">
        <v>77</v>
      </c>
      <c r="T26" s="103">
        <v>78</v>
      </c>
      <c r="U26" s="103">
        <v>79</v>
      </c>
      <c r="V26" s="103">
        <v>80</v>
      </c>
    </row>
    <row r="27" spans="1:22" x14ac:dyDescent="0.25">
      <c r="A27" s="104">
        <v>0</v>
      </c>
      <c r="B27" s="128">
        <v>0.77700000000000002</v>
      </c>
      <c r="C27" s="128">
        <v>0.81499999999999995</v>
      </c>
      <c r="D27" s="128">
        <v>0.85599999999999998</v>
      </c>
      <c r="E27" s="128">
        <v>0.9</v>
      </c>
      <c r="F27" s="128">
        <v>0.94799999999999995</v>
      </c>
      <c r="G27" s="128">
        <v>1</v>
      </c>
      <c r="H27" s="128">
        <v>1.0549999999999999</v>
      </c>
      <c r="I27" s="128">
        <v>1.115</v>
      </c>
      <c r="J27" s="128">
        <v>1.18</v>
      </c>
      <c r="K27" s="128">
        <v>1.252</v>
      </c>
      <c r="L27" s="128">
        <v>1.3320000000000001</v>
      </c>
      <c r="M27" s="128">
        <v>1.419</v>
      </c>
      <c r="N27" s="128">
        <v>1.516</v>
      </c>
      <c r="O27" s="128">
        <v>1.6220000000000001</v>
      </c>
      <c r="P27" s="128">
        <v>1.738</v>
      </c>
      <c r="Q27" s="128">
        <v>1.867</v>
      </c>
      <c r="R27" s="128">
        <v>2.0089999999999999</v>
      </c>
      <c r="S27" s="128">
        <v>2.1659999999999999</v>
      </c>
      <c r="T27" s="128">
        <v>2.3380000000000001</v>
      </c>
      <c r="U27" s="128">
        <v>2.5289999999999999</v>
      </c>
      <c r="V27" s="128">
        <v>2.7389999999999999</v>
      </c>
    </row>
    <row r="28" spans="1:22" x14ac:dyDescent="0.25">
      <c r="A28" s="104">
        <v>1</v>
      </c>
      <c r="B28" s="128">
        <v>0.78</v>
      </c>
      <c r="C28" s="128">
        <v>0.81799999999999995</v>
      </c>
      <c r="D28" s="128">
        <v>0.86</v>
      </c>
      <c r="E28" s="128">
        <v>0.90400000000000003</v>
      </c>
      <c r="F28" s="128">
        <v>0.95199999999999996</v>
      </c>
      <c r="G28" s="128">
        <v>1.0049999999999999</v>
      </c>
      <c r="H28" s="128">
        <v>1.06</v>
      </c>
      <c r="I28" s="128">
        <v>1.1200000000000001</v>
      </c>
      <c r="J28" s="128">
        <v>1.1859999999999999</v>
      </c>
      <c r="K28" s="128">
        <v>1.2589999999999999</v>
      </c>
      <c r="L28" s="128">
        <v>1.339</v>
      </c>
      <c r="M28" s="128">
        <v>1.427</v>
      </c>
      <c r="N28" s="128">
        <v>1.5249999999999999</v>
      </c>
      <c r="O28" s="128">
        <v>1.6319999999999999</v>
      </c>
      <c r="P28" s="128">
        <v>1.7490000000000001</v>
      </c>
      <c r="Q28" s="128">
        <v>1.879</v>
      </c>
      <c r="R28" s="128">
        <v>2.0219999999999998</v>
      </c>
      <c r="S28" s="128">
        <v>2.1800000000000002</v>
      </c>
      <c r="T28" s="128">
        <v>2.3540000000000001</v>
      </c>
      <c r="U28" s="128">
        <v>2.5470000000000002</v>
      </c>
      <c r="V28" s="128"/>
    </row>
    <row r="29" spans="1:22" x14ac:dyDescent="0.25">
      <c r="A29" s="104">
        <v>2</v>
      </c>
      <c r="B29" s="128">
        <v>0.78300000000000003</v>
      </c>
      <c r="C29" s="128">
        <v>0.82199999999999995</v>
      </c>
      <c r="D29" s="128">
        <v>0.86299999999999999</v>
      </c>
      <c r="E29" s="128">
        <v>0.90800000000000003</v>
      </c>
      <c r="F29" s="128">
        <v>0.95699999999999996</v>
      </c>
      <c r="G29" s="128">
        <v>1.0089999999999999</v>
      </c>
      <c r="H29" s="128">
        <v>1.0649999999999999</v>
      </c>
      <c r="I29" s="128">
        <v>1.1259999999999999</v>
      </c>
      <c r="J29" s="128">
        <v>1.1919999999999999</v>
      </c>
      <c r="K29" s="128">
        <v>1.2649999999999999</v>
      </c>
      <c r="L29" s="128">
        <v>1.347</v>
      </c>
      <c r="M29" s="128">
        <v>1.4350000000000001</v>
      </c>
      <c r="N29" s="128">
        <v>1.534</v>
      </c>
      <c r="O29" s="128">
        <v>1.641</v>
      </c>
      <c r="P29" s="128">
        <v>1.76</v>
      </c>
      <c r="Q29" s="128">
        <v>1.891</v>
      </c>
      <c r="R29" s="128">
        <v>2.0350000000000001</v>
      </c>
      <c r="S29" s="128">
        <v>2.1949999999999998</v>
      </c>
      <c r="T29" s="128">
        <v>2.37</v>
      </c>
      <c r="U29" s="128">
        <v>2.5640000000000001</v>
      </c>
      <c r="V29" s="128"/>
    </row>
    <row r="30" spans="1:22" x14ac:dyDescent="0.25">
      <c r="A30" s="104">
        <v>3</v>
      </c>
      <c r="B30" s="128">
        <v>0.78700000000000003</v>
      </c>
      <c r="C30" s="128">
        <v>0.82499999999999996</v>
      </c>
      <c r="D30" s="128">
        <v>0.86699999999999999</v>
      </c>
      <c r="E30" s="128">
        <v>0.91200000000000003</v>
      </c>
      <c r="F30" s="128">
        <v>0.96099999999999997</v>
      </c>
      <c r="G30" s="128">
        <v>1.014</v>
      </c>
      <c r="H30" s="128">
        <v>1.07</v>
      </c>
      <c r="I30" s="128">
        <v>1.131</v>
      </c>
      <c r="J30" s="128">
        <v>1.198</v>
      </c>
      <c r="K30" s="128">
        <v>1.272</v>
      </c>
      <c r="L30" s="128">
        <v>1.3540000000000001</v>
      </c>
      <c r="M30" s="128">
        <v>1.4430000000000001</v>
      </c>
      <c r="N30" s="128">
        <v>1.5429999999999999</v>
      </c>
      <c r="O30" s="128">
        <v>1.651</v>
      </c>
      <c r="P30" s="128">
        <v>1.77</v>
      </c>
      <c r="Q30" s="128">
        <v>1.903</v>
      </c>
      <c r="R30" s="128">
        <v>2.048</v>
      </c>
      <c r="S30" s="128">
        <v>2.2090000000000001</v>
      </c>
      <c r="T30" s="128">
        <v>2.3860000000000001</v>
      </c>
      <c r="U30" s="128">
        <v>2.5819999999999999</v>
      </c>
      <c r="V30" s="128"/>
    </row>
    <row r="31" spans="1:22" x14ac:dyDescent="0.25">
      <c r="A31" s="104">
        <v>4</v>
      </c>
      <c r="B31" s="128">
        <v>0.79</v>
      </c>
      <c r="C31" s="128">
        <v>0.82899999999999996</v>
      </c>
      <c r="D31" s="128">
        <v>0.871</v>
      </c>
      <c r="E31" s="128">
        <v>0.91600000000000004</v>
      </c>
      <c r="F31" s="128">
        <v>0.96499999999999997</v>
      </c>
      <c r="G31" s="128">
        <v>1.018</v>
      </c>
      <c r="H31" s="128">
        <v>1.075</v>
      </c>
      <c r="I31" s="128">
        <v>1.137</v>
      </c>
      <c r="J31" s="128">
        <v>1.204</v>
      </c>
      <c r="K31" s="128">
        <v>1.2789999999999999</v>
      </c>
      <c r="L31" s="128">
        <v>1.361</v>
      </c>
      <c r="M31" s="128">
        <v>1.4510000000000001</v>
      </c>
      <c r="N31" s="128">
        <v>1.5509999999999999</v>
      </c>
      <c r="O31" s="128">
        <v>1.661</v>
      </c>
      <c r="P31" s="128">
        <v>1.7809999999999999</v>
      </c>
      <c r="Q31" s="128">
        <v>1.9139999999999999</v>
      </c>
      <c r="R31" s="128">
        <v>2.0609999999999999</v>
      </c>
      <c r="S31" s="128">
        <v>2.2229999999999999</v>
      </c>
      <c r="T31" s="128">
        <v>2.4020000000000001</v>
      </c>
      <c r="U31" s="128">
        <v>2.5990000000000002</v>
      </c>
      <c r="V31" s="128"/>
    </row>
    <row r="32" spans="1:22" x14ac:dyDescent="0.25">
      <c r="A32" s="104">
        <v>5</v>
      </c>
      <c r="B32" s="128">
        <v>0.79300000000000004</v>
      </c>
      <c r="C32" s="128">
        <v>0.83199999999999996</v>
      </c>
      <c r="D32" s="128">
        <v>0.874</v>
      </c>
      <c r="E32" s="128">
        <v>0.92</v>
      </c>
      <c r="F32" s="128">
        <v>0.97</v>
      </c>
      <c r="G32" s="128">
        <v>1.0229999999999999</v>
      </c>
      <c r="H32" s="128">
        <v>1.08</v>
      </c>
      <c r="I32" s="128">
        <v>1.1419999999999999</v>
      </c>
      <c r="J32" s="128">
        <v>1.21</v>
      </c>
      <c r="K32" s="128">
        <v>1.2849999999999999</v>
      </c>
      <c r="L32" s="128">
        <v>1.3680000000000001</v>
      </c>
      <c r="M32" s="128">
        <v>1.4590000000000001</v>
      </c>
      <c r="N32" s="128">
        <v>1.56</v>
      </c>
      <c r="O32" s="128">
        <v>1.67</v>
      </c>
      <c r="P32" s="128">
        <v>1.792</v>
      </c>
      <c r="Q32" s="128">
        <v>1.9259999999999999</v>
      </c>
      <c r="R32" s="128">
        <v>2.0739999999999998</v>
      </c>
      <c r="S32" s="128">
        <v>2.238</v>
      </c>
      <c r="T32" s="128">
        <v>2.4180000000000001</v>
      </c>
      <c r="U32" s="128">
        <v>2.617</v>
      </c>
      <c r="V32" s="128"/>
    </row>
    <row r="33" spans="1:22" x14ac:dyDescent="0.25">
      <c r="A33" s="104">
        <v>6</v>
      </c>
      <c r="B33" s="128">
        <v>0.79600000000000004</v>
      </c>
      <c r="C33" s="128">
        <v>0.83599999999999997</v>
      </c>
      <c r="D33" s="128">
        <v>0.878</v>
      </c>
      <c r="E33" s="128">
        <v>0.92400000000000004</v>
      </c>
      <c r="F33" s="128">
        <v>0.97399999999999998</v>
      </c>
      <c r="G33" s="128">
        <v>1.028</v>
      </c>
      <c r="H33" s="128">
        <v>1.085</v>
      </c>
      <c r="I33" s="128">
        <v>1.1479999999999999</v>
      </c>
      <c r="J33" s="128">
        <v>1.216</v>
      </c>
      <c r="K33" s="128">
        <v>1.292</v>
      </c>
      <c r="L33" s="128">
        <v>1.3759999999999999</v>
      </c>
      <c r="M33" s="128">
        <v>1.468</v>
      </c>
      <c r="N33" s="128">
        <v>1.569</v>
      </c>
      <c r="O33" s="128">
        <v>1.68</v>
      </c>
      <c r="P33" s="128">
        <v>1.8029999999999999</v>
      </c>
      <c r="Q33" s="128">
        <v>1.9379999999999999</v>
      </c>
      <c r="R33" s="128">
        <v>2.0880000000000001</v>
      </c>
      <c r="S33" s="128">
        <v>2.2519999999999998</v>
      </c>
      <c r="T33" s="128">
        <v>2.4340000000000002</v>
      </c>
      <c r="U33" s="128">
        <v>2.6339999999999999</v>
      </c>
      <c r="V33" s="128"/>
    </row>
    <row r="34" spans="1:22" x14ac:dyDescent="0.25">
      <c r="A34" s="104">
        <v>7</v>
      </c>
      <c r="B34" s="128">
        <v>0.79900000000000004</v>
      </c>
      <c r="C34" s="128">
        <v>0.83899999999999997</v>
      </c>
      <c r="D34" s="128">
        <v>0.88200000000000001</v>
      </c>
      <c r="E34" s="128">
        <v>0.92800000000000005</v>
      </c>
      <c r="F34" s="128">
        <v>0.97799999999999998</v>
      </c>
      <c r="G34" s="128">
        <v>1.032</v>
      </c>
      <c r="H34" s="128">
        <v>1.0900000000000001</v>
      </c>
      <c r="I34" s="128">
        <v>1.153</v>
      </c>
      <c r="J34" s="128">
        <v>1.222</v>
      </c>
      <c r="K34" s="128">
        <v>1.2989999999999999</v>
      </c>
      <c r="L34" s="128">
        <v>1.383</v>
      </c>
      <c r="M34" s="128">
        <v>1.476</v>
      </c>
      <c r="N34" s="128">
        <v>1.5780000000000001</v>
      </c>
      <c r="O34" s="128">
        <v>1.69</v>
      </c>
      <c r="P34" s="128">
        <v>1.8129999999999999</v>
      </c>
      <c r="Q34" s="128">
        <v>1.95</v>
      </c>
      <c r="R34" s="128">
        <v>2.101</v>
      </c>
      <c r="S34" s="128">
        <v>2.266</v>
      </c>
      <c r="T34" s="128">
        <v>2.4489999999999998</v>
      </c>
      <c r="U34" s="128">
        <v>2.6520000000000001</v>
      </c>
      <c r="V34" s="128"/>
    </row>
    <row r="35" spans="1:22" x14ac:dyDescent="0.25">
      <c r="A35" s="104">
        <v>8</v>
      </c>
      <c r="B35" s="128">
        <v>0.80200000000000005</v>
      </c>
      <c r="C35" s="128">
        <v>0.84199999999999997</v>
      </c>
      <c r="D35" s="128">
        <v>0.88500000000000001</v>
      </c>
      <c r="E35" s="128">
        <v>0.93200000000000005</v>
      </c>
      <c r="F35" s="128">
        <v>0.98299999999999998</v>
      </c>
      <c r="G35" s="128">
        <v>1.0369999999999999</v>
      </c>
      <c r="H35" s="128">
        <v>1.095</v>
      </c>
      <c r="I35" s="128">
        <v>1.1579999999999999</v>
      </c>
      <c r="J35" s="128">
        <v>1.228</v>
      </c>
      <c r="K35" s="128">
        <v>1.3049999999999999</v>
      </c>
      <c r="L35" s="128">
        <v>1.39</v>
      </c>
      <c r="M35" s="128">
        <v>1.484</v>
      </c>
      <c r="N35" s="128">
        <v>1.587</v>
      </c>
      <c r="O35" s="128">
        <v>1.6990000000000001</v>
      </c>
      <c r="P35" s="128">
        <v>1.8240000000000001</v>
      </c>
      <c r="Q35" s="128">
        <v>1.962</v>
      </c>
      <c r="R35" s="128">
        <v>2.1139999999999999</v>
      </c>
      <c r="S35" s="128">
        <v>2.2810000000000001</v>
      </c>
      <c r="T35" s="128">
        <v>2.4649999999999999</v>
      </c>
      <c r="U35" s="128">
        <v>2.669</v>
      </c>
      <c r="V35" s="128"/>
    </row>
    <row r="36" spans="1:22" x14ac:dyDescent="0.25">
      <c r="A36" s="104">
        <v>9</v>
      </c>
      <c r="B36" s="128">
        <v>0.80600000000000005</v>
      </c>
      <c r="C36" s="128">
        <v>0.84599999999999997</v>
      </c>
      <c r="D36" s="128">
        <v>0.88900000000000001</v>
      </c>
      <c r="E36" s="128">
        <v>0.93600000000000005</v>
      </c>
      <c r="F36" s="128">
        <v>0.98699999999999999</v>
      </c>
      <c r="G36" s="128">
        <v>1.0409999999999999</v>
      </c>
      <c r="H36" s="128">
        <v>1.1000000000000001</v>
      </c>
      <c r="I36" s="128">
        <v>1.1639999999999999</v>
      </c>
      <c r="J36" s="128">
        <v>1.234</v>
      </c>
      <c r="K36" s="128">
        <v>1.3120000000000001</v>
      </c>
      <c r="L36" s="128">
        <v>1.397</v>
      </c>
      <c r="M36" s="128">
        <v>1.492</v>
      </c>
      <c r="N36" s="128">
        <v>1.5960000000000001</v>
      </c>
      <c r="O36" s="128">
        <v>1.7090000000000001</v>
      </c>
      <c r="P36" s="128">
        <v>1.835</v>
      </c>
      <c r="Q36" s="128">
        <v>1.974</v>
      </c>
      <c r="R36" s="128">
        <v>2.1269999999999998</v>
      </c>
      <c r="S36" s="128">
        <v>2.2949999999999999</v>
      </c>
      <c r="T36" s="128">
        <v>2.4809999999999999</v>
      </c>
      <c r="U36" s="128">
        <v>2.6869999999999998</v>
      </c>
      <c r="V36" s="128"/>
    </row>
    <row r="37" spans="1:22" x14ac:dyDescent="0.25">
      <c r="A37" s="104">
        <v>10</v>
      </c>
      <c r="B37" s="128">
        <v>0.80900000000000005</v>
      </c>
      <c r="C37" s="128">
        <v>0.84899999999999998</v>
      </c>
      <c r="D37" s="128">
        <v>0.89300000000000002</v>
      </c>
      <c r="E37" s="128">
        <v>0.94</v>
      </c>
      <c r="F37" s="128">
        <v>0.99099999999999999</v>
      </c>
      <c r="G37" s="128">
        <v>1.046</v>
      </c>
      <c r="H37" s="128">
        <v>1.105</v>
      </c>
      <c r="I37" s="128">
        <v>1.169</v>
      </c>
      <c r="J37" s="128">
        <v>1.24</v>
      </c>
      <c r="K37" s="128">
        <v>1.319</v>
      </c>
      <c r="L37" s="128">
        <v>1.405</v>
      </c>
      <c r="M37" s="128">
        <v>1.5</v>
      </c>
      <c r="N37" s="128">
        <v>1.6040000000000001</v>
      </c>
      <c r="O37" s="128">
        <v>1.7190000000000001</v>
      </c>
      <c r="P37" s="128">
        <v>1.8460000000000001</v>
      </c>
      <c r="Q37" s="128">
        <v>1.9850000000000001</v>
      </c>
      <c r="R37" s="128">
        <v>2.14</v>
      </c>
      <c r="S37" s="128">
        <v>2.3090000000000002</v>
      </c>
      <c r="T37" s="128">
        <v>2.4969999999999999</v>
      </c>
      <c r="U37" s="128">
        <v>2.7040000000000002</v>
      </c>
      <c r="V37" s="128"/>
    </row>
    <row r="38" spans="1:22" x14ac:dyDescent="0.25">
      <c r="A38" s="104">
        <v>11</v>
      </c>
      <c r="B38" s="128">
        <v>0.81200000000000006</v>
      </c>
      <c r="C38" s="128">
        <v>0.85299999999999998</v>
      </c>
      <c r="D38" s="128">
        <v>0.89600000000000002</v>
      </c>
      <c r="E38" s="128">
        <v>0.94399999999999995</v>
      </c>
      <c r="F38" s="128">
        <v>0.996</v>
      </c>
      <c r="G38" s="128">
        <v>1.05</v>
      </c>
      <c r="H38" s="128">
        <v>1.1100000000000001</v>
      </c>
      <c r="I38" s="128">
        <v>1.175</v>
      </c>
      <c r="J38" s="128">
        <v>1.246</v>
      </c>
      <c r="K38" s="128">
        <v>1.325</v>
      </c>
      <c r="L38" s="128">
        <v>1.4119999999999999</v>
      </c>
      <c r="M38" s="128">
        <v>1.508</v>
      </c>
      <c r="N38" s="128">
        <v>1.613</v>
      </c>
      <c r="O38" s="128">
        <v>1.728</v>
      </c>
      <c r="P38" s="128">
        <v>1.8560000000000001</v>
      </c>
      <c r="Q38" s="128">
        <v>1.9970000000000001</v>
      </c>
      <c r="R38" s="128">
        <v>2.153</v>
      </c>
      <c r="S38" s="128">
        <v>2.3239999999999998</v>
      </c>
      <c r="T38" s="128">
        <v>2.5129999999999999</v>
      </c>
      <c r="U38" s="128">
        <v>2.722</v>
      </c>
      <c r="V38" s="128"/>
    </row>
    <row r="39" spans="1:22" x14ac:dyDescent="0.25">
      <c r="A39"/>
      <c r="B39"/>
    </row>
    <row r="40" spans="1:22" x14ac:dyDescent="0.25">
      <c r="A40"/>
      <c r="B40"/>
    </row>
    <row r="41" spans="1:22" x14ac:dyDescent="0.25">
      <c r="A41"/>
      <c r="B41"/>
    </row>
    <row r="42" spans="1:22" x14ac:dyDescent="0.25">
      <c r="A42"/>
      <c r="B42"/>
    </row>
    <row r="43" spans="1:22" x14ac:dyDescent="0.25">
      <c r="A43"/>
      <c r="B43"/>
    </row>
    <row r="44" spans="1:22" ht="39.6" customHeight="1" x14ac:dyDescent="0.25">
      <c r="A44"/>
      <c r="B44"/>
    </row>
    <row r="45" spans="1:22" x14ac:dyDescent="0.25">
      <c r="A45"/>
      <c r="B45"/>
    </row>
    <row r="46" spans="1:22" ht="27.6" customHeight="1" x14ac:dyDescent="0.25">
      <c r="A46"/>
      <c r="B46"/>
    </row>
    <row r="47" spans="1:22" x14ac:dyDescent="0.25">
      <c r="A47"/>
      <c r="B47"/>
    </row>
    <row r="48" spans="1:2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scZacWXh18AfY842qZKaY/JcLrCBlWjBf06V2NnguVkymHm/DTFNqJzUpZOjmyfNTg22EYkvXHU/d4lDPgJZuw==" saltValue="d1RTsYgfpP/xeUI5k3x2BA==" spinCount="100000" sheet="1" objects="1" scenarios="1"/>
  <conditionalFormatting sqref="A6:A21">
    <cfRule type="expression" dxfId="893" priority="1" stopIfTrue="1">
      <formula>MOD(ROW(),2)=0</formula>
    </cfRule>
    <cfRule type="expression" dxfId="892" priority="2" stopIfTrue="1">
      <formula>MOD(ROW(),2)&lt;&gt;0</formula>
    </cfRule>
  </conditionalFormatting>
  <conditionalFormatting sqref="A26:A38">
    <cfRule type="expression" dxfId="891" priority="13" stopIfTrue="1">
      <formula>MOD(ROW(),2)=0</formula>
    </cfRule>
    <cfRule type="expression" dxfId="890" priority="14" stopIfTrue="1">
      <formula>MOD(ROW(),2)&lt;&gt;0</formula>
    </cfRule>
  </conditionalFormatting>
  <conditionalFormatting sqref="B16:B21">
    <cfRule type="expression" dxfId="889" priority="5" stopIfTrue="1">
      <formula>MOD(ROW(),2)=0</formula>
    </cfRule>
    <cfRule type="expression" dxfId="888" priority="6" stopIfTrue="1">
      <formula>MOD(ROW(),2)&lt;&gt;0</formula>
    </cfRule>
  </conditionalFormatting>
  <conditionalFormatting sqref="B6:V21">
    <cfRule type="expression" dxfId="887" priority="33" stopIfTrue="1">
      <formula>MOD(ROW(),2)=0</formula>
    </cfRule>
    <cfRule type="expression" dxfId="886" priority="34" stopIfTrue="1">
      <formula>MOD(ROW(),2)&lt;&gt;0</formula>
    </cfRule>
  </conditionalFormatting>
  <conditionalFormatting sqref="B26:V38">
    <cfRule type="expression" dxfId="885" priority="15" stopIfTrue="1">
      <formula>MOD(ROW(),2)=0</formula>
    </cfRule>
    <cfRule type="expression" dxfId="884" priority="16" stopIfTrue="1">
      <formula>MOD(ROW(),2)&lt;&gt;0</formula>
    </cfRule>
  </conditionalFormatting>
  <hyperlinks>
    <hyperlink ref="B24" location="Sheet1!A1" display="Assumptions" xr:uid="{6BF76CA0-46B9-45C4-9164-704C8E19DF8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7"/>
  <dimension ref="A1:I65"/>
  <sheetViews>
    <sheetView showGridLines="0" zoomScale="85" zoomScaleNormal="85" workbookViewId="0">
      <selection activeCell="H15" sqref="H15"/>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ERF - x-421</v>
      </c>
      <c r="B3" s="42"/>
      <c r="C3" s="42"/>
      <c r="D3" s="42"/>
      <c r="E3" s="42"/>
      <c r="F3" s="42"/>
      <c r="G3" s="42"/>
      <c r="H3" s="42"/>
      <c r="I3" s="42"/>
    </row>
    <row r="4" spans="1:9" x14ac:dyDescent="0.25">
      <c r="A4" s="44"/>
    </row>
    <row r="6" spans="1:9" x14ac:dyDescent="0.25">
      <c r="A6" s="76" t="s">
        <v>290</v>
      </c>
      <c r="B6" s="129" t="s">
        <v>291</v>
      </c>
    </row>
    <row r="7" spans="1:9" ht="38.700000000000003" customHeight="1" x14ac:dyDescent="0.25">
      <c r="A7" s="77" t="s">
        <v>804</v>
      </c>
      <c r="B7" s="129" t="s">
        <v>345</v>
      </c>
    </row>
    <row r="8" spans="1:9" x14ac:dyDescent="0.25">
      <c r="A8" s="77" t="s">
        <v>805</v>
      </c>
      <c r="B8" s="129" t="s">
        <v>442</v>
      </c>
    </row>
    <row r="9" spans="1:9" x14ac:dyDescent="0.25">
      <c r="A9" s="77" t="s">
        <v>296</v>
      </c>
      <c r="B9" s="129" t="s">
        <v>418</v>
      </c>
    </row>
    <row r="10" spans="1:9" ht="93.6" customHeight="1" x14ac:dyDescent="0.25">
      <c r="A10" s="77" t="s">
        <v>6</v>
      </c>
      <c r="B10" s="129" t="s">
        <v>492</v>
      </c>
    </row>
    <row r="11" spans="1:9" x14ac:dyDescent="0.25">
      <c r="A11" s="77" t="s">
        <v>299</v>
      </c>
      <c r="B11" s="129" t="s">
        <v>364</v>
      </c>
    </row>
    <row r="12" spans="1:9" x14ac:dyDescent="0.25">
      <c r="A12" s="77" t="s">
        <v>301</v>
      </c>
      <c r="B12" s="129"/>
    </row>
    <row r="13" spans="1:9" x14ac:dyDescent="0.25">
      <c r="A13" s="77" t="s">
        <v>806</v>
      </c>
      <c r="B13" s="129">
        <v>1</v>
      </c>
    </row>
    <row r="14" spans="1:9" x14ac:dyDescent="0.25">
      <c r="A14" s="77" t="s">
        <v>305</v>
      </c>
      <c r="B14" s="129">
        <v>421</v>
      </c>
    </row>
    <row r="15" spans="1:9" x14ac:dyDescent="0.25">
      <c r="A15" s="77" t="s">
        <v>307</v>
      </c>
      <c r="B15" s="129" t="s">
        <v>493</v>
      </c>
    </row>
    <row r="16" spans="1:9" x14ac:dyDescent="0.25">
      <c r="A16" s="77" t="s">
        <v>825</v>
      </c>
      <c r="B16" s="129" t="s">
        <v>494</v>
      </c>
    </row>
    <row r="17" spans="1:2" ht="126" customHeight="1" x14ac:dyDescent="0.25">
      <c r="A17" s="77" t="s">
        <v>803</v>
      </c>
      <c r="B17" s="129"/>
    </row>
    <row r="18" spans="1:2" x14ac:dyDescent="0.25">
      <c r="A18" s="77" t="s">
        <v>313</v>
      </c>
      <c r="B18" s="187">
        <v>45106</v>
      </c>
    </row>
    <row r="19" spans="1:2" x14ac:dyDescent="0.25">
      <c r="A19" s="77" t="s">
        <v>315</v>
      </c>
      <c r="B19" s="187"/>
    </row>
    <row r="20" spans="1:2" x14ac:dyDescent="0.25">
      <c r="A20" s="77" t="s">
        <v>317</v>
      </c>
      <c r="B20" s="129" t="s">
        <v>331</v>
      </c>
    </row>
    <row r="21" spans="1:2" x14ac:dyDescent="0.25">
      <c r="A21" s="77" t="s">
        <v>323</v>
      </c>
      <c r="B21" s="129" t="s">
        <v>332</v>
      </c>
    </row>
    <row r="23" spans="1:2" x14ac:dyDescent="0.25">
      <c r="B23" s="102" t="str">
        <f>HYPERLINK("#'Factor List'!A1","Back to Factor List")</f>
        <v>Back to Factor List</v>
      </c>
    </row>
    <row r="24" spans="1:2" x14ac:dyDescent="0.25">
      <c r="B24" s="102" t="s">
        <v>13</v>
      </c>
    </row>
    <row r="25" spans="1:2" x14ac:dyDescent="0.25">
      <c r="B25" s="102"/>
    </row>
    <row r="26" spans="1:2" x14ac:dyDescent="0.25">
      <c r="A26" s="173" t="s">
        <v>868</v>
      </c>
      <c r="B26" s="168" t="s">
        <v>494</v>
      </c>
    </row>
    <row r="27" spans="1:2" x14ac:dyDescent="0.25">
      <c r="A27" s="174">
        <v>60</v>
      </c>
      <c r="B27" s="175">
        <v>1.242</v>
      </c>
    </row>
    <row r="28" spans="1:2" x14ac:dyDescent="0.25">
      <c r="A28" s="176">
        <v>65</v>
      </c>
      <c r="B28" s="177">
        <v>1.585</v>
      </c>
    </row>
    <row r="29" spans="1:2" x14ac:dyDescent="0.25">
      <c r="A29"/>
      <c r="B29"/>
    </row>
    <row r="30" spans="1:2" x14ac:dyDescent="0.25">
      <c r="A30"/>
      <c r="B30"/>
    </row>
    <row r="31" spans="1:2" x14ac:dyDescent="0.25">
      <c r="A31"/>
      <c r="B31"/>
    </row>
    <row r="32" spans="1:2"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hV62PpZDVU+v0BX8vY5pQNkF/KAcXeCZXu+tt4eEzNUCw7Y/Vpzu3f5nbiPv0tLga8EqAScP5fmMJHnIGDltQA==" saltValue="AeRs+jLNn1/d0hIJr1BR4A==" spinCount="100000" sheet="1" objects="1" scenarios="1"/>
  <conditionalFormatting sqref="A6:A21">
    <cfRule type="expression" dxfId="883" priority="1" stopIfTrue="1">
      <formula>MOD(ROW(),2)=0</formula>
    </cfRule>
    <cfRule type="expression" dxfId="882" priority="2" stopIfTrue="1">
      <formula>MOD(ROW(),2)&lt;&gt;0</formula>
    </cfRule>
  </conditionalFormatting>
  <conditionalFormatting sqref="B6 B8:B17">
    <cfRule type="expression" dxfId="881" priority="21" stopIfTrue="1">
      <formula>MOD(ROW(),2)=0</formula>
    </cfRule>
    <cfRule type="expression" dxfId="880" priority="22" stopIfTrue="1">
      <formula>MOD(ROW(),2)&lt;&gt;0</formula>
    </cfRule>
  </conditionalFormatting>
  <conditionalFormatting sqref="B6:B21">
    <cfRule type="expression" dxfId="879" priority="13" stopIfTrue="1">
      <formula>MOD(ROW(),2)=0</formula>
    </cfRule>
    <cfRule type="expression" dxfId="878" priority="14" stopIfTrue="1">
      <formula>MOD(ROW(),2)&lt;&gt;0</formula>
    </cfRule>
  </conditionalFormatting>
  <conditionalFormatting sqref="B18:B21">
    <cfRule type="expression" dxfId="877" priority="3" stopIfTrue="1">
      <formula>MOD(ROW(),2)=0</formula>
    </cfRule>
    <cfRule type="expression" dxfId="876" priority="4" stopIfTrue="1">
      <formula>MOD(ROW(),2)&lt;&gt;0</formula>
    </cfRule>
  </conditionalFormatting>
  <hyperlinks>
    <hyperlink ref="B24" location="Sheet1!A1" display="Assumptions" xr:uid="{F2CDF111-D6F3-4306-9322-9AF1A5F301B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1"/>
  <dimension ref="A1:I97"/>
  <sheetViews>
    <sheetView showGridLines="0" zoomScale="85" zoomScaleNormal="85" workbookViewId="0">
      <selection activeCell="A4" sqref="A4"/>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Triv Comm - x-501</v>
      </c>
      <c r="B3" s="42"/>
      <c r="C3" s="42"/>
      <c r="D3" s="42"/>
      <c r="E3" s="42"/>
      <c r="F3" s="42"/>
      <c r="G3" s="42"/>
      <c r="H3" s="42"/>
      <c r="I3" s="42"/>
    </row>
    <row r="4" spans="1:9" x14ac:dyDescent="0.25">
      <c r="A4" s="44"/>
    </row>
    <row r="6" spans="1:9" x14ac:dyDescent="0.25">
      <c r="A6" s="87" t="s">
        <v>290</v>
      </c>
      <c r="B6" s="185" t="s">
        <v>291</v>
      </c>
      <c r="C6" s="185"/>
      <c r="D6" s="185"/>
    </row>
    <row r="7" spans="1:9" x14ac:dyDescent="0.25">
      <c r="A7" s="81" t="s">
        <v>804</v>
      </c>
      <c r="B7" s="185" t="s">
        <v>324</v>
      </c>
      <c r="C7" s="185"/>
      <c r="D7" s="185"/>
    </row>
    <row r="8" spans="1:9" x14ac:dyDescent="0.25">
      <c r="A8" s="81" t="s">
        <v>805</v>
      </c>
      <c r="B8" s="185" t="s">
        <v>85</v>
      </c>
      <c r="C8" s="185"/>
      <c r="D8" s="185"/>
    </row>
    <row r="9" spans="1:9" x14ac:dyDescent="0.25">
      <c r="A9" s="81" t="s">
        <v>296</v>
      </c>
      <c r="B9" s="185" t="s">
        <v>495</v>
      </c>
      <c r="C9" s="185"/>
      <c r="D9" s="185"/>
    </row>
    <row r="10" spans="1:9" x14ac:dyDescent="0.25">
      <c r="A10" s="81" t="s">
        <v>6</v>
      </c>
      <c r="B10" s="185" t="s">
        <v>496</v>
      </c>
      <c r="C10" s="185"/>
      <c r="D10" s="185"/>
    </row>
    <row r="11" spans="1:9" x14ac:dyDescent="0.25">
      <c r="A11" s="81" t="s">
        <v>299</v>
      </c>
      <c r="B11" s="185" t="s">
        <v>364</v>
      </c>
      <c r="C11" s="185"/>
      <c r="D11" s="185"/>
    </row>
    <row r="12" spans="1:9" x14ac:dyDescent="0.25">
      <c r="A12" s="81" t="s">
        <v>301</v>
      </c>
      <c r="B12" s="185" t="s">
        <v>373</v>
      </c>
      <c r="C12" s="185"/>
      <c r="D12" s="185"/>
    </row>
    <row r="13" spans="1:9" x14ac:dyDescent="0.25">
      <c r="A13" s="81" t="s">
        <v>806</v>
      </c>
      <c r="B13" s="185">
        <v>0</v>
      </c>
      <c r="C13" s="185"/>
      <c r="D13" s="185"/>
    </row>
    <row r="14" spans="1:9" x14ac:dyDescent="0.25">
      <c r="A14" s="81" t="s">
        <v>305</v>
      </c>
      <c r="B14" s="185">
        <v>501</v>
      </c>
      <c r="C14" s="185"/>
      <c r="D14" s="185"/>
    </row>
    <row r="15" spans="1:9" x14ac:dyDescent="0.25">
      <c r="A15" s="81" t="s">
        <v>307</v>
      </c>
      <c r="B15" s="185" t="s">
        <v>497</v>
      </c>
      <c r="C15" s="185"/>
      <c r="D15" s="185"/>
    </row>
    <row r="16" spans="1:9" x14ac:dyDescent="0.25">
      <c r="A16" s="81" t="s">
        <v>825</v>
      </c>
      <c r="B16" s="185" t="s">
        <v>498</v>
      </c>
      <c r="C16" s="185"/>
      <c r="D16" s="185"/>
    </row>
    <row r="17" spans="1:4" x14ac:dyDescent="0.25">
      <c r="A17" s="81" t="s">
        <v>803</v>
      </c>
      <c r="B17" s="185"/>
      <c r="C17" s="185"/>
      <c r="D17" s="185"/>
    </row>
    <row r="18" spans="1:4" x14ac:dyDescent="0.25">
      <c r="A18" s="81" t="s">
        <v>313</v>
      </c>
      <c r="B18" s="188">
        <v>45135</v>
      </c>
      <c r="C18" s="185"/>
      <c r="D18" s="185"/>
    </row>
    <row r="19" spans="1:4" x14ac:dyDescent="0.25">
      <c r="A19" s="81" t="s">
        <v>315</v>
      </c>
      <c r="B19" s="188"/>
      <c r="C19" s="185"/>
      <c r="D19" s="185"/>
    </row>
    <row r="20" spans="1:4" x14ac:dyDescent="0.25">
      <c r="A20" s="81" t="s">
        <v>317</v>
      </c>
      <c r="B20" s="185" t="s">
        <v>331</v>
      </c>
      <c r="C20" s="185"/>
      <c r="D20" s="185"/>
    </row>
    <row r="21" spans="1:4" x14ac:dyDescent="0.25">
      <c r="A21" s="77" t="s">
        <v>323</v>
      </c>
      <c r="B21" s="185" t="s">
        <v>332</v>
      </c>
      <c r="C21" s="185"/>
      <c r="D21" s="185"/>
    </row>
    <row r="23" spans="1:4" x14ac:dyDescent="0.25">
      <c r="B23" s="102" t="str">
        <f>HYPERLINK("#'Factor List'!A1","Back to Factor List")</f>
        <v>Back to Factor List</v>
      </c>
    </row>
    <row r="24" spans="1:4" x14ac:dyDescent="0.25">
      <c r="B24" s="102" t="s">
        <v>13</v>
      </c>
    </row>
    <row r="25" spans="1:4" x14ac:dyDescent="0.25">
      <c r="B25" s="102"/>
    </row>
    <row r="26" spans="1:4" ht="52.8" x14ac:dyDescent="0.25">
      <c r="A26" s="103" t="s">
        <v>373</v>
      </c>
      <c r="B26" s="103" t="s">
        <v>869</v>
      </c>
      <c r="C26" s="103" t="s">
        <v>870</v>
      </c>
      <c r="D26" s="103" t="s">
        <v>871</v>
      </c>
    </row>
    <row r="27" spans="1:4" x14ac:dyDescent="0.25">
      <c r="A27" s="104">
        <v>20</v>
      </c>
      <c r="B27" s="105"/>
      <c r="C27" s="105">
        <v>40.479999999999997</v>
      </c>
      <c r="D27" s="105"/>
    </row>
    <row r="28" spans="1:4" x14ac:dyDescent="0.25">
      <c r="A28" s="104">
        <v>21</v>
      </c>
      <c r="B28" s="105"/>
      <c r="C28" s="105">
        <v>40.14</v>
      </c>
      <c r="D28" s="105"/>
    </row>
    <row r="29" spans="1:4" x14ac:dyDescent="0.25">
      <c r="A29" s="104">
        <v>22</v>
      </c>
      <c r="B29" s="105"/>
      <c r="C29" s="105">
        <v>39.79</v>
      </c>
      <c r="D29" s="105"/>
    </row>
    <row r="30" spans="1:4" x14ac:dyDescent="0.25">
      <c r="A30" s="104">
        <v>23</v>
      </c>
      <c r="B30" s="105"/>
      <c r="C30" s="105">
        <v>39.43</v>
      </c>
      <c r="D30" s="105"/>
    </row>
    <row r="31" spans="1:4" x14ac:dyDescent="0.25">
      <c r="A31" s="104">
        <v>24</v>
      </c>
      <c r="B31" s="105"/>
      <c r="C31" s="105">
        <v>39.07</v>
      </c>
      <c r="D31" s="105"/>
    </row>
    <row r="32" spans="1:4" x14ac:dyDescent="0.25">
      <c r="A32" s="104">
        <v>25</v>
      </c>
      <c r="B32" s="105"/>
      <c r="C32" s="105">
        <v>38.700000000000003</v>
      </c>
      <c r="D32" s="105"/>
    </row>
    <row r="33" spans="1:4" x14ac:dyDescent="0.25">
      <c r="A33" s="104">
        <v>26</v>
      </c>
      <c r="B33" s="105"/>
      <c r="C33" s="105">
        <v>38.33</v>
      </c>
      <c r="D33" s="105"/>
    </row>
    <row r="34" spans="1:4" x14ac:dyDescent="0.25">
      <c r="A34" s="104">
        <v>27</v>
      </c>
      <c r="B34" s="105"/>
      <c r="C34" s="105">
        <v>37.950000000000003</v>
      </c>
      <c r="D34" s="105"/>
    </row>
    <row r="35" spans="1:4" x14ac:dyDescent="0.25">
      <c r="A35" s="104">
        <v>28</v>
      </c>
      <c r="B35" s="105"/>
      <c r="C35" s="105">
        <v>37.56</v>
      </c>
      <c r="D35" s="105"/>
    </row>
    <row r="36" spans="1:4" x14ac:dyDescent="0.25">
      <c r="A36" s="104">
        <v>29</v>
      </c>
      <c r="B36" s="105"/>
      <c r="C36" s="105">
        <v>37.17</v>
      </c>
      <c r="D36" s="105"/>
    </row>
    <row r="37" spans="1:4" x14ac:dyDescent="0.25">
      <c r="A37" s="104">
        <v>30</v>
      </c>
      <c r="B37" s="105"/>
      <c r="C37" s="105">
        <v>36.770000000000003</v>
      </c>
      <c r="D37" s="105"/>
    </row>
    <row r="38" spans="1:4" x14ac:dyDescent="0.25">
      <c r="A38" s="104">
        <v>31</v>
      </c>
      <c r="B38" s="105"/>
      <c r="C38" s="105">
        <v>36.369999999999997</v>
      </c>
      <c r="D38" s="105"/>
    </row>
    <row r="39" spans="1:4" x14ac:dyDescent="0.25">
      <c r="A39" s="104">
        <v>32</v>
      </c>
      <c r="B39" s="105"/>
      <c r="C39" s="105">
        <v>35.950000000000003</v>
      </c>
      <c r="D39" s="105"/>
    </row>
    <row r="40" spans="1:4" x14ac:dyDescent="0.25">
      <c r="A40" s="104">
        <v>33</v>
      </c>
      <c r="B40" s="105"/>
      <c r="C40" s="105">
        <v>35.53</v>
      </c>
      <c r="D40" s="105"/>
    </row>
    <row r="41" spans="1:4" x14ac:dyDescent="0.25">
      <c r="A41" s="104">
        <v>34</v>
      </c>
      <c r="B41" s="105"/>
      <c r="C41" s="105">
        <v>35.11</v>
      </c>
      <c r="D41" s="105"/>
    </row>
    <row r="42" spans="1:4" x14ac:dyDescent="0.25">
      <c r="A42" s="104">
        <v>35</v>
      </c>
      <c r="B42" s="105"/>
      <c r="C42" s="105">
        <v>34.68</v>
      </c>
      <c r="D42" s="105"/>
    </row>
    <row r="43" spans="1:4" x14ac:dyDescent="0.25">
      <c r="A43" s="104">
        <v>36</v>
      </c>
      <c r="B43" s="105"/>
      <c r="C43" s="105">
        <v>34.24</v>
      </c>
      <c r="D43" s="105"/>
    </row>
    <row r="44" spans="1:4" x14ac:dyDescent="0.25">
      <c r="A44" s="104">
        <v>37</v>
      </c>
      <c r="B44" s="105"/>
      <c r="C44" s="105">
        <v>33.79</v>
      </c>
      <c r="D44" s="105"/>
    </row>
    <row r="45" spans="1:4" x14ac:dyDescent="0.25">
      <c r="A45" s="104">
        <v>38</v>
      </c>
      <c r="B45" s="105"/>
      <c r="C45" s="105">
        <v>33.340000000000003</v>
      </c>
      <c r="D45" s="105"/>
    </row>
    <row r="46" spans="1:4" x14ac:dyDescent="0.25">
      <c r="A46" s="104">
        <v>39</v>
      </c>
      <c r="B46" s="105"/>
      <c r="C46" s="105">
        <v>32.869999999999997</v>
      </c>
      <c r="D46" s="105"/>
    </row>
    <row r="47" spans="1:4" x14ac:dyDescent="0.25">
      <c r="A47" s="104">
        <v>40</v>
      </c>
      <c r="B47" s="105"/>
      <c r="C47" s="105">
        <v>32.409999999999997</v>
      </c>
      <c r="D47" s="105"/>
    </row>
    <row r="48" spans="1:4" x14ac:dyDescent="0.25">
      <c r="A48" s="104">
        <v>41</v>
      </c>
      <c r="B48" s="105"/>
      <c r="C48" s="105">
        <v>31.93</v>
      </c>
      <c r="D48" s="105"/>
    </row>
    <row r="49" spans="1:4" x14ac:dyDescent="0.25">
      <c r="A49" s="104">
        <v>42</v>
      </c>
      <c r="B49" s="105"/>
      <c r="C49" s="105">
        <v>31.45</v>
      </c>
      <c r="D49" s="105"/>
    </row>
    <row r="50" spans="1:4" x14ac:dyDescent="0.25">
      <c r="A50" s="104">
        <v>43</v>
      </c>
      <c r="B50" s="105"/>
      <c r="C50" s="105">
        <v>30.96</v>
      </c>
      <c r="D50" s="105"/>
    </row>
    <row r="51" spans="1:4" x14ac:dyDescent="0.25">
      <c r="A51" s="104">
        <v>44</v>
      </c>
      <c r="B51" s="105"/>
      <c r="C51" s="105">
        <v>30.46</v>
      </c>
      <c r="D51" s="105"/>
    </row>
    <row r="52" spans="1:4" x14ac:dyDescent="0.25">
      <c r="A52" s="104">
        <v>45</v>
      </c>
      <c r="B52" s="105"/>
      <c r="C52" s="105">
        <v>29.96</v>
      </c>
      <c r="D52" s="105"/>
    </row>
    <row r="53" spans="1:4" x14ac:dyDescent="0.25">
      <c r="A53" s="104">
        <v>46</v>
      </c>
      <c r="B53" s="105"/>
      <c r="C53" s="105">
        <v>29.45</v>
      </c>
      <c r="D53" s="105"/>
    </row>
    <row r="54" spans="1:4" x14ac:dyDescent="0.25">
      <c r="A54" s="104">
        <v>47</v>
      </c>
      <c r="B54" s="105"/>
      <c r="C54" s="105">
        <v>28.93</v>
      </c>
      <c r="D54" s="105"/>
    </row>
    <row r="55" spans="1:4" x14ac:dyDescent="0.25">
      <c r="A55" s="104">
        <v>48</v>
      </c>
      <c r="B55" s="105"/>
      <c r="C55" s="105">
        <v>28.4</v>
      </c>
      <c r="D55" s="105"/>
    </row>
    <row r="56" spans="1:4" x14ac:dyDescent="0.25">
      <c r="A56" s="104">
        <v>49</v>
      </c>
      <c r="B56" s="105"/>
      <c r="C56" s="105">
        <v>27.87</v>
      </c>
      <c r="D56" s="105"/>
    </row>
    <row r="57" spans="1:4" x14ac:dyDescent="0.25">
      <c r="A57" s="104">
        <v>50</v>
      </c>
      <c r="B57" s="105">
        <v>28.22</v>
      </c>
      <c r="C57" s="105">
        <v>27.33</v>
      </c>
      <c r="D57" s="105"/>
    </row>
    <row r="58" spans="1:4" x14ac:dyDescent="0.25">
      <c r="A58" s="104">
        <v>51</v>
      </c>
      <c r="B58" s="105">
        <v>27.68</v>
      </c>
      <c r="C58" s="105">
        <v>26.78</v>
      </c>
      <c r="D58" s="105"/>
    </row>
    <row r="59" spans="1:4" x14ac:dyDescent="0.25">
      <c r="A59" s="104">
        <v>52</v>
      </c>
      <c r="B59" s="105">
        <v>27.13</v>
      </c>
      <c r="C59" s="105">
        <v>26.22</v>
      </c>
      <c r="D59" s="105"/>
    </row>
    <row r="60" spans="1:4" x14ac:dyDescent="0.25">
      <c r="A60" s="104">
        <v>53</v>
      </c>
      <c r="B60" s="105">
        <v>26.57</v>
      </c>
      <c r="C60" s="105">
        <v>25.66</v>
      </c>
      <c r="D60" s="105"/>
    </row>
    <row r="61" spans="1:4" x14ac:dyDescent="0.25">
      <c r="A61" s="104">
        <v>54</v>
      </c>
      <c r="B61" s="105">
        <v>26.01</v>
      </c>
      <c r="C61" s="105">
        <v>25.09</v>
      </c>
      <c r="D61" s="105"/>
    </row>
    <row r="62" spans="1:4" x14ac:dyDescent="0.25">
      <c r="A62" s="104">
        <v>55</v>
      </c>
      <c r="B62" s="105">
        <v>25.44</v>
      </c>
      <c r="C62" s="105">
        <v>24.51</v>
      </c>
      <c r="D62" s="105">
        <v>24.51</v>
      </c>
    </row>
    <row r="63" spans="1:4" x14ac:dyDescent="0.25">
      <c r="A63" s="104">
        <v>56</v>
      </c>
      <c r="B63" s="105">
        <v>24.86</v>
      </c>
      <c r="C63" s="105">
        <v>23.93</v>
      </c>
      <c r="D63" s="105">
        <v>23.93</v>
      </c>
    </row>
    <row r="64" spans="1:4" x14ac:dyDescent="0.25">
      <c r="A64" s="104">
        <v>57</v>
      </c>
      <c r="B64" s="105">
        <v>24.28</v>
      </c>
      <c r="C64" s="105">
        <v>23.34</v>
      </c>
      <c r="D64" s="105">
        <v>23.34</v>
      </c>
    </row>
    <row r="65" spans="1:4" x14ac:dyDescent="0.25">
      <c r="A65" s="104">
        <v>58</v>
      </c>
      <c r="B65" s="105">
        <v>23.69</v>
      </c>
      <c r="C65" s="105">
        <v>22.74</v>
      </c>
      <c r="D65" s="105">
        <v>22.74</v>
      </c>
    </row>
    <row r="66" spans="1:4" x14ac:dyDescent="0.25">
      <c r="A66" s="104">
        <v>59</v>
      </c>
      <c r="B66" s="105">
        <v>23.09</v>
      </c>
      <c r="C66" s="105">
        <v>22.14</v>
      </c>
      <c r="D66" s="105">
        <v>22.14</v>
      </c>
    </row>
    <row r="67" spans="1:4" x14ac:dyDescent="0.25">
      <c r="A67" s="104">
        <v>60</v>
      </c>
      <c r="B67" s="105">
        <v>22.49</v>
      </c>
      <c r="C67" s="105">
        <v>21.53</v>
      </c>
      <c r="D67" s="105">
        <v>21.53</v>
      </c>
    </row>
    <row r="68" spans="1:4" x14ac:dyDescent="0.25">
      <c r="A68" s="104">
        <v>61</v>
      </c>
      <c r="B68" s="105">
        <v>21.89</v>
      </c>
      <c r="C68" s="105">
        <v>20.92</v>
      </c>
      <c r="D68" s="105">
        <v>20.92</v>
      </c>
    </row>
    <row r="69" spans="1:4" x14ac:dyDescent="0.25">
      <c r="A69" s="104">
        <v>62</v>
      </c>
      <c r="B69" s="105">
        <v>21.27</v>
      </c>
      <c r="C69" s="105">
        <v>20.3</v>
      </c>
      <c r="D69" s="105">
        <v>20.3</v>
      </c>
    </row>
    <row r="70" spans="1:4" x14ac:dyDescent="0.25">
      <c r="A70" s="104">
        <v>63</v>
      </c>
      <c r="B70" s="105">
        <v>20.66</v>
      </c>
      <c r="C70" s="105">
        <v>19.68</v>
      </c>
      <c r="D70" s="105">
        <v>19.68</v>
      </c>
    </row>
    <row r="71" spans="1:4" x14ac:dyDescent="0.25">
      <c r="A71" s="104">
        <v>64</v>
      </c>
      <c r="B71" s="105">
        <v>20.04</v>
      </c>
      <c r="C71" s="105">
        <v>19.059999999999999</v>
      </c>
      <c r="D71" s="105">
        <v>19.059999999999999</v>
      </c>
    </row>
    <row r="72" spans="1:4" x14ac:dyDescent="0.25">
      <c r="A72" s="104">
        <v>65</v>
      </c>
      <c r="B72" s="105">
        <v>19.39</v>
      </c>
      <c r="C72" s="105">
        <v>18.440000000000001</v>
      </c>
      <c r="D72" s="105">
        <v>18.440000000000001</v>
      </c>
    </row>
    <row r="73" spans="1:4" x14ac:dyDescent="0.25">
      <c r="A73" s="104">
        <v>66</v>
      </c>
      <c r="B73" s="105">
        <v>18.77</v>
      </c>
      <c r="C73" s="105">
        <v>17.809999999999999</v>
      </c>
      <c r="D73" s="105">
        <v>17.809999999999999</v>
      </c>
    </row>
    <row r="74" spans="1:4" x14ac:dyDescent="0.25">
      <c r="A74" s="104">
        <v>67</v>
      </c>
      <c r="B74" s="105">
        <v>18.14</v>
      </c>
      <c r="C74" s="105">
        <v>17.18</v>
      </c>
      <c r="D74" s="105">
        <v>17.18</v>
      </c>
    </row>
    <row r="75" spans="1:4" x14ac:dyDescent="0.25">
      <c r="A75" s="104">
        <v>68</v>
      </c>
      <c r="B75" s="105">
        <v>17.510000000000002</v>
      </c>
      <c r="C75" s="105">
        <v>16.55</v>
      </c>
      <c r="D75" s="105">
        <v>16.55</v>
      </c>
    </row>
    <row r="76" spans="1:4" x14ac:dyDescent="0.25">
      <c r="A76" s="104">
        <v>69</v>
      </c>
      <c r="B76" s="105">
        <v>16.829999999999998</v>
      </c>
      <c r="C76" s="105">
        <v>15.88</v>
      </c>
      <c r="D76" s="105">
        <v>15.88</v>
      </c>
    </row>
    <row r="77" spans="1:4" x14ac:dyDescent="0.25">
      <c r="A77" s="104">
        <v>70</v>
      </c>
      <c r="B77" s="105">
        <v>16.11</v>
      </c>
      <c r="C77" s="105">
        <v>15.21</v>
      </c>
      <c r="D77" s="105">
        <v>15.21</v>
      </c>
    </row>
    <row r="78" spans="1:4" x14ac:dyDescent="0.25">
      <c r="A78" s="104">
        <v>71</v>
      </c>
      <c r="B78" s="105">
        <v>15.44</v>
      </c>
      <c r="C78" s="105">
        <v>14.54</v>
      </c>
      <c r="D78" s="105">
        <v>14.54</v>
      </c>
    </row>
    <row r="79" spans="1:4" x14ac:dyDescent="0.25">
      <c r="A79" s="104">
        <v>72</v>
      </c>
      <c r="B79" s="105">
        <v>14.78</v>
      </c>
      <c r="C79" s="105">
        <v>13.89</v>
      </c>
      <c r="D79" s="105">
        <v>13.89</v>
      </c>
    </row>
    <row r="80" spans="1:4" x14ac:dyDescent="0.25">
      <c r="A80" s="104">
        <v>73</v>
      </c>
      <c r="B80" s="105">
        <v>14.14</v>
      </c>
      <c r="C80" s="105">
        <v>13.25</v>
      </c>
      <c r="D80" s="105">
        <v>13.25</v>
      </c>
    </row>
    <row r="81" spans="1:4" x14ac:dyDescent="0.25">
      <c r="A81" s="104">
        <v>74</v>
      </c>
      <c r="B81" s="105">
        <v>13.5</v>
      </c>
      <c r="C81" s="105">
        <v>12.62</v>
      </c>
      <c r="D81" s="105">
        <v>12.62</v>
      </c>
    </row>
    <row r="82" spans="1:4" x14ac:dyDescent="0.25">
      <c r="A82" s="104">
        <v>75</v>
      </c>
      <c r="B82" s="105">
        <v>12.78</v>
      </c>
      <c r="C82" s="105">
        <v>12</v>
      </c>
      <c r="D82" s="105">
        <v>12</v>
      </c>
    </row>
    <row r="83" spans="1:4" x14ac:dyDescent="0.25">
      <c r="A83" s="104">
        <v>76</v>
      </c>
      <c r="B83" s="105">
        <v>12.15</v>
      </c>
      <c r="C83" s="105">
        <v>11.39</v>
      </c>
      <c r="D83" s="105">
        <v>11.39</v>
      </c>
    </row>
    <row r="84" spans="1:4" x14ac:dyDescent="0.25">
      <c r="A84" s="104">
        <v>77</v>
      </c>
      <c r="B84" s="105">
        <v>11.54</v>
      </c>
      <c r="C84" s="105">
        <v>10.78</v>
      </c>
      <c r="D84" s="105">
        <v>10.78</v>
      </c>
    </row>
    <row r="85" spans="1:4" x14ac:dyDescent="0.25">
      <c r="A85" s="104">
        <v>78</v>
      </c>
      <c r="B85" s="105">
        <v>10.93</v>
      </c>
      <c r="C85" s="105">
        <v>10.19</v>
      </c>
      <c r="D85" s="105">
        <v>10.19</v>
      </c>
    </row>
    <row r="86" spans="1:4" x14ac:dyDescent="0.25">
      <c r="A86" s="104">
        <v>79</v>
      </c>
      <c r="B86" s="105">
        <v>10.33</v>
      </c>
      <c r="C86" s="105">
        <v>9.61</v>
      </c>
      <c r="D86" s="105">
        <v>9.61</v>
      </c>
    </row>
    <row r="87" spans="1:4" x14ac:dyDescent="0.25">
      <c r="A87" s="104">
        <v>80</v>
      </c>
      <c r="B87" s="105">
        <v>9.64</v>
      </c>
      <c r="C87" s="105">
        <v>9.0399999999999991</v>
      </c>
      <c r="D87" s="105">
        <v>9.0399999999999991</v>
      </c>
    </row>
    <row r="88" spans="1:4" x14ac:dyDescent="0.25">
      <c r="A88" s="104">
        <v>81</v>
      </c>
      <c r="B88" s="105">
        <v>9.07</v>
      </c>
      <c r="C88" s="105">
        <v>8.49</v>
      </c>
      <c r="D88" s="105">
        <v>8.49</v>
      </c>
    </row>
    <row r="89" spans="1:4" x14ac:dyDescent="0.25">
      <c r="A89" s="104">
        <v>82</v>
      </c>
      <c r="B89" s="105">
        <v>8.52</v>
      </c>
      <c r="C89" s="105">
        <v>7.96</v>
      </c>
      <c r="D89" s="105">
        <v>7.96</v>
      </c>
    </row>
    <row r="90" spans="1:4" x14ac:dyDescent="0.25">
      <c r="A90" s="104">
        <v>83</v>
      </c>
      <c r="B90" s="105">
        <v>7.99</v>
      </c>
      <c r="C90" s="105">
        <v>7.45</v>
      </c>
      <c r="D90" s="105">
        <v>7.45</v>
      </c>
    </row>
    <row r="91" spans="1:4" x14ac:dyDescent="0.25">
      <c r="A91" s="104">
        <v>84</v>
      </c>
      <c r="B91" s="105">
        <v>7.48</v>
      </c>
      <c r="C91" s="105">
        <v>6.96</v>
      </c>
      <c r="D91" s="105">
        <v>6.96</v>
      </c>
    </row>
    <row r="92" spans="1:4" x14ac:dyDescent="0.25">
      <c r="A92" s="104">
        <v>85</v>
      </c>
      <c r="B92" s="105">
        <v>6.88</v>
      </c>
      <c r="C92" s="105">
        <v>6.49</v>
      </c>
      <c r="D92" s="105">
        <v>6.49</v>
      </c>
    </row>
    <row r="93" spans="1:4" x14ac:dyDescent="0.25">
      <c r="A93" s="104">
        <v>86</v>
      </c>
      <c r="B93" s="105">
        <v>6.41</v>
      </c>
      <c r="C93" s="105">
        <v>6.03</v>
      </c>
      <c r="D93" s="105">
        <v>6.03</v>
      </c>
    </row>
    <row r="94" spans="1:4" x14ac:dyDescent="0.25">
      <c r="A94" s="104">
        <v>87</v>
      </c>
      <c r="B94" s="105">
        <v>5.96</v>
      </c>
      <c r="C94" s="105">
        <v>5.6</v>
      </c>
      <c r="D94" s="105">
        <v>5.6</v>
      </c>
    </row>
    <row r="95" spans="1:4" x14ac:dyDescent="0.25">
      <c r="A95" s="104">
        <v>88</v>
      </c>
      <c r="B95" s="105">
        <v>5.54</v>
      </c>
      <c r="C95" s="105">
        <v>5.19</v>
      </c>
      <c r="D95" s="105">
        <v>5.19</v>
      </c>
    </row>
    <row r="96" spans="1:4" x14ac:dyDescent="0.25">
      <c r="A96" s="104">
        <v>89</v>
      </c>
      <c r="B96" s="105">
        <v>5.14</v>
      </c>
      <c r="C96" s="105">
        <v>4.8099999999999996</v>
      </c>
      <c r="D96" s="105">
        <v>4.8099999999999996</v>
      </c>
    </row>
    <row r="97" spans="1:4" x14ac:dyDescent="0.25">
      <c r="A97" s="104">
        <v>90</v>
      </c>
      <c r="B97" s="105">
        <v>4.6500000000000004</v>
      </c>
      <c r="C97" s="105">
        <v>4.4400000000000004</v>
      </c>
      <c r="D97" s="105">
        <v>4.4400000000000004</v>
      </c>
    </row>
  </sheetData>
  <sheetProtection algorithmName="SHA-512" hashValue="YObYLn04QhOGWj6w6e1v7xkfDjy4ob+giFjNUqU+usH/inmQr3n5Dtr0Ihhz7uPDTcWp1MrFepVQz30ldw7ZRQ==" saltValue="FQgrqhiajGW4s/aA39eQUA==" spinCount="100000" sheet="1" objects="1" scenarios="1"/>
  <conditionalFormatting sqref="A6:A21">
    <cfRule type="expression" dxfId="875" priority="1" stopIfTrue="1">
      <formula>MOD(ROW(),2)=0</formula>
    </cfRule>
    <cfRule type="expression" dxfId="874" priority="2" stopIfTrue="1">
      <formula>MOD(ROW(),2)&lt;&gt;0</formula>
    </cfRule>
  </conditionalFormatting>
  <conditionalFormatting sqref="A26:A97">
    <cfRule type="expression" dxfId="873" priority="11" stopIfTrue="1">
      <formula>MOD(ROW(),2)=0</formula>
    </cfRule>
    <cfRule type="expression" dxfId="872" priority="12" stopIfTrue="1">
      <formula>MOD(ROW(),2)&lt;&gt;0</formula>
    </cfRule>
  </conditionalFormatting>
  <conditionalFormatting sqref="B18:B21">
    <cfRule type="expression" dxfId="871" priority="3" stopIfTrue="1">
      <formula>MOD(ROW(),2)=0</formula>
    </cfRule>
    <cfRule type="expression" dxfId="870" priority="4" stopIfTrue="1">
      <formula>MOD(ROW(),2)&lt;&gt;0</formula>
    </cfRule>
  </conditionalFormatting>
  <conditionalFormatting sqref="B6:D6 C7:D7 B8:D17 C18:D20">
    <cfRule type="expression" dxfId="869" priority="31" stopIfTrue="1">
      <formula>MOD(ROW(),2)=0</formula>
    </cfRule>
    <cfRule type="expression" dxfId="868" priority="32" stopIfTrue="1">
      <formula>MOD(ROW(),2)&lt;&gt;0</formula>
    </cfRule>
  </conditionalFormatting>
  <conditionalFormatting sqref="B6:D21">
    <cfRule type="expression" dxfId="867" priority="23" stopIfTrue="1">
      <formula>MOD(ROW(),2)=0</formula>
    </cfRule>
    <cfRule type="expression" dxfId="866" priority="24" stopIfTrue="1">
      <formula>MOD(ROW(),2)&lt;&gt;0</formula>
    </cfRule>
  </conditionalFormatting>
  <conditionalFormatting sqref="B26:D97">
    <cfRule type="expression" dxfId="865" priority="13" stopIfTrue="1">
      <formula>MOD(ROW(),2)=0</formula>
    </cfRule>
    <cfRule type="expression" dxfId="864" priority="14" stopIfTrue="1">
      <formula>MOD(ROW(),2)&lt;&gt;0</formula>
    </cfRule>
  </conditionalFormatting>
  <conditionalFormatting sqref="C21:D21">
    <cfRule type="expression" dxfId="863" priority="5" stopIfTrue="1">
      <formula>MOD(ROW(),2)=0</formula>
    </cfRule>
    <cfRule type="expression" dxfId="862" priority="6" stopIfTrue="1">
      <formula>MOD(ROW(),2)&lt;&gt;0</formula>
    </cfRule>
  </conditionalFormatting>
  <hyperlinks>
    <hyperlink ref="B24" location="Sheet1!A1" display="Assumptions" xr:uid="{3F8E20FC-4C9D-45AC-9E2B-3E74491BFB0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2"/>
  <dimension ref="A1:I72"/>
  <sheetViews>
    <sheetView showGridLines="0" zoomScale="85" zoomScaleNormal="85" workbookViewId="0">
      <selection activeCell="A4" sqref="A4"/>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Triv Comm - x-502</v>
      </c>
      <c r="B3" s="42"/>
      <c r="C3" s="42"/>
      <c r="D3" s="42"/>
      <c r="E3" s="42"/>
      <c r="F3" s="42"/>
      <c r="G3" s="42"/>
      <c r="H3" s="42"/>
      <c r="I3" s="42"/>
    </row>
    <row r="4" spans="1:9" x14ac:dyDescent="0.25">
      <c r="A4" s="44"/>
    </row>
    <row r="6" spans="1:9" x14ac:dyDescent="0.25">
      <c r="A6" s="87" t="s">
        <v>290</v>
      </c>
      <c r="B6" s="185" t="s">
        <v>291</v>
      </c>
      <c r="C6" s="185"/>
      <c r="D6" s="185"/>
    </row>
    <row r="7" spans="1:9" x14ac:dyDescent="0.25">
      <c r="A7" s="81" t="s">
        <v>804</v>
      </c>
      <c r="B7" s="185" t="s">
        <v>345</v>
      </c>
      <c r="C7" s="185"/>
      <c r="D7" s="185"/>
    </row>
    <row r="8" spans="1:9" x14ac:dyDescent="0.25">
      <c r="A8" s="81" t="s">
        <v>805</v>
      </c>
      <c r="B8" s="185" t="s">
        <v>86</v>
      </c>
      <c r="C8" s="185"/>
      <c r="D8" s="185"/>
    </row>
    <row r="9" spans="1:9" x14ac:dyDescent="0.25">
      <c r="A9" s="81" t="s">
        <v>296</v>
      </c>
      <c r="B9" s="185" t="s">
        <v>495</v>
      </c>
      <c r="C9" s="185"/>
      <c r="D9" s="185"/>
    </row>
    <row r="10" spans="1:9" x14ac:dyDescent="0.25">
      <c r="A10" s="81" t="s">
        <v>6</v>
      </c>
      <c r="B10" s="185" t="s">
        <v>499</v>
      </c>
      <c r="C10" s="185"/>
      <c r="D10" s="185"/>
    </row>
    <row r="11" spans="1:9" x14ac:dyDescent="0.25">
      <c r="A11" s="81" t="s">
        <v>299</v>
      </c>
      <c r="B11" s="185" t="s">
        <v>364</v>
      </c>
      <c r="C11" s="185"/>
      <c r="D11" s="185"/>
    </row>
    <row r="12" spans="1:9" x14ac:dyDescent="0.25">
      <c r="A12" s="81" t="s">
        <v>301</v>
      </c>
      <c r="B12" s="185" t="s">
        <v>373</v>
      </c>
      <c r="C12" s="185"/>
      <c r="D12" s="185"/>
    </row>
    <row r="13" spans="1:9" x14ac:dyDescent="0.25">
      <c r="A13" s="81" t="s">
        <v>806</v>
      </c>
      <c r="B13" s="185">
        <v>1</v>
      </c>
      <c r="C13" s="185"/>
      <c r="D13" s="185"/>
    </row>
    <row r="14" spans="1:9" x14ac:dyDescent="0.25">
      <c r="A14" s="81" t="s">
        <v>305</v>
      </c>
      <c r="B14" s="185">
        <v>502</v>
      </c>
      <c r="C14" s="185"/>
      <c r="D14" s="185"/>
    </row>
    <row r="15" spans="1:9" x14ac:dyDescent="0.25">
      <c r="A15" s="81" t="s">
        <v>307</v>
      </c>
      <c r="B15" s="185" t="s">
        <v>500</v>
      </c>
      <c r="C15" s="185"/>
      <c r="D15" s="185"/>
    </row>
    <row r="16" spans="1:9" x14ac:dyDescent="0.25">
      <c r="A16" s="81" t="s">
        <v>825</v>
      </c>
      <c r="B16" s="185" t="s">
        <v>501</v>
      </c>
      <c r="C16" s="185"/>
      <c r="D16" s="185"/>
    </row>
    <row r="17" spans="1:4" x14ac:dyDescent="0.25">
      <c r="A17" s="81" t="s">
        <v>803</v>
      </c>
      <c r="B17" s="185"/>
      <c r="C17" s="185"/>
      <c r="D17" s="185"/>
    </row>
    <row r="18" spans="1:4" x14ac:dyDescent="0.25">
      <c r="A18" s="81" t="s">
        <v>313</v>
      </c>
      <c r="B18" s="188">
        <v>45135</v>
      </c>
      <c r="C18" s="185"/>
      <c r="D18" s="185"/>
    </row>
    <row r="19" spans="1:4" x14ac:dyDescent="0.25">
      <c r="A19" s="81" t="s">
        <v>315</v>
      </c>
      <c r="B19" s="188"/>
      <c r="C19" s="185"/>
      <c r="D19" s="185"/>
    </row>
    <row r="20" spans="1:4" x14ac:dyDescent="0.25">
      <c r="A20" s="81" t="s">
        <v>317</v>
      </c>
      <c r="B20" s="185" t="s">
        <v>331</v>
      </c>
      <c r="C20" s="185"/>
      <c r="D20" s="185"/>
    </row>
    <row r="21" spans="1:4" x14ac:dyDescent="0.25">
      <c r="A21" s="77" t="s">
        <v>323</v>
      </c>
      <c r="B21" s="185" t="s">
        <v>332</v>
      </c>
      <c r="C21" s="185"/>
      <c r="D21" s="185"/>
    </row>
    <row r="23" spans="1:4" x14ac:dyDescent="0.25">
      <c r="B23" s="102" t="str">
        <f>HYPERLINK("#'Factor List'!A1","Back to Factor List")</f>
        <v>Back to Factor List</v>
      </c>
    </row>
    <row r="24" spans="1:4" x14ac:dyDescent="0.25">
      <c r="B24" s="102" t="s">
        <v>13</v>
      </c>
    </row>
    <row r="25" spans="1:4" x14ac:dyDescent="0.25">
      <c r="B25" s="102"/>
    </row>
    <row r="26" spans="1:4" ht="42.6" customHeight="1" x14ac:dyDescent="0.25">
      <c r="A26" s="103" t="s">
        <v>373</v>
      </c>
      <c r="B26" s="103" t="s">
        <v>872</v>
      </c>
      <c r="C26" s="103" t="s">
        <v>870</v>
      </c>
      <c r="D26" s="103" t="s">
        <v>871</v>
      </c>
    </row>
    <row r="27" spans="1:4" x14ac:dyDescent="0.25">
      <c r="A27" s="104">
        <v>45</v>
      </c>
      <c r="B27" s="105"/>
      <c r="C27" s="105">
        <v>29.94</v>
      </c>
      <c r="D27" s="105"/>
    </row>
    <row r="28" spans="1:4" x14ac:dyDescent="0.25">
      <c r="A28" s="104">
        <v>46</v>
      </c>
      <c r="B28" s="105"/>
      <c r="C28" s="105">
        <v>29.43</v>
      </c>
      <c r="D28" s="105"/>
    </row>
    <row r="29" spans="1:4" x14ac:dyDescent="0.25">
      <c r="A29" s="104">
        <v>47</v>
      </c>
      <c r="B29" s="105"/>
      <c r="C29" s="105">
        <v>28.91</v>
      </c>
      <c r="D29" s="105"/>
    </row>
    <row r="30" spans="1:4" x14ac:dyDescent="0.25">
      <c r="A30" s="104">
        <v>48</v>
      </c>
      <c r="B30" s="105"/>
      <c r="C30" s="105">
        <v>28.39</v>
      </c>
      <c r="D30" s="105"/>
    </row>
    <row r="31" spans="1:4" x14ac:dyDescent="0.25">
      <c r="A31" s="104">
        <v>49</v>
      </c>
      <c r="B31" s="105"/>
      <c r="C31" s="105">
        <v>27.85</v>
      </c>
      <c r="D31" s="105"/>
    </row>
    <row r="32" spans="1:4" x14ac:dyDescent="0.25">
      <c r="A32" s="104">
        <v>50</v>
      </c>
      <c r="B32" s="105">
        <v>28.44</v>
      </c>
      <c r="C32" s="105">
        <v>27.31</v>
      </c>
      <c r="D32" s="105"/>
    </row>
    <row r="33" spans="1:4" x14ac:dyDescent="0.25">
      <c r="A33" s="104">
        <v>51</v>
      </c>
      <c r="B33" s="105">
        <v>27.9</v>
      </c>
      <c r="C33" s="105">
        <v>26.76</v>
      </c>
      <c r="D33" s="105"/>
    </row>
    <row r="34" spans="1:4" x14ac:dyDescent="0.25">
      <c r="A34" s="104">
        <v>52</v>
      </c>
      <c r="B34" s="105">
        <v>27.35</v>
      </c>
      <c r="C34" s="105">
        <v>26.2</v>
      </c>
      <c r="D34" s="105"/>
    </row>
    <row r="35" spans="1:4" x14ac:dyDescent="0.25">
      <c r="A35" s="104">
        <v>53</v>
      </c>
      <c r="B35" s="105">
        <v>26.8</v>
      </c>
      <c r="C35" s="105">
        <v>25.64</v>
      </c>
      <c r="D35" s="105"/>
    </row>
    <row r="36" spans="1:4" x14ac:dyDescent="0.25">
      <c r="A36" s="104">
        <v>54</v>
      </c>
      <c r="B36" s="105">
        <v>26.23</v>
      </c>
      <c r="C36" s="105">
        <v>25.06</v>
      </c>
      <c r="D36" s="105"/>
    </row>
    <row r="37" spans="1:4" x14ac:dyDescent="0.25">
      <c r="A37" s="104">
        <v>55</v>
      </c>
      <c r="B37" s="105">
        <v>25.66</v>
      </c>
      <c r="C37" s="105">
        <v>24.48</v>
      </c>
      <c r="D37" s="105">
        <v>24.48</v>
      </c>
    </row>
    <row r="38" spans="1:4" x14ac:dyDescent="0.25">
      <c r="A38" s="104">
        <v>56</v>
      </c>
      <c r="B38" s="105">
        <v>25.09</v>
      </c>
      <c r="C38" s="105">
        <v>23.9</v>
      </c>
      <c r="D38" s="105">
        <v>23.9</v>
      </c>
    </row>
    <row r="39" spans="1:4" x14ac:dyDescent="0.25">
      <c r="A39" s="104">
        <v>57</v>
      </c>
      <c r="B39" s="105">
        <v>24.5</v>
      </c>
      <c r="C39" s="105">
        <v>23.3</v>
      </c>
      <c r="D39" s="105">
        <v>23.3</v>
      </c>
    </row>
    <row r="40" spans="1:4" x14ac:dyDescent="0.25">
      <c r="A40" s="104">
        <v>58</v>
      </c>
      <c r="B40" s="105">
        <v>23.91</v>
      </c>
      <c r="C40" s="105">
        <v>22.7</v>
      </c>
      <c r="D40" s="105">
        <v>22.7</v>
      </c>
    </row>
    <row r="41" spans="1:4" x14ac:dyDescent="0.25">
      <c r="A41" s="104">
        <v>59</v>
      </c>
      <c r="B41" s="105">
        <v>23.31</v>
      </c>
      <c r="C41" s="105">
        <v>22.1</v>
      </c>
      <c r="D41" s="105">
        <v>22.1</v>
      </c>
    </row>
    <row r="42" spans="1:4" x14ac:dyDescent="0.25">
      <c r="A42" s="104">
        <v>60</v>
      </c>
      <c r="B42" s="105">
        <v>22.71</v>
      </c>
      <c r="C42" s="105">
        <v>21.49</v>
      </c>
      <c r="D42" s="105">
        <v>21.49</v>
      </c>
    </row>
    <row r="43" spans="1:4" x14ac:dyDescent="0.25">
      <c r="A43" s="104">
        <v>61</v>
      </c>
      <c r="B43" s="105">
        <v>22.09</v>
      </c>
      <c r="C43" s="105">
        <v>20.86</v>
      </c>
      <c r="D43" s="105">
        <v>20.86</v>
      </c>
    </row>
    <row r="44" spans="1:4" x14ac:dyDescent="0.25">
      <c r="A44" s="104">
        <v>62</v>
      </c>
      <c r="B44" s="105">
        <v>21.47</v>
      </c>
      <c r="C44" s="105">
        <v>20.239999999999998</v>
      </c>
      <c r="D44" s="105">
        <v>20.239999999999998</v>
      </c>
    </row>
    <row r="45" spans="1:4" x14ac:dyDescent="0.25">
      <c r="A45" s="104">
        <v>63</v>
      </c>
      <c r="B45" s="105">
        <v>20.85</v>
      </c>
      <c r="C45" s="105">
        <v>19.61</v>
      </c>
      <c r="D45" s="105">
        <v>19.61</v>
      </c>
    </row>
    <row r="46" spans="1:4" x14ac:dyDescent="0.25">
      <c r="A46" s="104">
        <v>64</v>
      </c>
      <c r="B46" s="105">
        <v>20.22</v>
      </c>
      <c r="C46" s="105">
        <v>18.98</v>
      </c>
      <c r="D46" s="105">
        <v>18.98</v>
      </c>
    </row>
    <row r="47" spans="1:4" x14ac:dyDescent="0.25">
      <c r="A47" s="104">
        <v>65</v>
      </c>
      <c r="B47" s="105">
        <v>19.579999999999998</v>
      </c>
      <c r="C47" s="105">
        <v>18.350000000000001</v>
      </c>
      <c r="D47" s="105">
        <v>18.350000000000001</v>
      </c>
    </row>
    <row r="48" spans="1:4" x14ac:dyDescent="0.25">
      <c r="A48" s="104">
        <v>66</v>
      </c>
      <c r="B48" s="105">
        <v>18.95</v>
      </c>
      <c r="C48" s="105">
        <v>17.72</v>
      </c>
      <c r="D48" s="105">
        <v>17.72</v>
      </c>
    </row>
    <row r="49" spans="1:4" x14ac:dyDescent="0.25">
      <c r="A49" s="104">
        <v>67</v>
      </c>
      <c r="B49" s="105">
        <v>18.309999999999999</v>
      </c>
      <c r="C49" s="105">
        <v>17.079999999999998</v>
      </c>
      <c r="D49" s="105">
        <v>17.079999999999998</v>
      </c>
    </row>
    <row r="50" spans="1:4" x14ac:dyDescent="0.25">
      <c r="A50" s="104">
        <v>68</v>
      </c>
      <c r="B50" s="105">
        <v>17.670000000000002</v>
      </c>
      <c r="C50" s="105">
        <v>16.440000000000001</v>
      </c>
      <c r="D50" s="105">
        <v>16.440000000000001</v>
      </c>
    </row>
    <row r="51" spans="1:4" x14ac:dyDescent="0.25">
      <c r="A51" s="104">
        <v>69</v>
      </c>
      <c r="B51" s="105">
        <v>17.03</v>
      </c>
      <c r="C51" s="105">
        <v>15.8</v>
      </c>
      <c r="D51" s="105">
        <v>15.8</v>
      </c>
    </row>
    <row r="52" spans="1:4" x14ac:dyDescent="0.25">
      <c r="A52" s="104">
        <v>70</v>
      </c>
      <c r="B52" s="105">
        <v>16.329999999999998</v>
      </c>
      <c r="C52" s="105">
        <v>15.16</v>
      </c>
      <c r="D52" s="105">
        <v>15.16</v>
      </c>
    </row>
    <row r="53" spans="1:4" x14ac:dyDescent="0.25">
      <c r="A53" s="104">
        <v>71</v>
      </c>
      <c r="B53" s="105">
        <v>15.68</v>
      </c>
      <c r="C53" s="105">
        <v>14.52</v>
      </c>
      <c r="D53" s="105">
        <v>14.52</v>
      </c>
    </row>
    <row r="54" spans="1:4" x14ac:dyDescent="0.25">
      <c r="A54" s="104">
        <v>72</v>
      </c>
      <c r="B54" s="105">
        <v>15.04</v>
      </c>
      <c r="C54" s="105">
        <v>13.88</v>
      </c>
      <c r="D54" s="105">
        <v>13.88</v>
      </c>
    </row>
    <row r="55" spans="1:4" x14ac:dyDescent="0.25">
      <c r="A55" s="104">
        <v>73</v>
      </c>
      <c r="B55" s="105">
        <v>14.4</v>
      </c>
      <c r="C55" s="105">
        <v>13.25</v>
      </c>
      <c r="D55" s="105">
        <v>13.25</v>
      </c>
    </row>
    <row r="56" spans="1:4" x14ac:dyDescent="0.25">
      <c r="A56" s="104">
        <v>74</v>
      </c>
      <c r="B56" s="105">
        <v>13.76</v>
      </c>
      <c r="C56" s="105">
        <v>12.62</v>
      </c>
      <c r="D56" s="105">
        <v>12.62</v>
      </c>
    </row>
    <row r="57" spans="1:4" x14ac:dyDescent="0.25">
      <c r="A57" s="104">
        <v>75</v>
      </c>
      <c r="B57" s="105">
        <v>13.02</v>
      </c>
      <c r="C57" s="105">
        <v>12</v>
      </c>
      <c r="D57" s="105">
        <v>12</v>
      </c>
    </row>
    <row r="58" spans="1:4" x14ac:dyDescent="0.25">
      <c r="A58" s="104">
        <v>76</v>
      </c>
      <c r="B58" s="105">
        <v>12.39</v>
      </c>
      <c r="C58" s="105">
        <v>11.39</v>
      </c>
      <c r="D58" s="105">
        <v>11.39</v>
      </c>
    </row>
    <row r="59" spans="1:4" x14ac:dyDescent="0.25">
      <c r="A59" s="104">
        <v>77</v>
      </c>
      <c r="B59" s="105">
        <v>11.77</v>
      </c>
      <c r="C59" s="105">
        <v>10.78</v>
      </c>
      <c r="D59" s="105">
        <v>10.78</v>
      </c>
    </row>
    <row r="60" spans="1:4" x14ac:dyDescent="0.25">
      <c r="A60" s="104">
        <v>78</v>
      </c>
      <c r="B60" s="105">
        <v>11.16</v>
      </c>
      <c r="C60" s="105">
        <v>10.19</v>
      </c>
      <c r="D60" s="105">
        <v>10.19</v>
      </c>
    </row>
    <row r="61" spans="1:4" x14ac:dyDescent="0.25">
      <c r="A61" s="104">
        <v>79</v>
      </c>
      <c r="B61" s="105">
        <v>10.56</v>
      </c>
      <c r="C61" s="105">
        <v>9.61</v>
      </c>
      <c r="D61" s="105">
        <v>9.61</v>
      </c>
    </row>
    <row r="62" spans="1:4" x14ac:dyDescent="0.25">
      <c r="A62" s="104">
        <v>80</v>
      </c>
      <c r="B62" s="105">
        <v>9.82</v>
      </c>
      <c r="C62" s="105">
        <v>9.0399999999999991</v>
      </c>
      <c r="D62" s="105">
        <v>9.0399999999999991</v>
      </c>
    </row>
    <row r="63" spans="1:4" x14ac:dyDescent="0.25">
      <c r="A63" s="104">
        <v>81</v>
      </c>
      <c r="B63" s="105">
        <v>9.25</v>
      </c>
      <c r="C63" s="105">
        <v>8.49</v>
      </c>
      <c r="D63" s="105">
        <v>8.49</v>
      </c>
    </row>
    <row r="64" spans="1:4" x14ac:dyDescent="0.25">
      <c r="A64" s="104">
        <v>82</v>
      </c>
      <c r="B64" s="105">
        <v>8.6999999999999993</v>
      </c>
      <c r="C64" s="105">
        <v>7.96</v>
      </c>
      <c r="D64" s="105">
        <v>7.96</v>
      </c>
    </row>
    <row r="65" spans="1:4" x14ac:dyDescent="0.25">
      <c r="A65" s="104">
        <v>83</v>
      </c>
      <c r="B65" s="105">
        <v>8.16</v>
      </c>
      <c r="C65" s="105">
        <v>7.45</v>
      </c>
      <c r="D65" s="105">
        <v>7.45</v>
      </c>
    </row>
    <row r="66" spans="1:4" x14ac:dyDescent="0.25">
      <c r="A66" s="104">
        <v>84</v>
      </c>
      <c r="B66" s="105">
        <v>7.65</v>
      </c>
      <c r="C66" s="105">
        <v>6.96</v>
      </c>
      <c r="D66" s="105">
        <v>6.96</v>
      </c>
    </row>
    <row r="67" spans="1:4" x14ac:dyDescent="0.25">
      <c r="A67" s="104">
        <v>85</v>
      </c>
      <c r="B67" s="105">
        <v>7.01</v>
      </c>
      <c r="C67" s="105">
        <v>6.49</v>
      </c>
      <c r="D67" s="105">
        <v>6.49</v>
      </c>
    </row>
    <row r="68" spans="1:4" x14ac:dyDescent="0.25">
      <c r="A68" s="104">
        <v>86</v>
      </c>
      <c r="B68" s="105">
        <v>6.53</v>
      </c>
      <c r="C68" s="105">
        <v>6.03</v>
      </c>
      <c r="D68" s="105">
        <v>6.03</v>
      </c>
    </row>
    <row r="69" spans="1:4" x14ac:dyDescent="0.25">
      <c r="A69" s="104">
        <v>87</v>
      </c>
      <c r="B69" s="105">
        <v>6.08</v>
      </c>
      <c r="C69" s="105">
        <v>5.6</v>
      </c>
      <c r="D69" s="105">
        <v>5.6</v>
      </c>
    </row>
    <row r="70" spans="1:4" x14ac:dyDescent="0.25">
      <c r="A70" s="104">
        <v>88</v>
      </c>
      <c r="B70" s="105">
        <v>5.65</v>
      </c>
      <c r="C70" s="105">
        <v>5.19</v>
      </c>
      <c r="D70" s="105">
        <v>5.19</v>
      </c>
    </row>
    <row r="71" spans="1:4" x14ac:dyDescent="0.25">
      <c r="A71" s="104">
        <v>89</v>
      </c>
      <c r="B71" s="105">
        <v>5.24</v>
      </c>
      <c r="C71" s="105">
        <v>4.8099999999999996</v>
      </c>
      <c r="D71" s="105">
        <v>4.8099999999999996</v>
      </c>
    </row>
    <row r="72" spans="1:4" x14ac:dyDescent="0.25">
      <c r="A72" s="104">
        <v>90</v>
      </c>
      <c r="B72" s="105">
        <v>4.72</v>
      </c>
      <c r="C72" s="105">
        <v>4.4400000000000004</v>
      </c>
      <c r="D72" s="105">
        <v>4.4400000000000004</v>
      </c>
    </row>
  </sheetData>
  <sheetProtection algorithmName="SHA-512" hashValue="mC1tFQ7sDdj+w5o19Tzg2PRZQNN8bzf1dpo949Mja6UjhF7ESL8QFcvweu+EPC6jLbA/T8yEl8KNDLXF2L5xRQ==" saltValue="BaAwqzlx8GtiYBrld6p/yw==" spinCount="100000" sheet="1" objects="1" scenarios="1"/>
  <conditionalFormatting sqref="A6:A21">
    <cfRule type="expression" dxfId="861" priority="1" stopIfTrue="1">
      <formula>MOD(ROW(),2)=0</formula>
    </cfRule>
    <cfRule type="expression" dxfId="860" priority="2" stopIfTrue="1">
      <formula>MOD(ROW(),2)&lt;&gt;0</formula>
    </cfRule>
  </conditionalFormatting>
  <conditionalFormatting sqref="A26:A72">
    <cfRule type="expression" dxfId="859" priority="9" stopIfTrue="1">
      <formula>MOD(ROW(),2)=0</formula>
    </cfRule>
    <cfRule type="expression" dxfId="858" priority="10" stopIfTrue="1">
      <formula>MOD(ROW(),2)&lt;&gt;0</formula>
    </cfRule>
  </conditionalFormatting>
  <conditionalFormatting sqref="B17:B21">
    <cfRule type="expression" dxfId="857" priority="5" stopIfTrue="1">
      <formula>MOD(ROW(),2)=0</formula>
    </cfRule>
    <cfRule type="expression" dxfId="856" priority="6" stopIfTrue="1">
      <formula>MOD(ROW(),2)&lt;&gt;0</formula>
    </cfRule>
  </conditionalFormatting>
  <conditionalFormatting sqref="B6:D21">
    <cfRule type="expression" dxfId="855" priority="29" stopIfTrue="1">
      <formula>MOD(ROW(),2)=0</formula>
    </cfRule>
    <cfRule type="expression" dxfId="854" priority="30" stopIfTrue="1">
      <formula>MOD(ROW(),2)&lt;&gt;0</formula>
    </cfRule>
  </conditionalFormatting>
  <conditionalFormatting sqref="B26:D72">
    <cfRule type="expression" dxfId="853" priority="11" stopIfTrue="1">
      <formula>MOD(ROW(),2)=0</formula>
    </cfRule>
    <cfRule type="expression" dxfId="852" priority="12" stopIfTrue="1">
      <formula>MOD(ROW(),2)&lt;&gt;0</formula>
    </cfRule>
  </conditionalFormatting>
  <hyperlinks>
    <hyperlink ref="B24" location="Sheet1!A1" display="Assumptions" xr:uid="{F4B48397-7B9C-4628-972E-5E90F5B535E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3"/>
  <dimension ref="A1:I72"/>
  <sheetViews>
    <sheetView showGridLines="0" zoomScale="85" zoomScaleNormal="85" workbookViewId="0">
      <selection activeCell="A4" sqref="A4"/>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Triv Comm - x-503</v>
      </c>
      <c r="B3" s="42"/>
      <c r="C3" s="42"/>
      <c r="D3" s="42"/>
      <c r="E3" s="42"/>
      <c r="F3" s="42"/>
      <c r="G3" s="42"/>
      <c r="H3" s="42"/>
      <c r="I3" s="42"/>
    </row>
    <row r="4" spans="1:9" x14ac:dyDescent="0.25">
      <c r="A4" s="44"/>
    </row>
    <row r="6" spans="1:9" x14ac:dyDescent="0.25">
      <c r="A6" s="87" t="s">
        <v>290</v>
      </c>
      <c r="B6" s="185" t="s">
        <v>291</v>
      </c>
      <c r="C6" s="185"/>
      <c r="D6" s="185"/>
    </row>
    <row r="7" spans="1:9" x14ac:dyDescent="0.25">
      <c r="A7" s="81" t="s">
        <v>804</v>
      </c>
      <c r="B7" s="185" t="s">
        <v>345</v>
      </c>
      <c r="C7" s="185"/>
      <c r="D7" s="185"/>
    </row>
    <row r="8" spans="1:9" x14ac:dyDescent="0.25">
      <c r="A8" s="81" t="s">
        <v>805</v>
      </c>
      <c r="B8" s="185" t="s">
        <v>502</v>
      </c>
      <c r="C8" s="185"/>
      <c r="D8" s="185"/>
    </row>
    <row r="9" spans="1:9" x14ac:dyDescent="0.25">
      <c r="A9" s="81" t="s">
        <v>296</v>
      </c>
      <c r="B9" s="185" t="s">
        <v>495</v>
      </c>
      <c r="C9" s="185"/>
      <c r="D9" s="185"/>
    </row>
    <row r="10" spans="1:9" x14ac:dyDescent="0.25">
      <c r="A10" s="81" t="s">
        <v>6</v>
      </c>
      <c r="B10" s="185" t="s">
        <v>503</v>
      </c>
      <c r="C10" s="185"/>
      <c r="D10" s="185"/>
    </row>
    <row r="11" spans="1:9" x14ac:dyDescent="0.25">
      <c r="A11" s="81" t="s">
        <v>299</v>
      </c>
      <c r="B11" s="185" t="s">
        <v>364</v>
      </c>
      <c r="C11" s="185"/>
      <c r="D11" s="185"/>
    </row>
    <row r="12" spans="1:9" x14ac:dyDescent="0.25">
      <c r="A12" s="81" t="s">
        <v>301</v>
      </c>
      <c r="B12" s="185" t="s">
        <v>373</v>
      </c>
      <c r="C12" s="185"/>
      <c r="D12" s="185"/>
    </row>
    <row r="13" spans="1:9" x14ac:dyDescent="0.25">
      <c r="A13" s="81" t="s">
        <v>806</v>
      </c>
      <c r="B13" s="185">
        <v>1</v>
      </c>
      <c r="C13" s="185"/>
      <c r="D13" s="185"/>
    </row>
    <row r="14" spans="1:9" x14ac:dyDescent="0.25">
      <c r="A14" s="81" t="s">
        <v>305</v>
      </c>
      <c r="B14" s="185">
        <v>503</v>
      </c>
      <c r="C14" s="185"/>
      <c r="D14" s="185"/>
    </row>
    <row r="15" spans="1:9" x14ac:dyDescent="0.25">
      <c r="A15" s="81" t="s">
        <v>307</v>
      </c>
      <c r="B15" s="185" t="s">
        <v>504</v>
      </c>
      <c r="C15" s="185"/>
      <c r="D15" s="185"/>
    </row>
    <row r="16" spans="1:9" x14ac:dyDescent="0.25">
      <c r="A16" s="81" t="s">
        <v>825</v>
      </c>
      <c r="B16" s="185" t="s">
        <v>505</v>
      </c>
      <c r="C16" s="185"/>
      <c r="D16" s="185"/>
    </row>
    <row r="17" spans="1:4" x14ac:dyDescent="0.25">
      <c r="A17" s="81" t="s">
        <v>803</v>
      </c>
      <c r="B17" s="185"/>
      <c r="C17" s="185"/>
      <c r="D17" s="185"/>
    </row>
    <row r="18" spans="1:4" x14ac:dyDescent="0.25">
      <c r="A18" s="81" t="s">
        <v>313</v>
      </c>
      <c r="B18" s="188">
        <v>45135</v>
      </c>
      <c r="C18" s="185"/>
      <c r="D18" s="185"/>
    </row>
    <row r="19" spans="1:4" x14ac:dyDescent="0.25">
      <c r="A19" s="81" t="s">
        <v>315</v>
      </c>
      <c r="B19" s="188"/>
      <c r="C19" s="185"/>
      <c r="D19" s="185"/>
    </row>
    <row r="20" spans="1:4" x14ac:dyDescent="0.25">
      <c r="A20" s="81" t="s">
        <v>317</v>
      </c>
      <c r="B20" s="185" t="s">
        <v>331</v>
      </c>
      <c r="C20" s="185"/>
      <c r="D20" s="185"/>
    </row>
    <row r="21" spans="1:4" x14ac:dyDescent="0.25">
      <c r="A21" s="77" t="s">
        <v>323</v>
      </c>
      <c r="B21" s="185" t="s">
        <v>332</v>
      </c>
      <c r="C21" s="185"/>
      <c r="D21" s="185"/>
    </row>
    <row r="23" spans="1:4" x14ac:dyDescent="0.25">
      <c r="B23" s="102" t="str">
        <f>HYPERLINK("#'Factor List'!A1","Back to Factor List")</f>
        <v>Back to Factor List</v>
      </c>
    </row>
    <row r="24" spans="1:4" x14ac:dyDescent="0.25">
      <c r="B24" s="102" t="s">
        <v>13</v>
      </c>
    </row>
    <row r="25" spans="1:4" x14ac:dyDescent="0.25">
      <c r="B25" s="102"/>
    </row>
    <row r="26" spans="1:4" ht="37.5" customHeight="1" x14ac:dyDescent="0.25">
      <c r="A26" s="103" t="s">
        <v>373</v>
      </c>
      <c r="B26" s="103" t="s">
        <v>872</v>
      </c>
      <c r="C26" s="103" t="s">
        <v>870</v>
      </c>
      <c r="D26" s="103" t="s">
        <v>871</v>
      </c>
    </row>
    <row r="27" spans="1:4" x14ac:dyDescent="0.25">
      <c r="A27" s="104">
        <v>45</v>
      </c>
      <c r="B27" s="105"/>
      <c r="C27" s="105">
        <v>29.96</v>
      </c>
      <c r="D27" s="105"/>
    </row>
    <row r="28" spans="1:4" x14ac:dyDescent="0.25">
      <c r="A28" s="104">
        <v>46</v>
      </c>
      <c r="B28" s="105"/>
      <c r="C28" s="105">
        <v>29.45</v>
      </c>
      <c r="D28" s="105"/>
    </row>
    <row r="29" spans="1:4" x14ac:dyDescent="0.25">
      <c r="A29" s="104">
        <v>47</v>
      </c>
      <c r="B29" s="105"/>
      <c r="C29" s="105">
        <v>28.93</v>
      </c>
      <c r="D29" s="105"/>
    </row>
    <row r="30" spans="1:4" x14ac:dyDescent="0.25">
      <c r="A30" s="104">
        <v>48</v>
      </c>
      <c r="B30" s="105"/>
      <c r="C30" s="105">
        <v>28.4</v>
      </c>
      <c r="D30" s="105"/>
    </row>
    <row r="31" spans="1:4" x14ac:dyDescent="0.25">
      <c r="A31" s="104">
        <v>49</v>
      </c>
      <c r="B31" s="105"/>
      <c r="C31" s="105">
        <v>27.87</v>
      </c>
      <c r="D31" s="105"/>
    </row>
    <row r="32" spans="1:4" x14ac:dyDescent="0.25">
      <c r="A32" s="104">
        <v>50</v>
      </c>
      <c r="B32" s="105">
        <v>28.22</v>
      </c>
      <c r="C32" s="105">
        <v>27.33</v>
      </c>
      <c r="D32" s="105"/>
    </row>
    <row r="33" spans="1:4" x14ac:dyDescent="0.25">
      <c r="A33" s="104">
        <v>51</v>
      </c>
      <c r="B33" s="105">
        <v>27.68</v>
      </c>
      <c r="C33" s="105">
        <v>26.78</v>
      </c>
      <c r="D33" s="105"/>
    </row>
    <row r="34" spans="1:4" x14ac:dyDescent="0.25">
      <c r="A34" s="104">
        <v>52</v>
      </c>
      <c r="B34" s="105">
        <v>27.13</v>
      </c>
      <c r="C34" s="105">
        <v>26.22</v>
      </c>
      <c r="D34" s="105"/>
    </row>
    <row r="35" spans="1:4" x14ac:dyDescent="0.25">
      <c r="A35" s="104">
        <v>53</v>
      </c>
      <c r="B35" s="105">
        <v>26.57</v>
      </c>
      <c r="C35" s="105">
        <v>25.66</v>
      </c>
      <c r="D35" s="105"/>
    </row>
    <row r="36" spans="1:4" x14ac:dyDescent="0.25">
      <c r="A36" s="104">
        <v>54</v>
      </c>
      <c r="B36" s="105">
        <v>26.01</v>
      </c>
      <c r="C36" s="105">
        <v>25.09</v>
      </c>
      <c r="D36" s="105"/>
    </row>
    <row r="37" spans="1:4" x14ac:dyDescent="0.25">
      <c r="A37" s="104">
        <v>55</v>
      </c>
      <c r="B37" s="105">
        <v>25.44</v>
      </c>
      <c r="C37" s="105">
        <v>24.51</v>
      </c>
      <c r="D37" s="105">
        <v>24.51</v>
      </c>
    </row>
    <row r="38" spans="1:4" x14ac:dyDescent="0.25">
      <c r="A38" s="104">
        <v>56</v>
      </c>
      <c r="B38" s="105">
        <v>24.86</v>
      </c>
      <c r="C38" s="105">
        <v>23.93</v>
      </c>
      <c r="D38" s="105">
        <v>23.93</v>
      </c>
    </row>
    <row r="39" spans="1:4" x14ac:dyDescent="0.25">
      <c r="A39" s="104">
        <v>57</v>
      </c>
      <c r="B39" s="105">
        <v>24.28</v>
      </c>
      <c r="C39" s="105">
        <v>23.34</v>
      </c>
      <c r="D39" s="105">
        <v>23.34</v>
      </c>
    </row>
    <row r="40" spans="1:4" x14ac:dyDescent="0.25">
      <c r="A40" s="104">
        <v>58</v>
      </c>
      <c r="B40" s="105">
        <v>23.69</v>
      </c>
      <c r="C40" s="105">
        <v>22.74</v>
      </c>
      <c r="D40" s="105">
        <v>22.74</v>
      </c>
    </row>
    <row r="41" spans="1:4" x14ac:dyDescent="0.25">
      <c r="A41" s="104">
        <v>59</v>
      </c>
      <c r="B41" s="105">
        <v>23.09</v>
      </c>
      <c r="C41" s="105">
        <v>22.14</v>
      </c>
      <c r="D41" s="105">
        <v>22.14</v>
      </c>
    </row>
    <row r="42" spans="1:4" x14ac:dyDescent="0.25">
      <c r="A42" s="104">
        <v>60</v>
      </c>
      <c r="B42" s="105">
        <v>22.49</v>
      </c>
      <c r="C42" s="105">
        <v>21.53</v>
      </c>
      <c r="D42" s="105">
        <v>21.53</v>
      </c>
    </row>
    <row r="43" spans="1:4" x14ac:dyDescent="0.25">
      <c r="A43" s="104">
        <v>61</v>
      </c>
      <c r="B43" s="105">
        <v>21.89</v>
      </c>
      <c r="C43" s="105">
        <v>20.92</v>
      </c>
      <c r="D43" s="105">
        <v>20.92</v>
      </c>
    </row>
    <row r="44" spans="1:4" x14ac:dyDescent="0.25">
      <c r="A44" s="104">
        <v>62</v>
      </c>
      <c r="B44" s="105">
        <v>21.27</v>
      </c>
      <c r="C44" s="105">
        <v>20.3</v>
      </c>
      <c r="D44" s="105">
        <v>20.3</v>
      </c>
    </row>
    <row r="45" spans="1:4" x14ac:dyDescent="0.25">
      <c r="A45" s="104">
        <v>63</v>
      </c>
      <c r="B45" s="105">
        <v>20.66</v>
      </c>
      <c r="C45" s="105">
        <v>19.68</v>
      </c>
      <c r="D45" s="105">
        <v>19.68</v>
      </c>
    </row>
    <row r="46" spans="1:4" x14ac:dyDescent="0.25">
      <c r="A46" s="104">
        <v>64</v>
      </c>
      <c r="B46" s="105">
        <v>20.04</v>
      </c>
      <c r="C46" s="105">
        <v>19.059999999999999</v>
      </c>
      <c r="D46" s="105">
        <v>19.059999999999999</v>
      </c>
    </row>
    <row r="47" spans="1:4" x14ac:dyDescent="0.25">
      <c r="A47" s="104">
        <v>65</v>
      </c>
      <c r="B47" s="105">
        <v>19.39</v>
      </c>
      <c r="C47" s="105">
        <v>18.440000000000001</v>
      </c>
      <c r="D47" s="105">
        <v>18.440000000000001</v>
      </c>
    </row>
    <row r="48" spans="1:4" x14ac:dyDescent="0.25">
      <c r="A48" s="104">
        <v>66</v>
      </c>
      <c r="B48" s="105">
        <v>18.73</v>
      </c>
      <c r="C48" s="105">
        <v>17.78</v>
      </c>
      <c r="D48" s="105">
        <v>17.78</v>
      </c>
    </row>
    <row r="49" spans="1:4" x14ac:dyDescent="0.25">
      <c r="A49" s="104">
        <v>67</v>
      </c>
      <c r="B49" s="105">
        <v>18.07</v>
      </c>
      <c r="C49" s="105">
        <v>17.12</v>
      </c>
      <c r="D49" s="105">
        <v>17.12</v>
      </c>
    </row>
    <row r="50" spans="1:4" x14ac:dyDescent="0.25">
      <c r="A50" s="104">
        <v>68</v>
      </c>
      <c r="B50" s="105">
        <v>17.41</v>
      </c>
      <c r="C50" s="105">
        <v>16.46</v>
      </c>
      <c r="D50" s="105">
        <v>16.46</v>
      </c>
    </row>
    <row r="51" spans="1:4" x14ac:dyDescent="0.25">
      <c r="A51" s="104">
        <v>69</v>
      </c>
      <c r="B51" s="105">
        <v>16.760000000000002</v>
      </c>
      <c r="C51" s="105">
        <v>15.81</v>
      </c>
      <c r="D51" s="105">
        <v>15.81</v>
      </c>
    </row>
    <row r="52" spans="1:4" x14ac:dyDescent="0.25">
      <c r="A52" s="104">
        <v>70</v>
      </c>
      <c r="B52" s="105">
        <v>16.059999999999999</v>
      </c>
      <c r="C52" s="105">
        <v>15.16</v>
      </c>
      <c r="D52" s="105">
        <v>15.16</v>
      </c>
    </row>
    <row r="53" spans="1:4" x14ac:dyDescent="0.25">
      <c r="A53" s="104">
        <v>71</v>
      </c>
      <c r="B53" s="105">
        <v>15.42</v>
      </c>
      <c r="C53" s="105">
        <v>14.52</v>
      </c>
      <c r="D53" s="105">
        <v>14.52</v>
      </c>
    </row>
    <row r="54" spans="1:4" x14ac:dyDescent="0.25">
      <c r="A54" s="104">
        <v>72</v>
      </c>
      <c r="B54" s="105">
        <v>14.77</v>
      </c>
      <c r="C54" s="105">
        <v>13.88</v>
      </c>
      <c r="D54" s="105">
        <v>13.88</v>
      </c>
    </row>
    <row r="55" spans="1:4" x14ac:dyDescent="0.25">
      <c r="A55" s="104">
        <v>73</v>
      </c>
      <c r="B55" s="105">
        <v>14.14</v>
      </c>
      <c r="C55" s="105">
        <v>13.25</v>
      </c>
      <c r="D55" s="105">
        <v>13.25</v>
      </c>
    </row>
    <row r="56" spans="1:4" x14ac:dyDescent="0.25">
      <c r="A56" s="104">
        <v>74</v>
      </c>
      <c r="B56" s="105">
        <v>13.5</v>
      </c>
      <c r="C56" s="105">
        <v>12.62</v>
      </c>
      <c r="D56" s="105">
        <v>12.62</v>
      </c>
    </row>
    <row r="57" spans="1:4" x14ac:dyDescent="0.25">
      <c r="A57" s="104">
        <v>75</v>
      </c>
      <c r="B57" s="105">
        <v>12.78</v>
      </c>
      <c r="C57" s="105">
        <v>12</v>
      </c>
      <c r="D57" s="105">
        <v>12</v>
      </c>
    </row>
    <row r="58" spans="1:4" x14ac:dyDescent="0.25">
      <c r="A58" s="104">
        <v>76</v>
      </c>
      <c r="B58" s="105">
        <v>12.15</v>
      </c>
      <c r="C58" s="105">
        <v>11.39</v>
      </c>
      <c r="D58" s="105">
        <v>11.39</v>
      </c>
    </row>
    <row r="59" spans="1:4" x14ac:dyDescent="0.25">
      <c r="A59" s="104">
        <v>77</v>
      </c>
      <c r="B59" s="105">
        <v>11.54</v>
      </c>
      <c r="C59" s="105">
        <v>10.78</v>
      </c>
      <c r="D59" s="105">
        <v>10.78</v>
      </c>
    </row>
    <row r="60" spans="1:4" x14ac:dyDescent="0.25">
      <c r="A60" s="104">
        <v>78</v>
      </c>
      <c r="B60" s="105">
        <v>10.93</v>
      </c>
      <c r="C60" s="105">
        <v>10.19</v>
      </c>
      <c r="D60" s="105">
        <v>10.19</v>
      </c>
    </row>
    <row r="61" spans="1:4" x14ac:dyDescent="0.25">
      <c r="A61" s="104">
        <v>79</v>
      </c>
      <c r="B61" s="105">
        <v>10.33</v>
      </c>
      <c r="C61" s="105">
        <v>9.61</v>
      </c>
      <c r="D61" s="105">
        <v>9.61</v>
      </c>
    </row>
    <row r="62" spans="1:4" x14ac:dyDescent="0.25">
      <c r="A62" s="104">
        <v>80</v>
      </c>
      <c r="B62" s="105">
        <v>9.64</v>
      </c>
      <c r="C62" s="105">
        <v>9.0399999999999991</v>
      </c>
      <c r="D62" s="105">
        <v>9.0399999999999991</v>
      </c>
    </row>
    <row r="63" spans="1:4" x14ac:dyDescent="0.25">
      <c r="A63" s="104">
        <v>81</v>
      </c>
      <c r="B63" s="105">
        <v>9.07</v>
      </c>
      <c r="C63" s="105">
        <v>8.49</v>
      </c>
      <c r="D63" s="105">
        <v>8.49</v>
      </c>
    </row>
    <row r="64" spans="1:4" x14ac:dyDescent="0.25">
      <c r="A64" s="104">
        <v>82</v>
      </c>
      <c r="B64" s="105">
        <v>8.52</v>
      </c>
      <c r="C64" s="105">
        <v>7.96</v>
      </c>
      <c r="D64" s="105">
        <v>7.96</v>
      </c>
    </row>
    <row r="65" spans="1:4" x14ac:dyDescent="0.25">
      <c r="A65" s="104">
        <v>83</v>
      </c>
      <c r="B65" s="105">
        <v>7.99</v>
      </c>
      <c r="C65" s="105">
        <v>7.45</v>
      </c>
      <c r="D65" s="105">
        <v>7.45</v>
      </c>
    </row>
    <row r="66" spans="1:4" x14ac:dyDescent="0.25">
      <c r="A66" s="104">
        <v>84</v>
      </c>
      <c r="B66" s="105">
        <v>7.48</v>
      </c>
      <c r="C66" s="105">
        <v>6.96</v>
      </c>
      <c r="D66" s="105">
        <v>6.96</v>
      </c>
    </row>
    <row r="67" spans="1:4" x14ac:dyDescent="0.25">
      <c r="A67" s="104">
        <v>85</v>
      </c>
      <c r="B67" s="105">
        <v>6.88</v>
      </c>
      <c r="C67" s="105">
        <v>6.49</v>
      </c>
      <c r="D67" s="105">
        <v>6.49</v>
      </c>
    </row>
    <row r="68" spans="1:4" x14ac:dyDescent="0.25">
      <c r="A68" s="104">
        <v>86</v>
      </c>
      <c r="B68" s="105">
        <v>6.41</v>
      </c>
      <c r="C68" s="105">
        <v>6.03</v>
      </c>
      <c r="D68" s="105">
        <v>6.03</v>
      </c>
    </row>
    <row r="69" spans="1:4" x14ac:dyDescent="0.25">
      <c r="A69" s="104">
        <v>87</v>
      </c>
      <c r="B69" s="105">
        <v>5.96</v>
      </c>
      <c r="C69" s="105">
        <v>5.6</v>
      </c>
      <c r="D69" s="105">
        <v>5.6</v>
      </c>
    </row>
    <row r="70" spans="1:4" x14ac:dyDescent="0.25">
      <c r="A70" s="104">
        <v>88</v>
      </c>
      <c r="B70" s="105">
        <v>5.54</v>
      </c>
      <c r="C70" s="105">
        <v>5.19</v>
      </c>
      <c r="D70" s="105">
        <v>5.19</v>
      </c>
    </row>
    <row r="71" spans="1:4" x14ac:dyDescent="0.25">
      <c r="A71" s="104">
        <v>89</v>
      </c>
      <c r="B71" s="105">
        <v>5.14</v>
      </c>
      <c r="C71" s="105">
        <v>4.8099999999999996</v>
      </c>
      <c r="D71" s="105">
        <v>4.8099999999999996</v>
      </c>
    </row>
    <row r="72" spans="1:4" x14ac:dyDescent="0.25">
      <c r="A72" s="104">
        <v>90</v>
      </c>
      <c r="B72" s="105">
        <v>4.6500000000000004</v>
      </c>
      <c r="C72" s="105">
        <v>4.4400000000000004</v>
      </c>
      <c r="D72" s="105">
        <v>4.4400000000000004</v>
      </c>
    </row>
  </sheetData>
  <sheetProtection algorithmName="SHA-512" hashValue="giyX2EiX+nkI+Dm66Is+Djhwml+Ennlr7PWzXFXdNJ/Bev4XITJSxHCOQJSH4NkjfSM2JkR4tSc6qb+eaFhsQw==" saltValue="QT1IwLHfgIC6aNnC5hcOnQ==" spinCount="100000" sheet="1" objects="1" scenarios="1"/>
  <conditionalFormatting sqref="A6:A21">
    <cfRule type="expression" dxfId="851" priority="1" stopIfTrue="1">
      <formula>MOD(ROW(),2)=0</formula>
    </cfRule>
    <cfRule type="expression" dxfId="850" priority="2" stopIfTrue="1">
      <formula>MOD(ROW(),2)&lt;&gt;0</formula>
    </cfRule>
  </conditionalFormatting>
  <conditionalFormatting sqref="A26:A72">
    <cfRule type="expression" dxfId="849" priority="9" stopIfTrue="1">
      <formula>MOD(ROW(),2)=0</formula>
    </cfRule>
    <cfRule type="expression" dxfId="848" priority="10" stopIfTrue="1">
      <formula>MOD(ROW(),2)&lt;&gt;0</formula>
    </cfRule>
  </conditionalFormatting>
  <conditionalFormatting sqref="B9">
    <cfRule type="expression" dxfId="847" priority="19" stopIfTrue="1">
      <formula>MOD(ROW(),2)=0</formula>
    </cfRule>
    <cfRule type="expression" dxfId="846" priority="20" stopIfTrue="1">
      <formula>MOD(ROW(),2)&lt;&gt;0</formula>
    </cfRule>
  </conditionalFormatting>
  <conditionalFormatting sqref="B17:B21">
    <cfRule type="expression" dxfId="845" priority="5" stopIfTrue="1">
      <formula>MOD(ROW(),2)=0</formula>
    </cfRule>
    <cfRule type="expression" dxfId="844" priority="6" stopIfTrue="1">
      <formula>MOD(ROW(),2)&lt;&gt;0</formula>
    </cfRule>
  </conditionalFormatting>
  <conditionalFormatting sqref="B6:D21">
    <cfRule type="expression" dxfId="843" priority="31" stopIfTrue="1">
      <formula>MOD(ROW(),2)=0</formula>
    </cfRule>
    <cfRule type="expression" dxfId="842" priority="32" stopIfTrue="1">
      <formula>MOD(ROW(),2)&lt;&gt;0</formula>
    </cfRule>
  </conditionalFormatting>
  <conditionalFormatting sqref="B26:D72">
    <cfRule type="expression" dxfId="841" priority="11" stopIfTrue="1">
      <formula>MOD(ROW(),2)=0</formula>
    </cfRule>
    <cfRule type="expression" dxfId="840" priority="12" stopIfTrue="1">
      <formula>MOD(ROW(),2)&lt;&gt;0</formula>
    </cfRule>
  </conditionalFormatting>
  <hyperlinks>
    <hyperlink ref="B24" location="Sheet1!A1" display="Assumptions" xr:uid="{06B9FDEA-11CD-47ED-A331-B6D4DF7F240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4"/>
  <dimension ref="A1:I77"/>
  <sheetViews>
    <sheetView showGridLines="0" zoomScale="85" zoomScaleNormal="85" workbookViewId="0">
      <selection activeCell="A4" sqref="A4"/>
    </sheetView>
  </sheetViews>
  <sheetFormatPr defaultColWidth="10" defaultRowHeight="13.2" x14ac:dyDescent="0.25"/>
  <cols>
    <col min="1" max="1" width="42.21875" style="27" customWidth="1"/>
    <col min="2" max="2" width="22.5546875" style="27" customWidth="1"/>
    <col min="3" max="3" width="23.77734375" style="27" customWidth="1"/>
    <col min="4" max="5" width="22.5546875" style="27" customWidth="1"/>
    <col min="6" max="6" width="22.44140625" style="27" customWidth="1"/>
    <col min="7"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Inverse Comm - x-504</v>
      </c>
      <c r="B3" s="42"/>
      <c r="C3" s="42"/>
      <c r="D3" s="42"/>
      <c r="E3" s="42"/>
      <c r="F3" s="42"/>
      <c r="G3" s="42"/>
      <c r="H3" s="42"/>
      <c r="I3" s="42"/>
    </row>
    <row r="4" spans="1:9" x14ac:dyDescent="0.25">
      <c r="A4" s="44"/>
    </row>
    <row r="6" spans="1:9" x14ac:dyDescent="0.25">
      <c r="A6" s="87" t="s">
        <v>290</v>
      </c>
      <c r="B6" s="185" t="s">
        <v>291</v>
      </c>
      <c r="C6" s="185"/>
      <c r="D6" s="185"/>
      <c r="E6" s="185"/>
    </row>
    <row r="7" spans="1:9" x14ac:dyDescent="0.25">
      <c r="A7" s="81" t="s">
        <v>804</v>
      </c>
      <c r="B7" s="185" t="s">
        <v>345</v>
      </c>
      <c r="C7" s="185"/>
      <c r="D7" s="185"/>
      <c r="E7" s="185"/>
    </row>
    <row r="8" spans="1:9" x14ac:dyDescent="0.25">
      <c r="A8" s="81" t="s">
        <v>805</v>
      </c>
      <c r="B8" s="185" t="s">
        <v>86</v>
      </c>
      <c r="C8" s="185"/>
      <c r="D8" s="185"/>
      <c r="E8" s="185"/>
    </row>
    <row r="9" spans="1:9" x14ac:dyDescent="0.25">
      <c r="A9" s="81" t="s">
        <v>296</v>
      </c>
      <c r="B9" s="185" t="s">
        <v>506</v>
      </c>
      <c r="C9" s="185"/>
      <c r="D9" s="185"/>
      <c r="E9" s="185"/>
    </row>
    <row r="10" spans="1:9" ht="16.5" customHeight="1" x14ac:dyDescent="0.25">
      <c r="A10" s="81" t="s">
        <v>6</v>
      </c>
      <c r="B10" s="185" t="s">
        <v>507</v>
      </c>
      <c r="C10" s="185"/>
      <c r="D10" s="185"/>
      <c r="E10" s="185"/>
    </row>
    <row r="11" spans="1:9" x14ac:dyDescent="0.25">
      <c r="A11" s="81" t="s">
        <v>299</v>
      </c>
      <c r="B11" s="185" t="s">
        <v>327</v>
      </c>
      <c r="C11" s="185"/>
      <c r="D11" s="185"/>
      <c r="E11" s="185"/>
    </row>
    <row r="12" spans="1:9" x14ac:dyDescent="0.25">
      <c r="A12" s="81" t="s">
        <v>301</v>
      </c>
      <c r="B12" s="185" t="s">
        <v>508</v>
      </c>
      <c r="C12" s="185"/>
      <c r="D12" s="185"/>
      <c r="E12" s="185"/>
    </row>
    <row r="13" spans="1:9" x14ac:dyDescent="0.25">
      <c r="A13" s="81" t="s">
        <v>806</v>
      </c>
      <c r="B13" s="185">
        <v>1</v>
      </c>
      <c r="C13" s="185"/>
      <c r="D13" s="185"/>
      <c r="E13" s="185"/>
    </row>
    <row r="14" spans="1:9" x14ac:dyDescent="0.25">
      <c r="A14" s="81" t="s">
        <v>305</v>
      </c>
      <c r="B14" s="185">
        <v>504</v>
      </c>
      <c r="C14" s="185"/>
      <c r="D14" s="185"/>
      <c r="E14" s="185"/>
    </row>
    <row r="15" spans="1:9" x14ac:dyDescent="0.25">
      <c r="A15" s="81" t="s">
        <v>307</v>
      </c>
      <c r="B15" s="185" t="s">
        <v>509</v>
      </c>
      <c r="C15" s="185"/>
      <c r="D15" s="185"/>
      <c r="E15" s="185"/>
    </row>
    <row r="16" spans="1:9" x14ac:dyDescent="0.25">
      <c r="A16" s="81" t="s">
        <v>825</v>
      </c>
      <c r="B16" s="185" t="s">
        <v>510</v>
      </c>
      <c r="C16" s="185"/>
      <c r="D16" s="185"/>
      <c r="E16" s="185"/>
    </row>
    <row r="17" spans="1:5" ht="34.5" customHeight="1" x14ac:dyDescent="0.25">
      <c r="A17" s="81" t="s">
        <v>803</v>
      </c>
      <c r="B17" s="185"/>
      <c r="C17" s="185"/>
      <c r="D17" s="185"/>
      <c r="E17" s="185"/>
    </row>
    <row r="18" spans="1:5" x14ac:dyDescent="0.25">
      <c r="A18" s="81" t="s">
        <v>313</v>
      </c>
      <c r="B18" s="188">
        <v>45135</v>
      </c>
      <c r="C18" s="185"/>
      <c r="D18" s="185"/>
      <c r="E18" s="185"/>
    </row>
    <row r="19" spans="1:5" x14ac:dyDescent="0.25">
      <c r="A19" s="81" t="s">
        <v>315</v>
      </c>
      <c r="B19" s="188"/>
      <c r="C19" s="185"/>
      <c r="D19" s="185"/>
      <c r="E19" s="185"/>
    </row>
    <row r="20" spans="1:5" x14ac:dyDescent="0.25">
      <c r="A20" s="81" t="s">
        <v>317</v>
      </c>
      <c r="B20" s="185" t="s">
        <v>331</v>
      </c>
      <c r="C20" s="185"/>
      <c r="D20" s="185"/>
      <c r="E20" s="185"/>
    </row>
    <row r="21" spans="1:5" x14ac:dyDescent="0.25">
      <c r="A21" s="77" t="s">
        <v>323</v>
      </c>
      <c r="B21" s="185" t="s">
        <v>332</v>
      </c>
      <c r="C21" s="185"/>
      <c r="D21" s="185"/>
      <c r="E21" s="185"/>
    </row>
    <row r="23" spans="1:5" x14ac:dyDescent="0.25">
      <c r="B23" s="102" t="str">
        <f>HYPERLINK("#'Factor List'!A1","Back to Factor List")</f>
        <v>Back to Factor List</v>
      </c>
    </row>
    <row r="24" spans="1:5" x14ac:dyDescent="0.25">
      <c r="B24" s="102" t="s">
        <v>13</v>
      </c>
    </row>
    <row r="25" spans="1:5" x14ac:dyDescent="0.25">
      <c r="B25" s="102"/>
    </row>
    <row r="26" spans="1:5" ht="39.6" x14ac:dyDescent="0.25">
      <c r="A26" s="83" t="s">
        <v>373</v>
      </c>
      <c r="B26" s="83" t="s">
        <v>873</v>
      </c>
      <c r="C26" s="83" t="s">
        <v>874</v>
      </c>
      <c r="D26" s="83" t="s">
        <v>875</v>
      </c>
      <c r="E26" s="83" t="s">
        <v>876</v>
      </c>
    </row>
    <row r="27" spans="1:5" x14ac:dyDescent="0.25">
      <c r="A27" s="83" t="s">
        <v>877</v>
      </c>
      <c r="B27" s="83"/>
      <c r="C27" s="83"/>
      <c r="D27" s="83"/>
      <c r="E27" s="83"/>
    </row>
    <row r="28" spans="1:5" x14ac:dyDescent="0.25">
      <c r="A28" s="84" t="s">
        <v>878</v>
      </c>
      <c r="B28" s="85">
        <v>3.68</v>
      </c>
      <c r="C28" s="85">
        <v>3.68</v>
      </c>
      <c r="D28" s="85">
        <v>3.46</v>
      </c>
      <c r="E28" s="85">
        <v>3.46</v>
      </c>
    </row>
    <row r="29" spans="1:5" x14ac:dyDescent="0.25">
      <c r="A29" s="84" t="s">
        <v>879</v>
      </c>
      <c r="B29" s="85">
        <v>3.72</v>
      </c>
      <c r="C29" s="85">
        <v>3.72</v>
      </c>
      <c r="D29" s="85">
        <v>3.49</v>
      </c>
      <c r="E29" s="85">
        <v>3.49</v>
      </c>
    </row>
    <row r="30" spans="1:5" x14ac:dyDescent="0.25">
      <c r="A30" s="84" t="s">
        <v>880</v>
      </c>
      <c r="B30" s="85">
        <v>3.76</v>
      </c>
      <c r="C30" s="85">
        <v>3.76</v>
      </c>
      <c r="D30" s="85">
        <v>3.52</v>
      </c>
      <c r="E30" s="85">
        <v>3.52</v>
      </c>
    </row>
    <row r="31" spans="1:5" x14ac:dyDescent="0.25">
      <c r="A31" s="84" t="s">
        <v>881</v>
      </c>
      <c r="B31" s="85">
        <v>3.8</v>
      </c>
      <c r="C31" s="85">
        <v>3.8</v>
      </c>
      <c r="D31" s="85">
        <v>3.55</v>
      </c>
      <c r="E31" s="85">
        <v>3.55</v>
      </c>
    </row>
    <row r="32" spans="1:5" x14ac:dyDescent="0.25">
      <c r="A32" s="84" t="s">
        <v>882</v>
      </c>
      <c r="B32" s="85">
        <v>3.84</v>
      </c>
      <c r="C32" s="85">
        <v>3.84</v>
      </c>
      <c r="D32" s="85">
        <v>3.59</v>
      </c>
      <c r="E32" s="85">
        <v>3.59</v>
      </c>
    </row>
    <row r="33" spans="1:5" x14ac:dyDescent="0.25">
      <c r="A33" s="84" t="s">
        <v>883</v>
      </c>
      <c r="B33" s="85">
        <v>3.88</v>
      </c>
      <c r="C33" s="85">
        <v>3.88</v>
      </c>
      <c r="D33" s="85">
        <v>3.63</v>
      </c>
      <c r="E33" s="85">
        <v>3.63</v>
      </c>
    </row>
    <row r="34" spans="1:5" x14ac:dyDescent="0.25">
      <c r="A34" s="84" t="s">
        <v>884</v>
      </c>
      <c r="B34" s="85">
        <v>3.92</v>
      </c>
      <c r="C34" s="85">
        <v>3.92</v>
      </c>
      <c r="D34" s="85">
        <v>3.66</v>
      </c>
      <c r="E34" s="85">
        <v>3.66</v>
      </c>
    </row>
    <row r="35" spans="1:5" x14ac:dyDescent="0.25">
      <c r="A35" s="84" t="s">
        <v>885</v>
      </c>
      <c r="B35" s="85">
        <v>3.97</v>
      </c>
      <c r="C35" s="85">
        <v>3.97</v>
      </c>
      <c r="D35" s="85">
        <v>3.7</v>
      </c>
      <c r="E35" s="85">
        <v>3.7</v>
      </c>
    </row>
    <row r="36" spans="1:5" x14ac:dyDescent="0.25">
      <c r="A36" s="84" t="s">
        <v>886</v>
      </c>
      <c r="B36" s="85">
        <v>4.01</v>
      </c>
      <c r="C36" s="85">
        <v>4.01</v>
      </c>
      <c r="D36" s="85">
        <v>3.74</v>
      </c>
      <c r="E36" s="85">
        <v>3.74</v>
      </c>
    </row>
    <row r="37" spans="1:5" x14ac:dyDescent="0.25">
      <c r="A37" s="84" t="s">
        <v>887</v>
      </c>
      <c r="B37" s="85">
        <v>4.0599999999999996</v>
      </c>
      <c r="C37" s="85">
        <v>4.0599999999999996</v>
      </c>
      <c r="D37" s="85">
        <v>3.78</v>
      </c>
      <c r="E37" s="85">
        <v>3.78</v>
      </c>
    </row>
    <row r="38" spans="1:5" x14ac:dyDescent="0.25">
      <c r="A38" s="84" t="s">
        <v>888</v>
      </c>
      <c r="B38" s="85">
        <v>4.1100000000000003</v>
      </c>
      <c r="C38" s="85">
        <v>4.1100000000000003</v>
      </c>
      <c r="D38" s="85">
        <v>3.82</v>
      </c>
      <c r="E38" s="85">
        <v>3.82</v>
      </c>
    </row>
    <row r="39" spans="1:5" x14ac:dyDescent="0.25">
      <c r="A39" s="84" t="s">
        <v>889</v>
      </c>
      <c r="B39" s="85">
        <v>4.16</v>
      </c>
      <c r="C39" s="85">
        <v>4.16</v>
      </c>
      <c r="D39" s="85">
        <v>3.86</v>
      </c>
      <c r="E39" s="85">
        <v>3.86</v>
      </c>
    </row>
    <row r="40" spans="1:5" x14ac:dyDescent="0.25">
      <c r="A40" s="84" t="s">
        <v>890</v>
      </c>
      <c r="B40" s="85">
        <v>4.21</v>
      </c>
      <c r="C40" s="85">
        <v>4.21</v>
      </c>
      <c r="D40" s="85">
        <v>3.91</v>
      </c>
      <c r="E40" s="85">
        <v>3.91</v>
      </c>
    </row>
    <row r="41" spans="1:5" x14ac:dyDescent="0.25">
      <c r="A41" s="84" t="s">
        <v>891</v>
      </c>
      <c r="B41" s="85">
        <v>4.26</v>
      </c>
      <c r="C41" s="85">
        <v>4.26</v>
      </c>
      <c r="D41" s="85">
        <v>3.95</v>
      </c>
      <c r="E41" s="85">
        <v>3.95</v>
      </c>
    </row>
    <row r="42" spans="1:5" x14ac:dyDescent="0.25">
      <c r="A42" s="84" t="s">
        <v>892</v>
      </c>
      <c r="B42" s="85">
        <v>4.32</v>
      </c>
      <c r="C42" s="85">
        <v>4.32</v>
      </c>
      <c r="D42" s="85">
        <v>4</v>
      </c>
      <c r="E42" s="85">
        <v>4</v>
      </c>
    </row>
    <row r="43" spans="1:5" x14ac:dyDescent="0.25">
      <c r="A43" s="84" t="s">
        <v>893</v>
      </c>
      <c r="B43" s="85">
        <v>4.38</v>
      </c>
      <c r="C43" s="85">
        <v>4.38</v>
      </c>
      <c r="D43" s="85">
        <v>4.04</v>
      </c>
      <c r="E43" s="85">
        <v>4.04</v>
      </c>
    </row>
    <row r="44" spans="1:5" x14ac:dyDescent="0.25">
      <c r="A44" s="84" t="s">
        <v>894</v>
      </c>
      <c r="B44" s="85">
        <v>4.43</v>
      </c>
      <c r="C44" s="85">
        <v>4.43</v>
      </c>
      <c r="D44" s="85">
        <v>4.09</v>
      </c>
      <c r="E44" s="85">
        <v>4.09</v>
      </c>
    </row>
    <row r="45" spans="1:5" x14ac:dyDescent="0.25">
      <c r="A45" s="84" t="s">
        <v>895</v>
      </c>
      <c r="B45" s="85">
        <v>4.5</v>
      </c>
      <c r="C45" s="85">
        <v>4.5</v>
      </c>
      <c r="D45" s="85">
        <v>4.1399999999999997</v>
      </c>
      <c r="E45" s="85">
        <v>4.1399999999999997</v>
      </c>
    </row>
    <row r="46" spans="1:5" x14ac:dyDescent="0.25">
      <c r="A46" s="84" t="s">
        <v>896</v>
      </c>
      <c r="B46" s="85">
        <v>4.5599999999999996</v>
      </c>
      <c r="C46" s="85">
        <v>4.5599999999999996</v>
      </c>
      <c r="D46" s="85">
        <v>4.1900000000000004</v>
      </c>
      <c r="E46" s="85">
        <v>4.1900000000000004</v>
      </c>
    </row>
    <row r="47" spans="1:5" x14ac:dyDescent="0.25">
      <c r="A47" s="84" t="s">
        <v>897</v>
      </c>
      <c r="B47" s="85">
        <v>4.62</v>
      </c>
      <c r="C47" s="85">
        <v>4.62</v>
      </c>
      <c r="D47" s="85">
        <v>4.25</v>
      </c>
      <c r="E47" s="85">
        <v>4.25</v>
      </c>
    </row>
    <row r="48" spans="1:5" x14ac:dyDescent="0.25">
      <c r="A48" s="84" t="s">
        <v>898</v>
      </c>
      <c r="B48" s="85">
        <v>4.6900000000000004</v>
      </c>
      <c r="C48" s="85">
        <v>4.6900000000000004</v>
      </c>
      <c r="D48" s="85">
        <v>4.3</v>
      </c>
      <c r="E48" s="85">
        <v>4.3</v>
      </c>
    </row>
    <row r="49" spans="1:5" x14ac:dyDescent="0.25">
      <c r="A49" s="84" t="s">
        <v>899</v>
      </c>
      <c r="B49" s="85">
        <v>4.76</v>
      </c>
      <c r="C49" s="85">
        <v>4.76</v>
      </c>
      <c r="D49" s="85">
        <v>4.3600000000000003</v>
      </c>
      <c r="E49" s="85">
        <v>4.3600000000000003</v>
      </c>
    </row>
    <row r="50" spans="1:5" x14ac:dyDescent="0.25">
      <c r="A50" s="84" t="s">
        <v>900</v>
      </c>
      <c r="B50" s="85">
        <v>4.83</v>
      </c>
      <c r="C50" s="85">
        <v>4.83</v>
      </c>
      <c r="D50" s="85">
        <v>4.42</v>
      </c>
      <c r="E50" s="85">
        <v>4.42</v>
      </c>
    </row>
    <row r="51" spans="1:5" x14ac:dyDescent="0.25">
      <c r="A51" s="84" t="s">
        <v>901</v>
      </c>
      <c r="B51" s="85">
        <v>4.9000000000000004</v>
      </c>
      <c r="C51" s="85">
        <v>4.9000000000000004</v>
      </c>
      <c r="D51" s="85">
        <v>4.4800000000000004</v>
      </c>
      <c r="E51" s="85">
        <v>4.4800000000000004</v>
      </c>
    </row>
    <row r="52" spans="1:5" x14ac:dyDescent="0.25">
      <c r="A52" s="84" t="s">
        <v>902</v>
      </c>
      <c r="B52" s="85">
        <v>4.9800000000000004</v>
      </c>
      <c r="C52" s="85">
        <v>4.9800000000000004</v>
      </c>
      <c r="D52" s="85">
        <v>4.54</v>
      </c>
      <c r="E52" s="85">
        <v>4.54</v>
      </c>
    </row>
    <row r="53" spans="1:5" x14ac:dyDescent="0.25">
      <c r="A53" s="84" t="s">
        <v>903</v>
      </c>
      <c r="B53" s="85">
        <v>5.0599999999999996</v>
      </c>
      <c r="C53" s="85">
        <v>5.0599999999999996</v>
      </c>
      <c r="D53" s="85">
        <v>4.6100000000000003</v>
      </c>
      <c r="E53" s="85">
        <v>4.6100000000000003</v>
      </c>
    </row>
    <row r="54" spans="1:5" x14ac:dyDescent="0.25">
      <c r="A54" s="84" t="s">
        <v>904</v>
      </c>
      <c r="B54" s="85">
        <v>5.14</v>
      </c>
      <c r="C54" s="85">
        <v>5.14</v>
      </c>
      <c r="D54" s="85">
        <v>4.68</v>
      </c>
      <c r="E54" s="85">
        <v>4.68</v>
      </c>
    </row>
    <row r="55" spans="1:5" x14ac:dyDescent="0.25">
      <c r="A55" s="84" t="s">
        <v>905</v>
      </c>
      <c r="B55" s="85">
        <v>5.23</v>
      </c>
      <c r="C55" s="85">
        <v>5.23</v>
      </c>
      <c r="D55" s="85">
        <v>4.75</v>
      </c>
      <c r="E55" s="85">
        <v>4.75</v>
      </c>
    </row>
    <row r="56" spans="1:5" x14ac:dyDescent="0.25">
      <c r="A56" s="84" t="s">
        <v>906</v>
      </c>
      <c r="B56" s="85">
        <v>5.31</v>
      </c>
      <c r="C56" s="85">
        <v>5.31</v>
      </c>
      <c r="D56" s="85">
        <v>4.82</v>
      </c>
      <c r="E56" s="85">
        <v>4.82</v>
      </c>
    </row>
    <row r="57" spans="1:5" x14ac:dyDescent="0.25">
      <c r="A57" s="84" t="s">
        <v>907</v>
      </c>
      <c r="B57" s="85">
        <v>5.4</v>
      </c>
      <c r="C57" s="85">
        <v>5.4</v>
      </c>
      <c r="D57" s="85">
        <v>4.8899999999999997</v>
      </c>
      <c r="E57" s="85">
        <v>4.8899999999999997</v>
      </c>
    </row>
    <row r="58" spans="1:5" x14ac:dyDescent="0.25">
      <c r="A58" s="84" t="s">
        <v>908</v>
      </c>
      <c r="B58" s="85">
        <v>5.5</v>
      </c>
      <c r="C58" s="85">
        <v>5.5</v>
      </c>
      <c r="D58" s="85">
        <v>4.97</v>
      </c>
      <c r="E58" s="85">
        <v>4.97</v>
      </c>
    </row>
    <row r="59" spans="1:5" x14ac:dyDescent="0.25">
      <c r="A59" s="84" t="s">
        <v>909</v>
      </c>
      <c r="B59" s="85">
        <v>5.6</v>
      </c>
      <c r="C59" s="85">
        <v>5.6</v>
      </c>
      <c r="D59" s="85">
        <v>5.05</v>
      </c>
      <c r="E59" s="85">
        <v>5.05</v>
      </c>
    </row>
    <row r="60" spans="1:5" x14ac:dyDescent="0.25">
      <c r="A60" s="84" t="s">
        <v>910</v>
      </c>
      <c r="B60" s="85">
        <v>5.7</v>
      </c>
      <c r="C60" s="85">
        <v>5.7</v>
      </c>
      <c r="D60" s="85">
        <v>5.13</v>
      </c>
      <c r="E60" s="85">
        <v>5.13</v>
      </c>
    </row>
    <row r="61" spans="1:5" x14ac:dyDescent="0.25">
      <c r="A61" s="84" t="s">
        <v>911</v>
      </c>
      <c r="B61" s="85">
        <v>5.8</v>
      </c>
      <c r="C61" s="85">
        <v>5.8</v>
      </c>
      <c r="D61" s="85">
        <v>5.22</v>
      </c>
      <c r="E61" s="85">
        <v>5.22</v>
      </c>
    </row>
    <row r="62" spans="1:5" x14ac:dyDescent="0.25">
      <c r="A62" s="84" t="s">
        <v>912</v>
      </c>
      <c r="B62" s="85">
        <v>5.91</v>
      </c>
      <c r="C62" s="85">
        <v>5.91</v>
      </c>
      <c r="D62" s="85">
        <v>5.3</v>
      </c>
      <c r="E62" s="85">
        <v>5.3</v>
      </c>
    </row>
    <row r="63" spans="1:5" x14ac:dyDescent="0.25">
      <c r="A63" s="84" t="s">
        <v>913</v>
      </c>
      <c r="B63" s="85">
        <v>6.03</v>
      </c>
      <c r="C63" s="85">
        <v>6.03</v>
      </c>
      <c r="D63" s="85">
        <v>5.4</v>
      </c>
      <c r="E63" s="85">
        <v>5.4</v>
      </c>
    </row>
    <row r="64" spans="1:5" x14ac:dyDescent="0.25">
      <c r="A64" s="84" t="s">
        <v>914</v>
      </c>
      <c r="B64" s="85">
        <v>6.14</v>
      </c>
      <c r="C64" s="85">
        <v>6.14</v>
      </c>
      <c r="D64" s="85">
        <v>5.49</v>
      </c>
      <c r="E64" s="85">
        <v>5.49</v>
      </c>
    </row>
    <row r="65" spans="1:5" x14ac:dyDescent="0.25">
      <c r="A65" s="84" t="s">
        <v>915</v>
      </c>
      <c r="B65" s="85">
        <v>6.27</v>
      </c>
      <c r="C65" s="85">
        <v>6.27</v>
      </c>
      <c r="D65" s="85">
        <v>5.59</v>
      </c>
      <c r="E65" s="85">
        <v>5.59</v>
      </c>
    </row>
    <row r="66" spans="1:5" x14ac:dyDescent="0.25">
      <c r="A66" s="84" t="s">
        <v>916</v>
      </c>
      <c r="B66" s="85">
        <v>6.4</v>
      </c>
      <c r="C66" s="85">
        <v>6.4</v>
      </c>
      <c r="D66" s="85">
        <v>5.69</v>
      </c>
      <c r="E66" s="85">
        <v>5.69</v>
      </c>
    </row>
    <row r="67" spans="1:5" x14ac:dyDescent="0.25">
      <c r="A67" s="84" t="s">
        <v>917</v>
      </c>
      <c r="B67" s="85">
        <v>6.53</v>
      </c>
      <c r="C67" s="85">
        <v>6.53</v>
      </c>
      <c r="D67" s="85">
        <v>5.8</v>
      </c>
      <c r="E67" s="85">
        <v>5.8</v>
      </c>
    </row>
    <row r="68" spans="1:5" x14ac:dyDescent="0.25">
      <c r="A68" s="84" t="s">
        <v>918</v>
      </c>
      <c r="B68" s="85">
        <v>6.67</v>
      </c>
      <c r="C68" s="85">
        <v>6.67</v>
      </c>
      <c r="D68" s="85">
        <v>5.91</v>
      </c>
      <c r="E68" s="85">
        <v>5.91</v>
      </c>
    </row>
    <row r="69" spans="1:5" x14ac:dyDescent="0.25">
      <c r="A69" s="84" t="s">
        <v>919</v>
      </c>
      <c r="B69" s="85">
        <v>6.81</v>
      </c>
      <c r="C69" s="85">
        <v>6.81</v>
      </c>
      <c r="D69" s="85">
        <v>6.03</v>
      </c>
      <c r="E69" s="85">
        <v>6.03</v>
      </c>
    </row>
    <row r="70" spans="1:5" x14ac:dyDescent="0.25">
      <c r="A70" s="84" t="s">
        <v>920</v>
      </c>
      <c r="B70" s="85">
        <v>6.97</v>
      </c>
      <c r="C70" s="85">
        <v>6.97</v>
      </c>
      <c r="D70" s="85">
        <v>6.15</v>
      </c>
      <c r="E70" s="85">
        <v>6.15</v>
      </c>
    </row>
    <row r="71" spans="1:5" x14ac:dyDescent="0.25">
      <c r="A71" s="84" t="s">
        <v>921</v>
      </c>
      <c r="B71" s="85">
        <v>7.12</v>
      </c>
      <c r="C71" s="85">
        <v>7.12</v>
      </c>
      <c r="D71" s="85">
        <v>6.27</v>
      </c>
      <c r="E71" s="85">
        <v>6.27</v>
      </c>
    </row>
    <row r="72" spans="1:5" x14ac:dyDescent="0.25">
      <c r="A72" s="84" t="s">
        <v>922</v>
      </c>
      <c r="B72" s="85">
        <v>7.29</v>
      </c>
      <c r="C72" s="85">
        <v>7.29</v>
      </c>
      <c r="D72" s="85">
        <v>6.4</v>
      </c>
      <c r="E72" s="85">
        <v>6.4</v>
      </c>
    </row>
    <row r="73" spans="1:5" x14ac:dyDescent="0.25">
      <c r="A73" s="84" t="s">
        <v>923</v>
      </c>
      <c r="B73" s="85">
        <v>7.46</v>
      </c>
      <c r="C73" s="85">
        <v>7.46</v>
      </c>
      <c r="D73" s="85">
        <v>6.54</v>
      </c>
      <c r="E73" s="85">
        <v>6.54</v>
      </c>
    </row>
    <row r="74" spans="1:5" x14ac:dyDescent="0.25">
      <c r="A74" s="84" t="s">
        <v>924</v>
      </c>
      <c r="B74" s="85">
        <v>7.64</v>
      </c>
      <c r="C74" s="85">
        <v>7.64</v>
      </c>
      <c r="D74" s="85">
        <v>6.68</v>
      </c>
      <c r="E74" s="85">
        <v>6.68</v>
      </c>
    </row>
    <row r="75" spans="1:5" x14ac:dyDescent="0.25">
      <c r="A75" s="84" t="s">
        <v>925</v>
      </c>
      <c r="B75" s="85">
        <v>7.83</v>
      </c>
      <c r="C75" s="85">
        <v>7.83</v>
      </c>
      <c r="D75" s="85">
        <v>6.83</v>
      </c>
      <c r="E75" s="85">
        <v>6.83</v>
      </c>
    </row>
    <row r="76" spans="1:5" x14ac:dyDescent="0.25">
      <c r="A76" s="84" t="s">
        <v>926</v>
      </c>
      <c r="B76" s="85">
        <v>8.02</v>
      </c>
      <c r="C76" s="85">
        <v>8.02</v>
      </c>
      <c r="D76" s="85">
        <v>6.98</v>
      </c>
      <c r="E76" s="85">
        <v>6.98</v>
      </c>
    </row>
    <row r="77" spans="1:5" x14ac:dyDescent="0.25">
      <c r="A77" s="84" t="s">
        <v>927</v>
      </c>
      <c r="B77" s="85">
        <v>8.23</v>
      </c>
      <c r="C77" s="85">
        <v>8.23</v>
      </c>
      <c r="D77" s="85">
        <v>7.14</v>
      </c>
      <c r="E77" s="85">
        <v>7.14</v>
      </c>
    </row>
  </sheetData>
  <sheetProtection algorithmName="SHA-512" hashValue="l51u+dUK22puHsHINfcUKimaKsucUeRgIPY1rL5dmcTDFBVUiN/DLJVYKba4e+shtkAfgas/Iuwpq6uoTdWtPw==" saltValue="CwaRBX6szN8SA8Lp2fMAwA==" spinCount="100000" sheet="1" objects="1" scenarios="1"/>
  <conditionalFormatting sqref="A6:A21">
    <cfRule type="expression" dxfId="839" priority="1" stopIfTrue="1">
      <formula>MOD(ROW(),2)=0</formula>
    </cfRule>
    <cfRule type="expression" dxfId="838" priority="2" stopIfTrue="1">
      <formula>MOD(ROW(),2)&lt;&gt;0</formula>
    </cfRule>
  </conditionalFormatting>
  <conditionalFormatting sqref="A26:A77">
    <cfRule type="expression" dxfId="837" priority="23" stopIfTrue="1">
      <formula>MOD(ROW(),2)=0</formula>
    </cfRule>
    <cfRule type="expression" dxfId="836" priority="24" stopIfTrue="1">
      <formula>MOD(ROW(),2)&lt;&gt;0</formula>
    </cfRule>
  </conditionalFormatting>
  <conditionalFormatting sqref="B18:B21">
    <cfRule type="expression" dxfId="835" priority="5" stopIfTrue="1">
      <formula>MOD(ROW(),2)=0</formula>
    </cfRule>
    <cfRule type="expression" dxfId="834" priority="6" stopIfTrue="1">
      <formula>MOD(ROW(),2)&lt;&gt;0</formula>
    </cfRule>
  </conditionalFormatting>
  <conditionalFormatting sqref="B6:E6 C7:E7 B8:E16 C18:E21">
    <cfRule type="expression" dxfId="833" priority="61" stopIfTrue="1">
      <formula>MOD(ROW(),2)=0</formula>
    </cfRule>
    <cfRule type="expression" dxfId="832" priority="62" stopIfTrue="1">
      <formula>MOD(ROW(),2)&lt;&gt;0</formula>
    </cfRule>
  </conditionalFormatting>
  <conditionalFormatting sqref="B6:E21">
    <cfRule type="expression" dxfId="831" priority="37" stopIfTrue="1">
      <formula>MOD(ROW(),2)=0</formula>
    </cfRule>
    <cfRule type="expression" dxfId="830" priority="38" stopIfTrue="1">
      <formula>MOD(ROW(),2)&lt;&gt;0</formula>
    </cfRule>
  </conditionalFormatting>
  <conditionalFormatting sqref="B17:E17">
    <cfRule type="expression" dxfId="829" priority="9" stopIfTrue="1">
      <formula>MOD(ROW(),2)=0</formula>
    </cfRule>
    <cfRule type="expression" dxfId="828" priority="10" stopIfTrue="1">
      <formula>MOD(ROW(),2)&lt;&gt;0</formula>
    </cfRule>
  </conditionalFormatting>
  <conditionalFormatting sqref="B26:E77">
    <cfRule type="expression" dxfId="827" priority="11" stopIfTrue="1">
      <formula>MOD(ROW(),2)=0</formula>
    </cfRule>
    <cfRule type="expression" dxfId="826" priority="12" stopIfTrue="1">
      <formula>MOD(ROW(),2)&lt;&gt;0</formula>
    </cfRule>
  </conditionalFormatting>
  <hyperlinks>
    <hyperlink ref="B24" location="Sheet1!A1" display="Assumptions" xr:uid="{893B0C57-1FD2-4A5B-A54E-F5EF5E848FD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48956-47EF-4FD2-B11A-8601FB024782}">
  <sheetPr codeName="Sheet100"/>
  <dimension ref="A1:I30"/>
  <sheetViews>
    <sheetView showGridLines="0" zoomScale="85" zoomScaleNormal="85" workbookViewId="0">
      <selection activeCell="A4" sqref="A4"/>
    </sheetView>
  </sheetViews>
  <sheetFormatPr defaultColWidth="10" defaultRowHeight="13.2" x14ac:dyDescent="0.25"/>
  <cols>
    <col min="1" max="1" width="28.21875" style="27" customWidth="1"/>
    <col min="2" max="2" width="22.5546875" style="27" customWidth="1"/>
    <col min="3" max="3" width="23.77734375" style="27" customWidth="1"/>
    <col min="4" max="5" width="22.5546875" style="27" customWidth="1"/>
    <col min="6" max="6" width="22.44140625" style="27" customWidth="1"/>
    <col min="7"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Inverse Comm - x-505</v>
      </c>
      <c r="B3" s="42"/>
      <c r="C3" s="42"/>
      <c r="D3" s="42"/>
      <c r="E3" s="42"/>
      <c r="F3" s="42"/>
      <c r="G3" s="42"/>
      <c r="H3" s="42"/>
      <c r="I3" s="42"/>
    </row>
    <row r="4" spans="1:9" x14ac:dyDescent="0.25">
      <c r="A4" s="44"/>
    </row>
    <row r="6" spans="1:9" x14ac:dyDescent="0.25">
      <c r="A6" s="87" t="s">
        <v>290</v>
      </c>
      <c r="B6" s="185" t="s">
        <v>291</v>
      </c>
      <c r="C6" s="88"/>
      <c r="D6" s="88"/>
      <c r="E6" s="88"/>
    </row>
    <row r="7" spans="1:9" x14ac:dyDescent="0.25">
      <c r="A7" s="81" t="s">
        <v>804</v>
      </c>
      <c r="B7" s="185" t="s">
        <v>345</v>
      </c>
      <c r="C7" s="82"/>
      <c r="D7" s="82"/>
      <c r="E7" s="82"/>
    </row>
    <row r="8" spans="1:9" x14ac:dyDescent="0.25">
      <c r="A8" s="81" t="s">
        <v>805</v>
      </c>
      <c r="B8" s="185" t="s">
        <v>86</v>
      </c>
      <c r="C8" s="82"/>
      <c r="D8" s="82"/>
      <c r="E8" s="82"/>
    </row>
    <row r="9" spans="1:9" x14ac:dyDescent="0.25">
      <c r="A9" s="81" t="s">
        <v>296</v>
      </c>
      <c r="B9" s="185" t="s">
        <v>506</v>
      </c>
      <c r="C9" s="82"/>
      <c r="D9" s="82"/>
      <c r="E9" s="82"/>
    </row>
    <row r="10" spans="1:9" ht="16.5" customHeight="1" x14ac:dyDescent="0.25">
      <c r="A10" s="81" t="s">
        <v>6</v>
      </c>
      <c r="B10" s="185" t="s">
        <v>511</v>
      </c>
      <c r="C10" s="82"/>
      <c r="D10" s="82"/>
      <c r="E10" s="82"/>
    </row>
    <row r="11" spans="1:9" x14ac:dyDescent="0.25">
      <c r="A11" s="81" t="s">
        <v>299</v>
      </c>
      <c r="B11" s="185" t="s">
        <v>364</v>
      </c>
      <c r="C11" s="82"/>
      <c r="D11" s="82"/>
      <c r="E11" s="82"/>
    </row>
    <row r="12" spans="1:9" x14ac:dyDescent="0.25">
      <c r="A12" s="81" t="s">
        <v>301</v>
      </c>
      <c r="B12" s="185" t="s">
        <v>508</v>
      </c>
      <c r="C12" s="82"/>
      <c r="D12" s="82"/>
      <c r="E12" s="82"/>
    </row>
    <row r="13" spans="1:9" x14ac:dyDescent="0.25">
      <c r="A13" s="81" t="s">
        <v>806</v>
      </c>
      <c r="B13" s="185">
        <v>1</v>
      </c>
      <c r="C13" s="82"/>
      <c r="D13" s="82"/>
      <c r="E13" s="82"/>
    </row>
    <row r="14" spans="1:9" x14ac:dyDescent="0.25">
      <c r="A14" s="81" t="s">
        <v>305</v>
      </c>
      <c r="B14" s="185">
        <v>505</v>
      </c>
      <c r="C14" s="82"/>
      <c r="D14" s="82"/>
      <c r="E14" s="82"/>
    </row>
    <row r="15" spans="1:9" x14ac:dyDescent="0.25">
      <c r="A15" s="81" t="s">
        <v>307</v>
      </c>
      <c r="B15" s="185" t="s">
        <v>512</v>
      </c>
      <c r="C15" s="82"/>
      <c r="D15" s="82"/>
      <c r="E15" s="82"/>
    </row>
    <row r="16" spans="1:9" x14ac:dyDescent="0.25">
      <c r="A16" s="81" t="s">
        <v>825</v>
      </c>
      <c r="B16" s="185" t="s">
        <v>513</v>
      </c>
      <c r="C16" s="82"/>
      <c r="D16" s="82"/>
      <c r="E16" s="82"/>
    </row>
    <row r="17" spans="1:5" ht="34.5" customHeight="1" x14ac:dyDescent="0.25">
      <c r="A17" s="81" t="s">
        <v>803</v>
      </c>
      <c r="B17" s="185"/>
      <c r="C17" s="82"/>
      <c r="D17" s="82"/>
      <c r="E17" s="82"/>
    </row>
    <row r="18" spans="1:5" x14ac:dyDescent="0.25">
      <c r="A18" s="81" t="s">
        <v>313</v>
      </c>
      <c r="B18" s="188">
        <v>45135</v>
      </c>
      <c r="C18" s="82"/>
      <c r="D18" s="82"/>
      <c r="E18" s="82"/>
    </row>
    <row r="19" spans="1:5" ht="26.4" x14ac:dyDescent="0.25">
      <c r="A19" s="81" t="s">
        <v>315</v>
      </c>
      <c r="B19" s="188"/>
      <c r="C19" s="82"/>
      <c r="D19" s="82"/>
      <c r="E19" s="82"/>
    </row>
    <row r="20" spans="1:5" x14ac:dyDescent="0.25">
      <c r="A20" s="81" t="s">
        <v>317</v>
      </c>
      <c r="B20" s="185" t="s">
        <v>331</v>
      </c>
      <c r="C20" s="82"/>
      <c r="D20" s="82"/>
      <c r="E20" s="82"/>
    </row>
    <row r="21" spans="1:5" x14ac:dyDescent="0.25">
      <c r="A21" s="77" t="s">
        <v>323</v>
      </c>
      <c r="B21" s="185" t="s">
        <v>332</v>
      </c>
      <c r="C21" s="82"/>
      <c r="D21" s="82"/>
      <c r="E21" s="82"/>
    </row>
    <row r="23" spans="1:5" x14ac:dyDescent="0.25">
      <c r="B23" s="102" t="str">
        <f>HYPERLINK("#'Factor List'!A1","Back to Factor List")</f>
        <v>Back to Factor List</v>
      </c>
    </row>
    <row r="24" spans="1:5" x14ac:dyDescent="0.25">
      <c r="B24" s="102" t="s">
        <v>13</v>
      </c>
    </row>
    <row r="25" spans="1:5" x14ac:dyDescent="0.25">
      <c r="B25" s="102"/>
    </row>
    <row r="26" spans="1:5" ht="26.4" x14ac:dyDescent="0.25">
      <c r="A26" s="83" t="s">
        <v>928</v>
      </c>
      <c r="B26" s="83" t="s">
        <v>929</v>
      </c>
    </row>
    <row r="27" spans="1:5" x14ac:dyDescent="0.25">
      <c r="A27" s="83" t="s">
        <v>930</v>
      </c>
      <c r="B27" s="165">
        <v>5.0000000000000001E-3</v>
      </c>
    </row>
    <row r="30" spans="1:5" ht="33.6" customHeight="1" x14ac:dyDescent="0.25">
      <c r="B30" s="204" t="s">
        <v>931</v>
      </c>
      <c r="C30" s="204"/>
      <c r="D30" s="204"/>
      <c r="E30" s="204"/>
    </row>
  </sheetData>
  <sheetProtection algorithmName="SHA-512" hashValue="n6hFnzb/rwpUScq1dX4FQoxfIc1Nwm1rXcXIqLsmEVwzOILEtvzh4Kbb7gFzA647wwy8L8jUn1E9J+5MgfYpoQ==" saltValue="mCT1c1AT5Xg48ROL2wR8Pw==" spinCount="100000" sheet="1" objects="1" scenarios="1"/>
  <mergeCells count="1">
    <mergeCell ref="B30:E30"/>
  </mergeCells>
  <conditionalFormatting sqref="A6:A21">
    <cfRule type="expression" dxfId="825" priority="1" stopIfTrue="1">
      <formula>MOD(ROW(),2)=0</formula>
    </cfRule>
    <cfRule type="expression" dxfId="824" priority="2" stopIfTrue="1">
      <formula>MOD(ROW(),2)&lt;&gt;0</formula>
    </cfRule>
  </conditionalFormatting>
  <conditionalFormatting sqref="A26:A27">
    <cfRule type="expression" dxfId="823" priority="21" stopIfTrue="1">
      <formula>MOD(ROW(),2)=0</formula>
    </cfRule>
    <cfRule type="expression" dxfId="822" priority="22" stopIfTrue="1">
      <formula>MOD(ROW(),2)&lt;&gt;0</formula>
    </cfRule>
  </conditionalFormatting>
  <conditionalFormatting sqref="B6:B21">
    <cfRule type="expression" dxfId="821" priority="27" stopIfTrue="1">
      <formula>MOD(ROW(),2)=0</formula>
    </cfRule>
    <cfRule type="expression" dxfId="820" priority="28" stopIfTrue="1">
      <formula>MOD(ROW(),2)&lt;&gt;0</formula>
    </cfRule>
  </conditionalFormatting>
  <conditionalFormatting sqref="B26:B27">
    <cfRule type="expression" dxfId="819" priority="17" stopIfTrue="1">
      <formula>MOD(ROW(),2)=0</formula>
    </cfRule>
    <cfRule type="expression" dxfId="818" priority="18" stopIfTrue="1">
      <formula>MOD(ROW(),2)&lt;&gt;0</formula>
    </cfRule>
  </conditionalFormatting>
  <conditionalFormatting sqref="B6:E6 B8:E16 C7:E7">
    <cfRule type="expression" dxfId="817" priority="33" stopIfTrue="1">
      <formula>MOD(ROW(),2)=0</formula>
    </cfRule>
  </conditionalFormatting>
  <conditionalFormatting sqref="B6:E6 C7:E7 B8:E16">
    <cfRule type="expression" dxfId="816" priority="34" stopIfTrue="1">
      <formula>MOD(ROW(),2)&lt;&gt;0</formula>
    </cfRule>
  </conditionalFormatting>
  <conditionalFormatting sqref="B17:E21">
    <cfRule type="expression" dxfId="815" priority="3" stopIfTrue="1">
      <formula>MOD(ROW(),2)=0</formula>
    </cfRule>
    <cfRule type="expression" dxfId="814" priority="4" stopIfTrue="1">
      <formula>MOD(ROW(),2)&lt;&gt;0</formula>
    </cfRule>
  </conditionalFormatting>
  <hyperlinks>
    <hyperlink ref="B24" location="Sheet1!A1" display="Assumptions" xr:uid="{9767C432-2204-4DEC-9E5C-EF12A7BA1D6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5"/>
  <dimension ref="A1:I85"/>
  <sheetViews>
    <sheetView showGridLines="0" zoomScale="85" zoomScaleNormal="85" workbookViewId="0">
      <selection activeCell="A4" sqref="A4"/>
    </sheetView>
  </sheetViews>
  <sheetFormatPr defaultColWidth="10" defaultRowHeight="13.2" x14ac:dyDescent="0.25"/>
  <cols>
    <col min="1" max="1" width="31.5546875" style="27" customWidth="1"/>
    <col min="2" max="9" width="22.5546875" style="27" customWidth="1"/>
    <col min="10"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Scheme pays AA - x-601</v>
      </c>
      <c r="B3" s="42"/>
      <c r="C3" s="42"/>
      <c r="D3" s="42"/>
      <c r="E3" s="42"/>
      <c r="F3" s="42"/>
      <c r="G3" s="42"/>
      <c r="H3" s="42"/>
      <c r="I3" s="42"/>
    </row>
    <row r="4" spans="1:9" x14ac:dyDescent="0.25">
      <c r="A4" s="44"/>
    </row>
    <row r="6" spans="1:9" x14ac:dyDescent="0.25">
      <c r="A6" s="87" t="s">
        <v>290</v>
      </c>
      <c r="B6" s="185" t="s">
        <v>291</v>
      </c>
      <c r="C6" s="185"/>
      <c r="D6" s="185"/>
      <c r="E6" s="185"/>
      <c r="F6" s="185"/>
      <c r="G6" s="185"/>
      <c r="H6" s="185"/>
      <c r="I6" s="185"/>
    </row>
    <row r="7" spans="1:9" x14ac:dyDescent="0.25">
      <c r="A7" s="81" t="s">
        <v>804</v>
      </c>
      <c r="B7" s="185" t="s">
        <v>324</v>
      </c>
      <c r="C7" s="185"/>
      <c r="D7" s="185"/>
      <c r="E7" s="185"/>
      <c r="F7" s="185"/>
      <c r="G7" s="185"/>
      <c r="H7" s="185"/>
      <c r="I7" s="185"/>
    </row>
    <row r="8" spans="1:9" x14ac:dyDescent="0.25">
      <c r="A8" s="81" t="s">
        <v>805</v>
      </c>
      <c r="B8" s="185" t="s">
        <v>85</v>
      </c>
      <c r="C8" s="185"/>
      <c r="D8" s="185"/>
      <c r="E8" s="185"/>
      <c r="F8" s="185"/>
      <c r="G8" s="185"/>
      <c r="H8" s="185"/>
      <c r="I8" s="185"/>
    </row>
    <row r="9" spans="1:9" x14ac:dyDescent="0.25">
      <c r="A9" s="81" t="s">
        <v>296</v>
      </c>
      <c r="B9" s="185" t="s">
        <v>514</v>
      </c>
      <c r="C9" s="185"/>
      <c r="D9" s="185"/>
      <c r="E9" s="185"/>
      <c r="F9" s="185"/>
      <c r="G9" s="185"/>
      <c r="H9" s="185"/>
      <c r="I9" s="185"/>
    </row>
    <row r="10" spans="1:9" x14ac:dyDescent="0.25">
      <c r="A10" s="81" t="s">
        <v>6</v>
      </c>
      <c r="B10" s="185" t="s">
        <v>515</v>
      </c>
      <c r="C10" s="185"/>
      <c r="D10" s="185"/>
      <c r="E10" s="185"/>
      <c r="F10" s="185"/>
      <c r="G10" s="185"/>
      <c r="H10" s="185"/>
      <c r="I10" s="185"/>
    </row>
    <row r="11" spans="1:9" x14ac:dyDescent="0.25">
      <c r="A11" s="81" t="s">
        <v>299</v>
      </c>
      <c r="B11" s="185" t="s">
        <v>327</v>
      </c>
      <c r="C11" s="185"/>
      <c r="D11" s="185"/>
      <c r="E11" s="185"/>
      <c r="F11" s="185"/>
      <c r="G11" s="185"/>
      <c r="H11" s="185"/>
      <c r="I11" s="185"/>
    </row>
    <row r="12" spans="1:9" x14ac:dyDescent="0.25">
      <c r="A12" s="81" t="s">
        <v>301</v>
      </c>
      <c r="B12" s="185" t="s">
        <v>328</v>
      </c>
      <c r="C12" s="185"/>
      <c r="D12" s="185"/>
      <c r="E12" s="185"/>
      <c r="F12" s="185"/>
      <c r="G12" s="185"/>
      <c r="H12" s="185"/>
      <c r="I12" s="185"/>
    </row>
    <row r="13" spans="1:9" x14ac:dyDescent="0.25">
      <c r="A13" s="81" t="s">
        <v>806</v>
      </c>
      <c r="B13" s="185">
        <v>0</v>
      </c>
      <c r="C13" s="185"/>
      <c r="D13" s="185"/>
      <c r="E13" s="185"/>
      <c r="F13" s="185"/>
      <c r="G13" s="185"/>
      <c r="H13" s="185"/>
      <c r="I13" s="185"/>
    </row>
    <row r="14" spans="1:9" x14ac:dyDescent="0.25">
      <c r="A14" s="81" t="s">
        <v>305</v>
      </c>
      <c r="B14" s="185">
        <v>601</v>
      </c>
      <c r="C14" s="185"/>
      <c r="D14" s="185"/>
      <c r="E14" s="185"/>
      <c r="F14" s="185"/>
      <c r="G14" s="185"/>
      <c r="H14" s="185"/>
      <c r="I14" s="185"/>
    </row>
    <row r="15" spans="1:9" x14ac:dyDescent="0.25">
      <c r="A15" s="81" t="s">
        <v>307</v>
      </c>
      <c r="B15" s="185" t="s">
        <v>516</v>
      </c>
      <c r="C15" s="185"/>
      <c r="D15" s="185"/>
      <c r="E15" s="185"/>
      <c r="F15" s="185"/>
      <c r="G15" s="185"/>
      <c r="H15" s="185"/>
      <c r="I15" s="185"/>
    </row>
    <row r="16" spans="1:9" x14ac:dyDescent="0.25">
      <c r="A16" s="81" t="s">
        <v>825</v>
      </c>
      <c r="B16" s="185" t="s">
        <v>517</v>
      </c>
      <c r="C16" s="185"/>
      <c r="D16" s="185"/>
      <c r="E16" s="185"/>
      <c r="F16" s="185"/>
      <c r="G16" s="185"/>
      <c r="H16" s="185"/>
      <c r="I16" s="185"/>
    </row>
    <row r="17" spans="1:9" x14ac:dyDescent="0.25">
      <c r="A17" s="81" t="s">
        <v>803</v>
      </c>
      <c r="B17" s="185"/>
      <c r="C17" s="185"/>
      <c r="D17" s="185"/>
      <c r="E17" s="185"/>
      <c r="F17" s="185"/>
      <c r="G17" s="185"/>
      <c r="H17" s="185"/>
      <c r="I17" s="185"/>
    </row>
    <row r="18" spans="1:9" x14ac:dyDescent="0.25">
      <c r="A18" s="81" t="s">
        <v>313</v>
      </c>
      <c r="B18" s="188">
        <v>45071</v>
      </c>
      <c r="C18" s="185"/>
      <c r="D18" s="185"/>
      <c r="E18" s="185"/>
      <c r="F18" s="185"/>
      <c r="G18" s="185"/>
      <c r="H18" s="185"/>
      <c r="I18" s="185"/>
    </row>
    <row r="19" spans="1:9" x14ac:dyDescent="0.25">
      <c r="A19" s="81" t="s">
        <v>315</v>
      </c>
      <c r="B19" s="188"/>
      <c r="C19" s="185"/>
      <c r="D19" s="185"/>
      <c r="E19" s="185"/>
      <c r="F19" s="185"/>
      <c r="G19" s="185"/>
      <c r="H19" s="185"/>
      <c r="I19" s="185"/>
    </row>
    <row r="20" spans="1:9" x14ac:dyDescent="0.25">
      <c r="A20" s="81" t="s">
        <v>317</v>
      </c>
      <c r="B20" s="185" t="s">
        <v>331</v>
      </c>
      <c r="C20" s="185"/>
      <c r="D20" s="185"/>
      <c r="E20" s="185"/>
      <c r="F20" s="185"/>
      <c r="G20" s="185"/>
      <c r="H20" s="185"/>
      <c r="I20" s="185"/>
    </row>
    <row r="21" spans="1:9" x14ac:dyDescent="0.25">
      <c r="A21" s="77" t="s">
        <v>323</v>
      </c>
      <c r="B21" s="185" t="s">
        <v>332</v>
      </c>
      <c r="C21" s="185"/>
      <c r="D21" s="185"/>
      <c r="E21" s="185"/>
      <c r="F21" s="185"/>
      <c r="G21" s="185"/>
      <c r="H21" s="185"/>
      <c r="I21" s="185"/>
    </row>
    <row r="23" spans="1:9" x14ac:dyDescent="0.25">
      <c r="B23" s="102" t="str">
        <f>HYPERLINK("#'Factor List'!A1","Back to Factor List")</f>
        <v>Back to Factor List</v>
      </c>
    </row>
    <row r="24" spans="1:9" x14ac:dyDescent="0.25">
      <c r="B24" s="102" t="s">
        <v>13</v>
      </c>
    </row>
    <row r="25" spans="1:9" x14ac:dyDescent="0.25">
      <c r="B25" s="102"/>
    </row>
    <row r="26" spans="1:9" x14ac:dyDescent="0.25">
      <c r="A26" s="103" t="s">
        <v>373</v>
      </c>
      <c r="B26" s="103" t="s">
        <v>932</v>
      </c>
      <c r="C26" s="103" t="s">
        <v>933</v>
      </c>
      <c r="D26" s="103" t="s">
        <v>934</v>
      </c>
      <c r="E26" s="103" t="s">
        <v>935</v>
      </c>
      <c r="F26" s="103" t="s">
        <v>936</v>
      </c>
      <c r="G26" s="103" t="s">
        <v>937</v>
      </c>
      <c r="H26" s="103" t="s">
        <v>938</v>
      </c>
      <c r="I26" s="103" t="s">
        <v>939</v>
      </c>
    </row>
    <row r="27" spans="1:9" x14ac:dyDescent="0.25">
      <c r="A27" s="104">
        <v>17</v>
      </c>
      <c r="B27" s="105">
        <v>3.51</v>
      </c>
      <c r="C27" s="105">
        <v>3.51</v>
      </c>
      <c r="D27" s="105">
        <v>3.28</v>
      </c>
      <c r="E27" s="105">
        <v>3.28</v>
      </c>
      <c r="F27" s="105">
        <v>3.06</v>
      </c>
      <c r="G27" s="105">
        <v>3.06</v>
      </c>
      <c r="H27" s="105">
        <v>2.85</v>
      </c>
      <c r="I27" s="105">
        <v>2.85</v>
      </c>
    </row>
    <row r="28" spans="1:9" x14ac:dyDescent="0.25">
      <c r="A28" s="104">
        <v>18</v>
      </c>
      <c r="B28" s="105">
        <v>3.63</v>
      </c>
      <c r="C28" s="105">
        <v>3.63</v>
      </c>
      <c r="D28" s="105">
        <v>3.39</v>
      </c>
      <c r="E28" s="105">
        <v>3.39</v>
      </c>
      <c r="F28" s="105">
        <v>3.17</v>
      </c>
      <c r="G28" s="105">
        <v>3.17</v>
      </c>
      <c r="H28" s="105">
        <v>2.95</v>
      </c>
      <c r="I28" s="105">
        <v>2.95</v>
      </c>
    </row>
    <row r="29" spans="1:9" x14ac:dyDescent="0.25">
      <c r="A29" s="104">
        <v>19</v>
      </c>
      <c r="B29" s="105">
        <v>3.76</v>
      </c>
      <c r="C29" s="105">
        <v>3.76</v>
      </c>
      <c r="D29" s="105">
        <v>3.51</v>
      </c>
      <c r="E29" s="105">
        <v>3.51</v>
      </c>
      <c r="F29" s="105">
        <v>3.27</v>
      </c>
      <c r="G29" s="105">
        <v>3.27</v>
      </c>
      <c r="H29" s="105">
        <v>3.05</v>
      </c>
      <c r="I29" s="105">
        <v>3.05</v>
      </c>
    </row>
    <row r="30" spans="1:9" x14ac:dyDescent="0.25">
      <c r="A30" s="104">
        <v>20</v>
      </c>
      <c r="B30" s="105">
        <v>3.89</v>
      </c>
      <c r="C30" s="105">
        <v>3.89</v>
      </c>
      <c r="D30" s="105">
        <v>3.63</v>
      </c>
      <c r="E30" s="105">
        <v>3.63</v>
      </c>
      <c r="F30" s="105">
        <v>3.39</v>
      </c>
      <c r="G30" s="105">
        <v>3.39</v>
      </c>
      <c r="H30" s="105">
        <v>3.15</v>
      </c>
      <c r="I30" s="105">
        <v>3.15</v>
      </c>
    </row>
    <row r="31" spans="1:9" x14ac:dyDescent="0.25">
      <c r="A31" s="104">
        <v>21</v>
      </c>
      <c r="B31" s="105">
        <v>4.0199999999999996</v>
      </c>
      <c r="C31" s="105">
        <v>4.0199999999999996</v>
      </c>
      <c r="D31" s="105">
        <v>3.76</v>
      </c>
      <c r="E31" s="105">
        <v>3.76</v>
      </c>
      <c r="F31" s="105">
        <v>3.5</v>
      </c>
      <c r="G31" s="105">
        <v>3.5</v>
      </c>
      <c r="H31" s="105">
        <v>3.26</v>
      </c>
      <c r="I31" s="105">
        <v>3.26</v>
      </c>
    </row>
    <row r="32" spans="1:9" x14ac:dyDescent="0.25">
      <c r="A32" s="104">
        <v>22</v>
      </c>
      <c r="B32" s="105">
        <v>4.16</v>
      </c>
      <c r="C32" s="105">
        <v>4.16</v>
      </c>
      <c r="D32" s="105">
        <v>3.88</v>
      </c>
      <c r="E32" s="105">
        <v>3.88</v>
      </c>
      <c r="F32" s="105">
        <v>3.62</v>
      </c>
      <c r="G32" s="105">
        <v>3.62</v>
      </c>
      <c r="H32" s="105">
        <v>3.37</v>
      </c>
      <c r="I32" s="105">
        <v>3.37</v>
      </c>
    </row>
    <row r="33" spans="1:9" x14ac:dyDescent="0.25">
      <c r="A33" s="104">
        <v>23</v>
      </c>
      <c r="B33" s="105">
        <v>4.3</v>
      </c>
      <c r="C33" s="105">
        <v>4.3</v>
      </c>
      <c r="D33" s="105">
        <v>4.0199999999999996</v>
      </c>
      <c r="E33" s="105">
        <v>4.0199999999999996</v>
      </c>
      <c r="F33" s="105">
        <v>3.75</v>
      </c>
      <c r="G33" s="105">
        <v>3.75</v>
      </c>
      <c r="H33" s="105">
        <v>3.49</v>
      </c>
      <c r="I33" s="105">
        <v>3.49</v>
      </c>
    </row>
    <row r="34" spans="1:9" x14ac:dyDescent="0.25">
      <c r="A34" s="104">
        <v>24</v>
      </c>
      <c r="B34" s="105">
        <v>4.45</v>
      </c>
      <c r="C34" s="105">
        <v>4.45</v>
      </c>
      <c r="D34" s="105">
        <v>4.16</v>
      </c>
      <c r="E34" s="105">
        <v>4.16</v>
      </c>
      <c r="F34" s="105">
        <v>3.87</v>
      </c>
      <c r="G34" s="105">
        <v>3.87</v>
      </c>
      <c r="H34" s="105">
        <v>3.61</v>
      </c>
      <c r="I34" s="105">
        <v>3.61</v>
      </c>
    </row>
    <row r="35" spans="1:9" x14ac:dyDescent="0.25">
      <c r="A35" s="104">
        <v>25</v>
      </c>
      <c r="B35" s="105">
        <v>4.6100000000000003</v>
      </c>
      <c r="C35" s="105">
        <v>4.6100000000000003</v>
      </c>
      <c r="D35" s="105">
        <v>4.3</v>
      </c>
      <c r="E35" s="105">
        <v>4.3</v>
      </c>
      <c r="F35" s="105">
        <v>4.01</v>
      </c>
      <c r="G35" s="105">
        <v>4.01</v>
      </c>
      <c r="H35" s="105">
        <v>3.73</v>
      </c>
      <c r="I35" s="105">
        <v>3.73</v>
      </c>
    </row>
    <row r="36" spans="1:9" x14ac:dyDescent="0.25">
      <c r="A36" s="104">
        <v>26</v>
      </c>
      <c r="B36" s="105">
        <v>4.76</v>
      </c>
      <c r="C36" s="105">
        <v>4.76</v>
      </c>
      <c r="D36" s="105">
        <v>4.45</v>
      </c>
      <c r="E36" s="105">
        <v>4.45</v>
      </c>
      <c r="F36" s="105">
        <v>4.1399999999999997</v>
      </c>
      <c r="G36" s="105">
        <v>4.1399999999999997</v>
      </c>
      <c r="H36" s="105">
        <v>3.86</v>
      </c>
      <c r="I36" s="105">
        <v>3.86</v>
      </c>
    </row>
    <row r="37" spans="1:9" x14ac:dyDescent="0.25">
      <c r="A37" s="104">
        <v>27</v>
      </c>
      <c r="B37" s="105">
        <v>4.93</v>
      </c>
      <c r="C37" s="105">
        <v>4.93</v>
      </c>
      <c r="D37" s="105">
        <v>4.5999999999999996</v>
      </c>
      <c r="E37" s="105">
        <v>4.5999999999999996</v>
      </c>
      <c r="F37" s="105">
        <v>4.29</v>
      </c>
      <c r="G37" s="105">
        <v>4.29</v>
      </c>
      <c r="H37" s="105">
        <v>3.99</v>
      </c>
      <c r="I37" s="105">
        <v>3.99</v>
      </c>
    </row>
    <row r="38" spans="1:9" x14ac:dyDescent="0.25">
      <c r="A38" s="104">
        <v>28</v>
      </c>
      <c r="B38" s="105">
        <v>5.0999999999999996</v>
      </c>
      <c r="C38" s="105">
        <v>5.0999999999999996</v>
      </c>
      <c r="D38" s="105">
        <v>4.76</v>
      </c>
      <c r="E38" s="105">
        <v>4.76</v>
      </c>
      <c r="F38" s="105">
        <v>4.43</v>
      </c>
      <c r="G38" s="105">
        <v>4.43</v>
      </c>
      <c r="H38" s="105">
        <v>4.12</v>
      </c>
      <c r="I38" s="105">
        <v>4.12</v>
      </c>
    </row>
    <row r="39" spans="1:9" x14ac:dyDescent="0.25">
      <c r="A39" s="104">
        <v>29</v>
      </c>
      <c r="B39" s="105">
        <v>5.27</v>
      </c>
      <c r="C39" s="105">
        <v>5.27</v>
      </c>
      <c r="D39" s="105">
        <v>4.92</v>
      </c>
      <c r="E39" s="105">
        <v>4.92</v>
      </c>
      <c r="F39" s="105">
        <v>4.58</v>
      </c>
      <c r="G39" s="105">
        <v>4.58</v>
      </c>
      <c r="H39" s="105">
        <v>4.26</v>
      </c>
      <c r="I39" s="105">
        <v>4.26</v>
      </c>
    </row>
    <row r="40" spans="1:9" x14ac:dyDescent="0.25">
      <c r="A40" s="104">
        <v>30</v>
      </c>
      <c r="B40" s="105">
        <v>5.46</v>
      </c>
      <c r="C40" s="105">
        <v>5.46</v>
      </c>
      <c r="D40" s="105">
        <v>5.09</v>
      </c>
      <c r="E40" s="105">
        <v>5.09</v>
      </c>
      <c r="F40" s="105">
        <v>4.74</v>
      </c>
      <c r="G40" s="105">
        <v>4.74</v>
      </c>
      <c r="H40" s="105">
        <v>4.41</v>
      </c>
      <c r="I40" s="105">
        <v>4.41</v>
      </c>
    </row>
    <row r="41" spans="1:9" x14ac:dyDescent="0.25">
      <c r="A41" s="104">
        <v>31</v>
      </c>
      <c r="B41" s="105">
        <v>5.64</v>
      </c>
      <c r="C41" s="105">
        <v>5.64</v>
      </c>
      <c r="D41" s="105">
        <v>5.26</v>
      </c>
      <c r="E41" s="105">
        <v>5.26</v>
      </c>
      <c r="F41" s="105">
        <v>4.9000000000000004</v>
      </c>
      <c r="G41" s="105">
        <v>4.9000000000000004</v>
      </c>
      <c r="H41" s="105">
        <v>4.5599999999999996</v>
      </c>
      <c r="I41" s="105">
        <v>4.5599999999999996</v>
      </c>
    </row>
    <row r="42" spans="1:9" x14ac:dyDescent="0.25">
      <c r="A42" s="104">
        <v>32</v>
      </c>
      <c r="B42" s="105">
        <v>5.84</v>
      </c>
      <c r="C42" s="105">
        <v>5.84</v>
      </c>
      <c r="D42" s="105">
        <v>5.45</v>
      </c>
      <c r="E42" s="105">
        <v>5.45</v>
      </c>
      <c r="F42" s="105">
        <v>5.07</v>
      </c>
      <c r="G42" s="105">
        <v>5.07</v>
      </c>
      <c r="H42" s="105">
        <v>4.71</v>
      </c>
      <c r="I42" s="105">
        <v>4.71</v>
      </c>
    </row>
    <row r="43" spans="1:9" x14ac:dyDescent="0.25">
      <c r="A43" s="104">
        <v>33</v>
      </c>
      <c r="B43" s="105">
        <v>6.04</v>
      </c>
      <c r="C43" s="105">
        <v>6.04</v>
      </c>
      <c r="D43" s="105">
        <v>5.63</v>
      </c>
      <c r="E43" s="105">
        <v>5.63</v>
      </c>
      <c r="F43" s="105">
        <v>5.24</v>
      </c>
      <c r="G43" s="105">
        <v>5.24</v>
      </c>
      <c r="H43" s="105">
        <v>4.88</v>
      </c>
      <c r="I43" s="105">
        <v>4.88</v>
      </c>
    </row>
    <row r="44" spans="1:9" x14ac:dyDescent="0.25">
      <c r="A44" s="104">
        <v>34</v>
      </c>
      <c r="B44" s="105">
        <v>6.25</v>
      </c>
      <c r="C44" s="105">
        <v>6.25</v>
      </c>
      <c r="D44" s="105">
        <v>5.83</v>
      </c>
      <c r="E44" s="105">
        <v>5.83</v>
      </c>
      <c r="F44" s="105">
        <v>5.42</v>
      </c>
      <c r="G44" s="105">
        <v>5.42</v>
      </c>
      <c r="H44" s="105">
        <v>5.04</v>
      </c>
      <c r="I44" s="105">
        <v>5.04</v>
      </c>
    </row>
    <row r="45" spans="1:9" x14ac:dyDescent="0.25">
      <c r="A45" s="104">
        <v>35</v>
      </c>
      <c r="B45" s="105">
        <v>6.47</v>
      </c>
      <c r="C45" s="105">
        <v>6.47</v>
      </c>
      <c r="D45" s="105">
        <v>6.03</v>
      </c>
      <c r="E45" s="105">
        <v>6.03</v>
      </c>
      <c r="F45" s="105">
        <v>5.61</v>
      </c>
      <c r="G45" s="105">
        <v>5.61</v>
      </c>
      <c r="H45" s="105">
        <v>5.21</v>
      </c>
      <c r="I45" s="105">
        <v>5.21</v>
      </c>
    </row>
    <row r="46" spans="1:9" x14ac:dyDescent="0.25">
      <c r="A46" s="104">
        <v>36</v>
      </c>
      <c r="B46" s="105">
        <v>6.69</v>
      </c>
      <c r="C46" s="105">
        <v>6.69</v>
      </c>
      <c r="D46" s="105">
        <v>6.24</v>
      </c>
      <c r="E46" s="105">
        <v>6.24</v>
      </c>
      <c r="F46" s="105">
        <v>5.8</v>
      </c>
      <c r="G46" s="105">
        <v>5.8</v>
      </c>
      <c r="H46" s="105">
        <v>5.39</v>
      </c>
      <c r="I46" s="105">
        <v>5.39</v>
      </c>
    </row>
    <row r="47" spans="1:9" x14ac:dyDescent="0.25">
      <c r="A47" s="104">
        <v>37</v>
      </c>
      <c r="B47" s="105">
        <v>6.92</v>
      </c>
      <c r="C47" s="105">
        <v>6.92</v>
      </c>
      <c r="D47" s="105">
        <v>6.45</v>
      </c>
      <c r="E47" s="105">
        <v>6.45</v>
      </c>
      <c r="F47" s="105">
        <v>6</v>
      </c>
      <c r="G47" s="105">
        <v>6</v>
      </c>
      <c r="H47" s="105">
        <v>5.58</v>
      </c>
      <c r="I47" s="105">
        <v>5.58</v>
      </c>
    </row>
    <row r="48" spans="1:9" x14ac:dyDescent="0.25">
      <c r="A48" s="104">
        <v>38</v>
      </c>
      <c r="B48" s="105">
        <v>7.16</v>
      </c>
      <c r="C48" s="105">
        <v>7.16</v>
      </c>
      <c r="D48" s="105">
        <v>6.67</v>
      </c>
      <c r="E48" s="105">
        <v>6.67</v>
      </c>
      <c r="F48" s="105">
        <v>6.21</v>
      </c>
      <c r="G48" s="105">
        <v>6.21</v>
      </c>
      <c r="H48" s="105">
        <v>5.77</v>
      </c>
      <c r="I48" s="105">
        <v>5.77</v>
      </c>
    </row>
    <row r="49" spans="1:9" x14ac:dyDescent="0.25">
      <c r="A49" s="104">
        <v>39</v>
      </c>
      <c r="B49" s="105">
        <v>7.41</v>
      </c>
      <c r="C49" s="105">
        <v>7.41</v>
      </c>
      <c r="D49" s="105">
        <v>6.9</v>
      </c>
      <c r="E49" s="105">
        <v>6.9</v>
      </c>
      <c r="F49" s="105">
        <v>6.42</v>
      </c>
      <c r="G49" s="105">
        <v>6.42</v>
      </c>
      <c r="H49" s="105">
        <v>5.97</v>
      </c>
      <c r="I49" s="105">
        <v>5.97</v>
      </c>
    </row>
    <row r="50" spans="1:9" x14ac:dyDescent="0.25">
      <c r="A50" s="104">
        <v>40</v>
      </c>
      <c r="B50" s="105">
        <v>7.67</v>
      </c>
      <c r="C50" s="105">
        <v>7.67</v>
      </c>
      <c r="D50" s="105">
        <v>7.14</v>
      </c>
      <c r="E50" s="105">
        <v>7.14</v>
      </c>
      <c r="F50" s="105">
        <v>6.64</v>
      </c>
      <c r="G50" s="105">
        <v>6.64</v>
      </c>
      <c r="H50" s="105">
        <v>6.17</v>
      </c>
      <c r="I50" s="105">
        <v>6.17</v>
      </c>
    </row>
    <row r="51" spans="1:9" x14ac:dyDescent="0.25">
      <c r="A51" s="104">
        <v>41</v>
      </c>
      <c r="B51" s="105">
        <v>7.93</v>
      </c>
      <c r="C51" s="105">
        <v>7.93</v>
      </c>
      <c r="D51" s="105">
        <v>7.39</v>
      </c>
      <c r="E51" s="105">
        <v>7.39</v>
      </c>
      <c r="F51" s="105">
        <v>6.87</v>
      </c>
      <c r="G51" s="105">
        <v>6.87</v>
      </c>
      <c r="H51" s="105">
        <v>6.38</v>
      </c>
      <c r="I51" s="105">
        <v>6.38</v>
      </c>
    </row>
    <row r="52" spans="1:9" x14ac:dyDescent="0.25">
      <c r="A52" s="104">
        <v>42</v>
      </c>
      <c r="B52" s="105">
        <v>8.2100000000000009</v>
      </c>
      <c r="C52" s="105">
        <v>8.2100000000000009</v>
      </c>
      <c r="D52" s="105">
        <v>7.65</v>
      </c>
      <c r="E52" s="105">
        <v>7.65</v>
      </c>
      <c r="F52" s="105">
        <v>7.11</v>
      </c>
      <c r="G52" s="105">
        <v>7.11</v>
      </c>
      <c r="H52" s="105">
        <v>6.6</v>
      </c>
      <c r="I52" s="105">
        <v>6.6</v>
      </c>
    </row>
    <row r="53" spans="1:9" x14ac:dyDescent="0.25">
      <c r="A53" s="104">
        <v>43</v>
      </c>
      <c r="B53" s="105">
        <v>8.5</v>
      </c>
      <c r="C53" s="105">
        <v>8.5</v>
      </c>
      <c r="D53" s="105">
        <v>7.91</v>
      </c>
      <c r="E53" s="105">
        <v>7.91</v>
      </c>
      <c r="F53" s="105">
        <v>7.36</v>
      </c>
      <c r="G53" s="105">
        <v>7.36</v>
      </c>
      <c r="H53" s="105">
        <v>6.83</v>
      </c>
      <c r="I53" s="105">
        <v>6.83</v>
      </c>
    </row>
    <row r="54" spans="1:9" x14ac:dyDescent="0.25">
      <c r="A54" s="104">
        <v>44</v>
      </c>
      <c r="B54" s="105">
        <v>8.8000000000000007</v>
      </c>
      <c r="C54" s="105">
        <v>8.8000000000000007</v>
      </c>
      <c r="D54" s="105">
        <v>8.19</v>
      </c>
      <c r="E54" s="105">
        <v>8.19</v>
      </c>
      <c r="F54" s="105">
        <v>7.61</v>
      </c>
      <c r="G54" s="105">
        <v>7.61</v>
      </c>
      <c r="H54" s="105">
        <v>7.06</v>
      </c>
      <c r="I54" s="105">
        <v>7.06</v>
      </c>
    </row>
    <row r="55" spans="1:9" x14ac:dyDescent="0.25">
      <c r="A55" s="104">
        <v>45</v>
      </c>
      <c r="B55" s="105">
        <v>9.1</v>
      </c>
      <c r="C55" s="105">
        <v>9.1</v>
      </c>
      <c r="D55" s="105">
        <v>8.4700000000000006</v>
      </c>
      <c r="E55" s="105">
        <v>8.4700000000000006</v>
      </c>
      <c r="F55" s="105">
        <v>7.88</v>
      </c>
      <c r="G55" s="105">
        <v>7.88</v>
      </c>
      <c r="H55" s="105">
        <v>7.31</v>
      </c>
      <c r="I55" s="105">
        <v>7.31</v>
      </c>
    </row>
    <row r="56" spans="1:9" x14ac:dyDescent="0.25">
      <c r="A56" s="104">
        <v>46</v>
      </c>
      <c r="B56" s="105">
        <v>9.42</v>
      </c>
      <c r="C56" s="105">
        <v>9.42</v>
      </c>
      <c r="D56" s="105">
        <v>8.77</v>
      </c>
      <c r="E56" s="105">
        <v>8.77</v>
      </c>
      <c r="F56" s="105">
        <v>8.15</v>
      </c>
      <c r="G56" s="105">
        <v>8.15</v>
      </c>
      <c r="H56" s="105">
        <v>7.56</v>
      </c>
      <c r="I56" s="105">
        <v>7.56</v>
      </c>
    </row>
    <row r="57" spans="1:9" x14ac:dyDescent="0.25">
      <c r="A57" s="104">
        <v>47</v>
      </c>
      <c r="B57" s="105">
        <v>9.76</v>
      </c>
      <c r="C57" s="105">
        <v>9.76</v>
      </c>
      <c r="D57" s="105">
        <v>9.08</v>
      </c>
      <c r="E57" s="105">
        <v>9.08</v>
      </c>
      <c r="F57" s="105">
        <v>8.44</v>
      </c>
      <c r="G57" s="105">
        <v>8.44</v>
      </c>
      <c r="H57" s="105">
        <v>7.83</v>
      </c>
      <c r="I57" s="105">
        <v>7.83</v>
      </c>
    </row>
    <row r="58" spans="1:9" x14ac:dyDescent="0.25">
      <c r="A58" s="104">
        <v>48</v>
      </c>
      <c r="B58" s="105">
        <v>10.1</v>
      </c>
      <c r="C58" s="105">
        <v>10.1</v>
      </c>
      <c r="D58" s="105">
        <v>9.4</v>
      </c>
      <c r="E58" s="105">
        <v>9.4</v>
      </c>
      <c r="F58" s="105">
        <v>8.73</v>
      </c>
      <c r="G58" s="105">
        <v>8.73</v>
      </c>
      <c r="H58" s="105">
        <v>8.1</v>
      </c>
      <c r="I58" s="105">
        <v>8.1</v>
      </c>
    </row>
    <row r="59" spans="1:9" x14ac:dyDescent="0.25">
      <c r="A59" s="104">
        <v>49</v>
      </c>
      <c r="B59" s="105">
        <v>10.46</v>
      </c>
      <c r="C59" s="105">
        <v>10.46</v>
      </c>
      <c r="D59" s="105">
        <v>9.73</v>
      </c>
      <c r="E59" s="105">
        <v>9.73</v>
      </c>
      <c r="F59" s="105">
        <v>9.0399999999999991</v>
      </c>
      <c r="G59" s="105">
        <v>9.0399999999999991</v>
      </c>
      <c r="H59" s="105">
        <v>8.3800000000000008</v>
      </c>
      <c r="I59" s="105">
        <v>8.3800000000000008</v>
      </c>
    </row>
    <row r="60" spans="1:9" x14ac:dyDescent="0.25">
      <c r="A60" s="104">
        <v>50</v>
      </c>
      <c r="B60" s="105">
        <v>10.83</v>
      </c>
      <c r="C60" s="105">
        <v>10.83</v>
      </c>
      <c r="D60" s="105">
        <v>10.07</v>
      </c>
      <c r="E60" s="105">
        <v>10.07</v>
      </c>
      <c r="F60" s="105">
        <v>9.36</v>
      </c>
      <c r="G60" s="105">
        <v>9.36</v>
      </c>
      <c r="H60" s="105">
        <v>8.67</v>
      </c>
      <c r="I60" s="105">
        <v>8.67</v>
      </c>
    </row>
    <row r="61" spans="1:9" x14ac:dyDescent="0.25">
      <c r="A61" s="104">
        <v>51</v>
      </c>
      <c r="B61" s="105">
        <v>11.22</v>
      </c>
      <c r="C61" s="105">
        <v>11.22</v>
      </c>
      <c r="D61" s="105">
        <v>10.43</v>
      </c>
      <c r="E61" s="105">
        <v>10.43</v>
      </c>
      <c r="F61" s="105">
        <v>9.69</v>
      </c>
      <c r="G61" s="105">
        <v>9.69</v>
      </c>
      <c r="H61" s="105">
        <v>8.98</v>
      </c>
      <c r="I61" s="105">
        <v>8.98</v>
      </c>
    </row>
    <row r="62" spans="1:9" x14ac:dyDescent="0.25">
      <c r="A62" s="104">
        <v>52</v>
      </c>
      <c r="B62" s="105">
        <v>11.62</v>
      </c>
      <c r="C62" s="105">
        <v>11.62</v>
      </c>
      <c r="D62" s="105">
        <v>10.8</v>
      </c>
      <c r="E62" s="105">
        <v>10.8</v>
      </c>
      <c r="F62" s="105">
        <v>10.029999999999999</v>
      </c>
      <c r="G62" s="105">
        <v>10.029999999999999</v>
      </c>
      <c r="H62" s="105">
        <v>9.3000000000000007</v>
      </c>
      <c r="I62" s="105">
        <v>9.3000000000000007</v>
      </c>
    </row>
    <row r="63" spans="1:9" x14ac:dyDescent="0.25">
      <c r="A63" s="104">
        <v>53</v>
      </c>
      <c r="B63" s="105">
        <v>12.04</v>
      </c>
      <c r="C63" s="105">
        <v>12.04</v>
      </c>
      <c r="D63" s="105">
        <v>11.19</v>
      </c>
      <c r="E63" s="105">
        <v>11.19</v>
      </c>
      <c r="F63" s="105">
        <v>10.39</v>
      </c>
      <c r="G63" s="105">
        <v>10.39</v>
      </c>
      <c r="H63" s="105">
        <v>9.6300000000000008</v>
      </c>
      <c r="I63" s="105">
        <v>9.6300000000000008</v>
      </c>
    </row>
    <row r="64" spans="1:9" x14ac:dyDescent="0.25">
      <c r="A64" s="104">
        <v>54</v>
      </c>
      <c r="B64" s="105">
        <v>12.47</v>
      </c>
      <c r="C64" s="105">
        <v>12.47</v>
      </c>
      <c r="D64" s="105">
        <v>11.59</v>
      </c>
      <c r="E64" s="105">
        <v>11.59</v>
      </c>
      <c r="F64" s="105">
        <v>10.76</v>
      </c>
      <c r="G64" s="105">
        <v>10.76</v>
      </c>
      <c r="H64" s="105">
        <v>9.9700000000000006</v>
      </c>
      <c r="I64" s="105">
        <v>9.9700000000000006</v>
      </c>
    </row>
    <row r="65" spans="1:9" x14ac:dyDescent="0.25">
      <c r="A65" s="104">
        <v>55</v>
      </c>
      <c r="B65" s="105">
        <v>12.92</v>
      </c>
      <c r="C65" s="105">
        <v>12.92</v>
      </c>
      <c r="D65" s="105">
        <v>12.01</v>
      </c>
      <c r="E65" s="105">
        <v>12.01</v>
      </c>
      <c r="F65" s="105">
        <v>11.15</v>
      </c>
      <c r="G65" s="105">
        <v>11.15</v>
      </c>
      <c r="H65" s="105">
        <v>10.33</v>
      </c>
      <c r="I65" s="105">
        <v>10.33</v>
      </c>
    </row>
    <row r="66" spans="1:9" x14ac:dyDescent="0.25">
      <c r="A66" s="104">
        <v>56</v>
      </c>
      <c r="B66" s="105">
        <v>13.4</v>
      </c>
      <c r="C66" s="105">
        <v>13.4</v>
      </c>
      <c r="D66" s="105">
        <v>12.45</v>
      </c>
      <c r="E66" s="105">
        <v>12.45</v>
      </c>
      <c r="F66" s="105">
        <v>11.55</v>
      </c>
      <c r="G66" s="105">
        <v>11.55</v>
      </c>
      <c r="H66" s="105">
        <v>10.7</v>
      </c>
      <c r="I66" s="105">
        <v>10.7</v>
      </c>
    </row>
    <row r="67" spans="1:9" x14ac:dyDescent="0.25">
      <c r="A67" s="104">
        <v>57</v>
      </c>
      <c r="B67" s="105">
        <v>13.89</v>
      </c>
      <c r="C67" s="105">
        <v>13.89</v>
      </c>
      <c r="D67" s="105">
        <v>12.91</v>
      </c>
      <c r="E67" s="105">
        <v>12.91</v>
      </c>
      <c r="F67" s="105">
        <v>11.97</v>
      </c>
      <c r="G67" s="105">
        <v>11.97</v>
      </c>
      <c r="H67" s="105">
        <v>11.09</v>
      </c>
      <c r="I67" s="105">
        <v>11.09</v>
      </c>
    </row>
    <row r="68" spans="1:9" x14ac:dyDescent="0.25">
      <c r="A68" s="104">
        <v>58</v>
      </c>
      <c r="B68" s="105">
        <v>14.41</v>
      </c>
      <c r="C68" s="105">
        <v>14.41</v>
      </c>
      <c r="D68" s="105">
        <v>13.38</v>
      </c>
      <c r="E68" s="105">
        <v>13.38</v>
      </c>
      <c r="F68" s="105">
        <v>12.41</v>
      </c>
      <c r="G68" s="105">
        <v>12.41</v>
      </c>
      <c r="H68" s="105">
        <v>11.49</v>
      </c>
      <c r="I68" s="105">
        <v>11.49</v>
      </c>
    </row>
    <row r="69" spans="1:9" x14ac:dyDescent="0.25">
      <c r="A69" s="104">
        <v>59</v>
      </c>
      <c r="B69" s="105">
        <v>14.94</v>
      </c>
      <c r="C69" s="105">
        <v>14.94</v>
      </c>
      <c r="D69" s="105">
        <v>13.88</v>
      </c>
      <c r="E69" s="105">
        <v>13.88</v>
      </c>
      <c r="F69" s="105">
        <v>12.87</v>
      </c>
      <c r="G69" s="105">
        <v>12.87</v>
      </c>
      <c r="H69" s="105">
        <v>11.92</v>
      </c>
      <c r="I69" s="105">
        <v>11.92</v>
      </c>
    </row>
    <row r="70" spans="1:9" x14ac:dyDescent="0.25">
      <c r="A70" s="104">
        <v>60</v>
      </c>
      <c r="B70" s="105">
        <v>15.51</v>
      </c>
      <c r="C70" s="105">
        <v>15.51</v>
      </c>
      <c r="D70" s="105">
        <v>14.41</v>
      </c>
      <c r="E70" s="105">
        <v>14.41</v>
      </c>
      <c r="F70" s="105">
        <v>13.36</v>
      </c>
      <c r="G70" s="105">
        <v>13.36</v>
      </c>
      <c r="H70" s="105">
        <v>12.36</v>
      </c>
      <c r="I70" s="105">
        <v>12.36</v>
      </c>
    </row>
    <row r="71" spans="1:9" x14ac:dyDescent="0.25">
      <c r="A71" s="104">
        <v>61</v>
      </c>
      <c r="B71" s="105">
        <v>16.100000000000001</v>
      </c>
      <c r="C71" s="105">
        <v>16.100000000000001</v>
      </c>
      <c r="D71" s="105">
        <v>14.95</v>
      </c>
      <c r="E71" s="105">
        <v>14.95</v>
      </c>
      <c r="F71" s="105">
        <v>13.86</v>
      </c>
      <c r="G71" s="105">
        <v>13.86</v>
      </c>
      <c r="H71" s="105">
        <v>12.83</v>
      </c>
      <c r="I71" s="105">
        <v>12.83</v>
      </c>
    </row>
    <row r="72" spans="1:9" x14ac:dyDescent="0.25">
      <c r="A72" s="104">
        <v>62</v>
      </c>
      <c r="B72" s="105">
        <v>16.73</v>
      </c>
      <c r="C72" s="105">
        <v>16.73</v>
      </c>
      <c r="D72" s="105">
        <v>15.53</v>
      </c>
      <c r="E72" s="105">
        <v>15.53</v>
      </c>
      <c r="F72" s="105">
        <v>14.4</v>
      </c>
      <c r="G72" s="105">
        <v>14.4</v>
      </c>
      <c r="H72" s="105">
        <v>13.32</v>
      </c>
      <c r="I72" s="105">
        <v>13.32</v>
      </c>
    </row>
    <row r="73" spans="1:9" x14ac:dyDescent="0.25">
      <c r="A73" s="104">
        <v>63</v>
      </c>
      <c r="B73" s="105">
        <v>17.38</v>
      </c>
      <c r="C73" s="105">
        <v>17.38</v>
      </c>
      <c r="D73" s="105">
        <v>16.14</v>
      </c>
      <c r="E73" s="105">
        <v>16.14</v>
      </c>
      <c r="F73" s="105">
        <v>14.96</v>
      </c>
      <c r="G73" s="105">
        <v>14.96</v>
      </c>
      <c r="H73" s="105">
        <v>13.83</v>
      </c>
      <c r="I73" s="105">
        <v>13.83</v>
      </c>
    </row>
    <row r="74" spans="1:9" x14ac:dyDescent="0.25">
      <c r="A74" s="104">
        <v>64</v>
      </c>
      <c r="B74" s="105">
        <v>18.079999999999998</v>
      </c>
      <c r="C74" s="105">
        <v>18.079999999999998</v>
      </c>
      <c r="D74" s="105">
        <v>16.78</v>
      </c>
      <c r="E74" s="105">
        <v>16.78</v>
      </c>
      <c r="F74" s="105">
        <v>15.55</v>
      </c>
      <c r="G74" s="105">
        <v>15.55</v>
      </c>
      <c r="H74" s="105">
        <v>14.38</v>
      </c>
      <c r="I74" s="105">
        <v>14.38</v>
      </c>
    </row>
    <row r="75" spans="1:9" x14ac:dyDescent="0.25">
      <c r="A75" s="104">
        <v>65</v>
      </c>
      <c r="B75" s="105">
        <v>18.11</v>
      </c>
      <c r="C75" s="105">
        <v>18.11</v>
      </c>
      <c r="D75" s="105">
        <v>17.46</v>
      </c>
      <c r="E75" s="105">
        <v>17.46</v>
      </c>
      <c r="F75" s="105">
        <v>16.18</v>
      </c>
      <c r="G75" s="105">
        <v>16.18</v>
      </c>
      <c r="H75" s="105">
        <v>14.96</v>
      </c>
      <c r="I75" s="105">
        <v>14.96</v>
      </c>
    </row>
    <row r="76" spans="1:9" x14ac:dyDescent="0.25">
      <c r="A76" s="104">
        <v>66</v>
      </c>
      <c r="B76" s="105">
        <v>17.45</v>
      </c>
      <c r="C76" s="105">
        <v>17.45</v>
      </c>
      <c r="D76" s="105">
        <v>17.48</v>
      </c>
      <c r="E76" s="105">
        <v>17.48</v>
      </c>
      <c r="F76" s="105">
        <v>16.84</v>
      </c>
      <c r="G76" s="105">
        <v>16.84</v>
      </c>
      <c r="H76" s="105">
        <v>15.57</v>
      </c>
      <c r="I76" s="105">
        <v>15.57</v>
      </c>
    </row>
    <row r="77" spans="1:9" x14ac:dyDescent="0.25">
      <c r="A77" s="104">
        <v>67</v>
      </c>
      <c r="B77" s="105">
        <v>16.79</v>
      </c>
      <c r="C77" s="105">
        <v>16.79</v>
      </c>
      <c r="D77" s="105">
        <v>16.809999999999999</v>
      </c>
      <c r="E77" s="105">
        <v>16.809999999999999</v>
      </c>
      <c r="F77" s="105">
        <v>16.850000000000001</v>
      </c>
      <c r="G77" s="105">
        <v>16.850000000000001</v>
      </c>
      <c r="H77" s="105">
        <v>16.22</v>
      </c>
      <c r="I77" s="105">
        <v>16.22</v>
      </c>
    </row>
    <row r="78" spans="1:9" x14ac:dyDescent="0.25">
      <c r="A78" s="104">
        <v>68</v>
      </c>
      <c r="B78" s="105">
        <v>16.13</v>
      </c>
      <c r="C78" s="105">
        <v>16.13</v>
      </c>
      <c r="D78" s="105">
        <v>16.149999999999999</v>
      </c>
      <c r="E78" s="105">
        <v>16.149999999999999</v>
      </c>
      <c r="F78" s="105">
        <v>16.18</v>
      </c>
      <c r="G78" s="105">
        <v>16.18</v>
      </c>
      <c r="H78" s="105">
        <v>16.22</v>
      </c>
      <c r="I78" s="105">
        <v>16.22</v>
      </c>
    </row>
    <row r="79" spans="1:9" x14ac:dyDescent="0.25">
      <c r="A79" s="104">
        <v>69</v>
      </c>
      <c r="B79" s="105">
        <v>15.48</v>
      </c>
      <c r="C79" s="105">
        <v>15.48</v>
      </c>
      <c r="D79" s="105">
        <v>15.49</v>
      </c>
      <c r="E79" s="105">
        <v>15.49</v>
      </c>
      <c r="F79" s="105">
        <v>15.51</v>
      </c>
      <c r="G79" s="105">
        <v>15.51</v>
      </c>
      <c r="H79" s="105">
        <v>15.54</v>
      </c>
      <c r="I79" s="105">
        <v>15.54</v>
      </c>
    </row>
    <row r="80" spans="1:9" x14ac:dyDescent="0.25">
      <c r="A80" s="104">
        <v>70</v>
      </c>
      <c r="B80" s="105">
        <v>14.84</v>
      </c>
      <c r="C80" s="105">
        <v>14.84</v>
      </c>
      <c r="D80" s="105">
        <v>14.84</v>
      </c>
      <c r="E80" s="105">
        <v>14.84</v>
      </c>
      <c r="F80" s="105">
        <v>14.85</v>
      </c>
      <c r="G80" s="105">
        <v>14.85</v>
      </c>
      <c r="H80" s="105">
        <v>14.88</v>
      </c>
      <c r="I80" s="105">
        <v>14.88</v>
      </c>
    </row>
    <row r="81" spans="1:9" x14ac:dyDescent="0.25">
      <c r="A81" s="104">
        <v>71</v>
      </c>
      <c r="B81" s="105">
        <v>14.2</v>
      </c>
      <c r="C81" s="105">
        <v>14.2</v>
      </c>
      <c r="D81" s="105">
        <v>14.2</v>
      </c>
      <c r="E81" s="105">
        <v>14.2</v>
      </c>
      <c r="F81" s="105">
        <v>14.2</v>
      </c>
      <c r="G81" s="105">
        <v>14.2</v>
      </c>
      <c r="H81" s="105">
        <v>14.22</v>
      </c>
      <c r="I81" s="105">
        <v>14.22</v>
      </c>
    </row>
    <row r="82" spans="1:9" x14ac:dyDescent="0.25">
      <c r="A82" s="104">
        <v>72</v>
      </c>
      <c r="B82" s="105">
        <v>13.57</v>
      </c>
      <c r="C82" s="105">
        <v>13.57</v>
      </c>
      <c r="D82" s="105">
        <v>13.57</v>
      </c>
      <c r="E82" s="105">
        <v>13.57</v>
      </c>
      <c r="F82" s="105">
        <v>13.57</v>
      </c>
      <c r="G82" s="105">
        <v>13.57</v>
      </c>
      <c r="H82" s="105">
        <v>13.57</v>
      </c>
      <c r="I82" s="105">
        <v>13.57</v>
      </c>
    </row>
    <row r="83" spans="1:9" x14ac:dyDescent="0.25">
      <c r="A83" s="104">
        <v>73</v>
      </c>
      <c r="B83" s="105">
        <v>12.94</v>
      </c>
      <c r="C83" s="105">
        <v>12.94</v>
      </c>
      <c r="D83" s="105">
        <v>12.94</v>
      </c>
      <c r="E83" s="105">
        <v>12.94</v>
      </c>
      <c r="F83" s="105">
        <v>12.94</v>
      </c>
      <c r="G83" s="105">
        <v>12.94</v>
      </c>
      <c r="H83" s="105">
        <v>12.94</v>
      </c>
      <c r="I83" s="105">
        <v>12.94</v>
      </c>
    </row>
    <row r="84" spans="1:9" x14ac:dyDescent="0.25">
      <c r="A84" s="104">
        <v>74</v>
      </c>
      <c r="B84" s="105">
        <v>12.31</v>
      </c>
      <c r="C84" s="105">
        <v>12.31</v>
      </c>
      <c r="D84" s="105">
        <v>12.31</v>
      </c>
      <c r="E84" s="105">
        <v>12.31</v>
      </c>
      <c r="F84" s="105">
        <v>12.31</v>
      </c>
      <c r="G84" s="105">
        <v>12.31</v>
      </c>
      <c r="H84" s="105">
        <v>12.31</v>
      </c>
      <c r="I84" s="105">
        <v>12.31</v>
      </c>
    </row>
    <row r="85" spans="1:9" x14ac:dyDescent="0.25">
      <c r="A85" s="104">
        <v>75</v>
      </c>
      <c r="B85" s="105">
        <v>11.69</v>
      </c>
      <c r="C85" s="105">
        <v>11.69</v>
      </c>
      <c r="D85" s="105">
        <v>11.69</v>
      </c>
      <c r="E85" s="105">
        <v>11.69</v>
      </c>
      <c r="F85" s="105">
        <v>11.69</v>
      </c>
      <c r="G85" s="105">
        <v>11.69</v>
      </c>
      <c r="H85" s="105">
        <v>11.69</v>
      </c>
      <c r="I85" s="105">
        <v>11.69</v>
      </c>
    </row>
  </sheetData>
  <sheetProtection algorithmName="SHA-512" hashValue="av291Bfimf+42V0n0oCWCXoQJbvBc5yZ4beZvoG+VvVb4EINZ7gJ7zDxTxmJ7dP1US+tDcsOTt4QW43vVpcCvw==" saltValue="WkpeqAGBW/LvdjSq1JiQmA==" spinCount="100000" sheet="1" objects="1" scenarios="1"/>
  <conditionalFormatting sqref="A6:A21">
    <cfRule type="expression" dxfId="813" priority="1" stopIfTrue="1">
      <formula>MOD(ROW(),2)=0</formula>
    </cfRule>
    <cfRule type="expression" dxfId="812" priority="2" stopIfTrue="1">
      <formula>MOD(ROW(),2)&lt;&gt;0</formula>
    </cfRule>
  </conditionalFormatting>
  <conditionalFormatting sqref="A26:A85">
    <cfRule type="expression" dxfId="811" priority="5" stopIfTrue="1">
      <formula>MOD(ROW(),2)=0</formula>
    </cfRule>
    <cfRule type="expression" dxfId="810" priority="6" stopIfTrue="1">
      <formula>MOD(ROW(),2)&lt;&gt;0</formula>
    </cfRule>
  </conditionalFormatting>
  <conditionalFormatting sqref="B18:B21">
    <cfRule type="expression" dxfId="809" priority="13" stopIfTrue="1">
      <formula>MOD(ROW(),2)=0</formula>
    </cfRule>
    <cfRule type="expression" dxfId="808" priority="14" stopIfTrue="1">
      <formula>MOD(ROW(),2)&lt;&gt;0</formula>
    </cfRule>
  </conditionalFormatting>
  <conditionalFormatting sqref="B6:I21">
    <cfRule type="expression" dxfId="807" priority="25" stopIfTrue="1">
      <formula>MOD(ROW(),2)=0</formula>
    </cfRule>
    <cfRule type="expression" dxfId="806" priority="26" stopIfTrue="1">
      <formula>MOD(ROW(),2)&lt;&gt;0</formula>
    </cfRule>
  </conditionalFormatting>
  <conditionalFormatting sqref="B26:I85">
    <cfRule type="expression" dxfId="805" priority="7" stopIfTrue="1">
      <formula>MOD(ROW(),2)=0</formula>
    </cfRule>
    <cfRule type="expression" dxfId="804" priority="8" stopIfTrue="1">
      <formula>MOD(ROW(),2)&lt;&gt;0</formula>
    </cfRule>
  </conditionalFormatting>
  <hyperlinks>
    <hyperlink ref="B24" location="Sheet1!A1" display="Assumptions" xr:uid="{242C3A2A-0441-4CEE-B9A9-EA960DDDD02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5546875" style="27" customWidth="1"/>
    <col min="2" max="2" width="40.4414062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e">
        <f>TABLE_FACTOR_TYPE&amp;" - x-"&amp;TABLE_SERIES_NUMBER</f>
        <v>#NAME?</v>
      </c>
      <c r="B3" s="42"/>
      <c r="C3" s="42"/>
      <c r="D3" s="42"/>
      <c r="E3" s="42"/>
      <c r="F3" s="42"/>
      <c r="G3" s="42"/>
      <c r="H3" s="42"/>
      <c r="I3" s="42"/>
    </row>
    <row r="4" spans="1:9" x14ac:dyDescent="0.25">
      <c r="A4" s="44" t="str">
        <f ca="1">CELL("filename",A1)</f>
        <v>https://tris42.sharepoint.com/sites/gad_wrkgrp_actuarial/pspsactuarialwork/Central/Factors &amp; Guidance/2024 Guidance Review/4. Online portal/3. Import data/3. Factor tables/0_client_friendly/Ready to be uploaded/2025-03/[CS GB Consolidated Factors 2025-02.xlsx]x-Series Number</v>
      </c>
    </row>
    <row r="6" spans="1:9" x14ac:dyDescent="0.25">
      <c r="A6" s="45" t="s">
        <v>290</v>
      </c>
      <c r="B6" s="46" t="s">
        <v>291</v>
      </c>
    </row>
    <row r="7" spans="1:9" x14ac:dyDescent="0.25">
      <c r="A7" s="47" t="s">
        <v>292</v>
      </c>
      <c r="B7" s="49" t="s">
        <v>293</v>
      </c>
    </row>
    <row r="8" spans="1:9" x14ac:dyDescent="0.25">
      <c r="A8" s="47" t="s">
        <v>294</v>
      </c>
      <c r="B8" s="49" t="s">
        <v>295</v>
      </c>
    </row>
    <row r="9" spans="1:9" ht="12.75" customHeight="1" x14ac:dyDescent="0.25">
      <c r="A9" s="47" t="s">
        <v>296</v>
      </c>
      <c r="B9" s="50" t="s">
        <v>297</v>
      </c>
    </row>
    <row r="10" spans="1:9" ht="12.75" customHeight="1" x14ac:dyDescent="0.25">
      <c r="A10" s="47" t="s">
        <v>6</v>
      </c>
      <c r="B10" s="50" t="s">
        <v>298</v>
      </c>
    </row>
    <row r="11" spans="1:9" x14ac:dyDescent="0.25">
      <c r="A11" s="47" t="s">
        <v>299</v>
      </c>
      <c r="B11" s="50" t="s">
        <v>300</v>
      </c>
    </row>
    <row r="12" spans="1:9" x14ac:dyDescent="0.25">
      <c r="A12" s="47" t="s">
        <v>301</v>
      </c>
      <c r="B12" s="48" t="s">
        <v>302</v>
      </c>
    </row>
    <row r="13" spans="1:9" ht="12.75" customHeight="1" x14ac:dyDescent="0.25">
      <c r="A13" s="47" t="s">
        <v>303</v>
      </c>
      <c r="B13" s="48" t="s">
        <v>304</v>
      </c>
    </row>
    <row r="14" spans="1:9" ht="12.75" customHeight="1" x14ac:dyDescent="0.25">
      <c r="A14" s="47" t="s">
        <v>305</v>
      </c>
      <c r="B14" s="48" t="s">
        <v>306</v>
      </c>
    </row>
    <row r="15" spans="1:9" ht="79.2" x14ac:dyDescent="0.25">
      <c r="A15" s="51" t="s">
        <v>307</v>
      </c>
      <c r="B15" s="52" t="s">
        <v>308</v>
      </c>
    </row>
    <row r="16" spans="1:9" ht="26.4" x14ac:dyDescent="0.25">
      <c r="A16" s="53" t="s">
        <v>309</v>
      </c>
      <c r="B16" s="52" t="s">
        <v>310</v>
      </c>
    </row>
    <row r="17" spans="1:2" ht="52.5" customHeight="1" x14ac:dyDescent="0.25">
      <c r="A17" s="54" t="s">
        <v>311</v>
      </c>
      <c r="B17" s="52" t="s">
        <v>312</v>
      </c>
    </row>
    <row r="18" spans="1:2" ht="26.4" x14ac:dyDescent="0.25">
      <c r="A18" s="51" t="s">
        <v>313</v>
      </c>
      <c r="B18" s="55" t="s">
        <v>314</v>
      </c>
    </row>
    <row r="19" spans="1:2" x14ac:dyDescent="0.25">
      <c r="A19" s="53" t="s">
        <v>315</v>
      </c>
      <c r="B19" s="55" t="s">
        <v>316</v>
      </c>
    </row>
    <row r="20" spans="1:2" ht="26.4" x14ac:dyDescent="0.25">
      <c r="A20" s="53" t="s">
        <v>317</v>
      </c>
      <c r="B20" s="55" t="s">
        <v>318</v>
      </c>
    </row>
    <row r="22" spans="1:2" x14ac:dyDescent="0.25">
      <c r="B22" s="102" t="str">
        <f>HYPERLINK("#'Factor List'!A1","Back to Factor List")</f>
        <v>Back to Factor List</v>
      </c>
    </row>
    <row r="25" spans="1:2" x14ac:dyDescent="0.25">
      <c r="A25" s="56" t="s">
        <v>319</v>
      </c>
      <c r="B25" s="57"/>
    </row>
    <row r="26" spans="1:2" x14ac:dyDescent="0.25">
      <c r="A26" s="58"/>
      <c r="B26" s="59"/>
    </row>
    <row r="27" spans="1:2" x14ac:dyDescent="0.25">
      <c r="A27" s="60"/>
      <c r="B27" s="61"/>
    </row>
    <row r="28" spans="1:2" x14ac:dyDescent="0.25">
      <c r="A28" s="58"/>
      <c r="B28" s="59"/>
    </row>
    <row r="29" spans="1:2" x14ac:dyDescent="0.25">
      <c r="A29" s="62"/>
      <c r="B29" s="63"/>
    </row>
    <row r="30" spans="1:2" x14ac:dyDescent="0.25">
      <c r="A30" s="64"/>
      <c r="B30" s="65"/>
    </row>
    <row r="31" spans="1:2" x14ac:dyDescent="0.25">
      <c r="A31" s="58"/>
      <c r="B31" s="59"/>
    </row>
    <row r="32" spans="1:2" x14ac:dyDescent="0.25">
      <c r="A32" s="66"/>
      <c r="B32" s="67"/>
    </row>
    <row r="33" spans="1:2" x14ac:dyDescent="0.25">
      <c r="A33" s="66"/>
      <c r="B33" s="67"/>
    </row>
    <row r="34" spans="1:2" x14ac:dyDescent="0.25">
      <c r="A34" s="66"/>
      <c r="B34" s="67"/>
    </row>
    <row r="35" spans="1:2" x14ac:dyDescent="0.25">
      <c r="A35" s="66"/>
      <c r="B35" s="67"/>
    </row>
    <row r="36" spans="1:2" x14ac:dyDescent="0.25">
      <c r="A36" s="66"/>
      <c r="B36" s="67"/>
    </row>
    <row r="37" spans="1:2" x14ac:dyDescent="0.25">
      <c r="A37" s="66"/>
      <c r="B37" s="67"/>
    </row>
    <row r="38" spans="1:2" x14ac:dyDescent="0.25">
      <c r="A38" s="66"/>
      <c r="B38" s="67"/>
    </row>
    <row r="39" spans="1:2" x14ac:dyDescent="0.25">
      <c r="A39" s="66"/>
      <c r="B39" s="67"/>
    </row>
    <row r="40" spans="1:2" x14ac:dyDescent="0.25">
      <c r="A40" s="66"/>
      <c r="B40" s="67"/>
    </row>
    <row r="41" spans="1:2" x14ac:dyDescent="0.25">
      <c r="A41" s="66"/>
      <c r="B41" s="67"/>
    </row>
    <row r="42" spans="1:2" x14ac:dyDescent="0.25">
      <c r="A42" s="62"/>
      <c r="B42" s="63"/>
    </row>
    <row r="43" spans="1:2" ht="39.6" customHeight="1" x14ac:dyDescent="0.25">
      <c r="A43" s="68"/>
      <c r="B43" s="69"/>
    </row>
    <row r="44" spans="1:2" x14ac:dyDescent="0.25">
      <c r="A44" s="62"/>
      <c r="B44" s="63"/>
    </row>
    <row r="45" spans="1:2" ht="27.6" customHeight="1" x14ac:dyDescent="0.25">
      <c r="A45" s="62"/>
      <c r="B45" s="63"/>
    </row>
    <row r="46" spans="1:2" x14ac:dyDescent="0.25">
      <c r="A46" s="62"/>
      <c r="B46" s="63"/>
    </row>
    <row r="47" spans="1:2" x14ac:dyDescent="0.25">
      <c r="A47" s="62"/>
      <c r="B47" s="63"/>
    </row>
    <row r="48" spans="1:2" x14ac:dyDescent="0.25">
      <c r="A48" s="62"/>
      <c r="B48" s="63"/>
    </row>
    <row r="49" spans="1:2" x14ac:dyDescent="0.25">
      <c r="A49" s="62"/>
      <c r="B49" s="63"/>
    </row>
    <row r="50" spans="1:2" x14ac:dyDescent="0.25">
      <c r="A50" s="62"/>
      <c r="B50" s="63"/>
    </row>
    <row r="51" spans="1:2" x14ac:dyDescent="0.25">
      <c r="A51" s="62"/>
      <c r="B51" s="63"/>
    </row>
    <row r="52" spans="1:2" x14ac:dyDescent="0.25">
      <c r="A52" s="62"/>
      <c r="B52" s="63"/>
    </row>
    <row r="53" spans="1:2" x14ac:dyDescent="0.25">
      <c r="A53" s="62"/>
      <c r="B53" s="63"/>
    </row>
    <row r="54" spans="1:2" x14ac:dyDescent="0.25">
      <c r="A54" s="62"/>
      <c r="B54" s="63"/>
    </row>
    <row r="55" spans="1:2" x14ac:dyDescent="0.25">
      <c r="A55" s="62"/>
      <c r="B55" s="63"/>
    </row>
    <row r="56" spans="1:2" x14ac:dyDescent="0.25">
      <c r="A56" s="62"/>
      <c r="B56" s="63"/>
    </row>
    <row r="57" spans="1:2" x14ac:dyDescent="0.25">
      <c r="A57" s="62"/>
      <c r="B57" s="63"/>
    </row>
    <row r="58" spans="1:2" x14ac:dyDescent="0.25">
      <c r="A58" s="62"/>
      <c r="B58" s="63"/>
    </row>
    <row r="59" spans="1:2" x14ac:dyDescent="0.25">
      <c r="A59" s="62"/>
      <c r="B59" s="63"/>
    </row>
    <row r="60" spans="1:2" x14ac:dyDescent="0.25">
      <c r="A60" s="62"/>
      <c r="B60" s="63"/>
    </row>
    <row r="61" spans="1:2" x14ac:dyDescent="0.25">
      <c r="A61" s="62"/>
      <c r="B61" s="63"/>
    </row>
    <row r="62" spans="1:2" x14ac:dyDescent="0.25">
      <c r="A62" s="62"/>
      <c r="B62" s="63"/>
    </row>
    <row r="63" spans="1:2" x14ac:dyDescent="0.25">
      <c r="A63" s="62"/>
      <c r="B63" s="63"/>
    </row>
    <row r="64" spans="1:2" x14ac:dyDescent="0.25">
      <c r="A64" s="70"/>
      <c r="B64" s="71"/>
    </row>
  </sheetData>
  <sheetProtection algorithmName="SHA-512" hashValue="YVqKzdUlT4Ap6UHlxbrjXjL447+D+szxOF77WBR0aUbcQ7WL3Nc4XR+NmVsxDg6ocmmyszvqRsu9wELZDKDBmw==" saltValue="8GSxDh3zRl9eQuzJzU36Qw=="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6"/>
  <dimension ref="A1:I47"/>
  <sheetViews>
    <sheetView showGridLines="0" zoomScale="85" zoomScaleNormal="85" workbookViewId="0">
      <selection activeCell="A4" sqref="A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Scheme pays AA - x-602</v>
      </c>
      <c r="B3" s="42"/>
      <c r="C3" s="42"/>
      <c r="D3" s="42"/>
      <c r="E3" s="42"/>
      <c r="F3" s="42"/>
      <c r="G3" s="42"/>
      <c r="H3" s="42"/>
      <c r="I3" s="42"/>
    </row>
    <row r="4" spans="1:9" x14ac:dyDescent="0.25">
      <c r="A4" s="44"/>
    </row>
    <row r="6" spans="1:9" x14ac:dyDescent="0.25">
      <c r="A6" s="87" t="s">
        <v>290</v>
      </c>
      <c r="B6" s="185" t="s">
        <v>291</v>
      </c>
      <c r="C6" s="185"/>
    </row>
    <row r="7" spans="1:9" x14ac:dyDescent="0.25">
      <c r="A7" s="81" t="s">
        <v>804</v>
      </c>
      <c r="B7" s="185" t="s">
        <v>324</v>
      </c>
      <c r="C7" s="185"/>
    </row>
    <row r="8" spans="1:9" x14ac:dyDescent="0.25">
      <c r="A8" s="81" t="s">
        <v>805</v>
      </c>
      <c r="B8" s="185" t="s">
        <v>85</v>
      </c>
      <c r="C8" s="185"/>
    </row>
    <row r="9" spans="1:9" x14ac:dyDescent="0.25">
      <c r="A9" s="81" t="s">
        <v>296</v>
      </c>
      <c r="B9" s="185" t="s">
        <v>514</v>
      </c>
      <c r="C9" s="185"/>
    </row>
    <row r="10" spans="1:9" ht="26.1" customHeight="1" x14ac:dyDescent="0.25">
      <c r="A10" s="81" t="s">
        <v>6</v>
      </c>
      <c r="B10" s="185" t="s">
        <v>518</v>
      </c>
      <c r="C10" s="185"/>
    </row>
    <row r="11" spans="1:9" x14ac:dyDescent="0.25">
      <c r="A11" s="81" t="s">
        <v>299</v>
      </c>
      <c r="B11" s="185" t="s">
        <v>327</v>
      </c>
      <c r="C11" s="185"/>
    </row>
    <row r="12" spans="1:9" x14ac:dyDescent="0.25">
      <c r="A12" s="81" t="s">
        <v>301</v>
      </c>
      <c r="B12" s="185" t="s">
        <v>328</v>
      </c>
      <c r="C12" s="185"/>
    </row>
    <row r="13" spans="1:9" x14ac:dyDescent="0.25">
      <c r="A13" s="81" t="s">
        <v>806</v>
      </c>
      <c r="B13" s="185">
        <v>0</v>
      </c>
      <c r="C13" s="185"/>
    </row>
    <row r="14" spans="1:9" x14ac:dyDescent="0.25">
      <c r="A14" s="81" t="s">
        <v>305</v>
      </c>
      <c r="B14" s="185">
        <v>602</v>
      </c>
      <c r="C14" s="185"/>
    </row>
    <row r="15" spans="1:9" x14ac:dyDescent="0.25">
      <c r="A15" s="81" t="s">
        <v>307</v>
      </c>
      <c r="B15" s="185" t="s">
        <v>519</v>
      </c>
      <c r="C15" s="185"/>
    </row>
    <row r="16" spans="1:9" x14ac:dyDescent="0.25">
      <c r="A16" s="81" t="s">
        <v>825</v>
      </c>
      <c r="B16" s="185" t="s">
        <v>520</v>
      </c>
      <c r="C16" s="185"/>
    </row>
    <row r="17" spans="1:3" ht="73.5" customHeight="1" x14ac:dyDescent="0.25">
      <c r="A17" s="81" t="s">
        <v>803</v>
      </c>
      <c r="B17" s="185"/>
      <c r="C17" s="185"/>
    </row>
    <row r="18" spans="1:3" x14ac:dyDescent="0.25">
      <c r="A18" s="81" t="s">
        <v>313</v>
      </c>
      <c r="B18" s="188">
        <v>45071</v>
      </c>
      <c r="C18" s="185"/>
    </row>
    <row r="19" spans="1:3" x14ac:dyDescent="0.25">
      <c r="A19" s="81" t="s">
        <v>315</v>
      </c>
      <c r="B19" s="188"/>
      <c r="C19" s="185"/>
    </row>
    <row r="20" spans="1:3" x14ac:dyDescent="0.25">
      <c r="A20" s="81" t="s">
        <v>317</v>
      </c>
      <c r="B20" s="185" t="s">
        <v>331</v>
      </c>
      <c r="C20" s="185"/>
    </row>
    <row r="21" spans="1:3" x14ac:dyDescent="0.25">
      <c r="A21" s="77" t="s">
        <v>323</v>
      </c>
      <c r="B21" s="185" t="s">
        <v>332</v>
      </c>
      <c r="C21" s="185"/>
    </row>
    <row r="23" spans="1:3" x14ac:dyDescent="0.25">
      <c r="B23" s="102" t="str">
        <f>HYPERLINK("#'Factor List'!A1","Back to Factor List")</f>
        <v>Back to Factor List</v>
      </c>
    </row>
    <row r="24" spans="1:3" x14ac:dyDescent="0.25">
      <c r="B24" s="102" t="s">
        <v>13</v>
      </c>
    </row>
    <row r="25" spans="1:3" x14ac:dyDescent="0.25">
      <c r="B25" s="102"/>
    </row>
    <row r="26" spans="1:3" x14ac:dyDescent="0.25">
      <c r="A26" s="103" t="s">
        <v>373</v>
      </c>
      <c r="B26" s="103" t="s">
        <v>404</v>
      </c>
      <c r="C26" s="103" t="s">
        <v>409</v>
      </c>
    </row>
    <row r="27" spans="1:3" x14ac:dyDescent="0.25">
      <c r="A27" s="104">
        <v>55</v>
      </c>
      <c r="B27" s="105">
        <v>24.22</v>
      </c>
      <c r="C27" s="105">
        <v>24.22</v>
      </c>
    </row>
    <row r="28" spans="1:3" x14ac:dyDescent="0.25">
      <c r="A28" s="104">
        <v>56</v>
      </c>
      <c r="B28" s="105">
        <v>23.63</v>
      </c>
      <c r="C28" s="105">
        <v>23.63</v>
      </c>
    </row>
    <row r="29" spans="1:3" x14ac:dyDescent="0.25">
      <c r="A29" s="104">
        <v>57</v>
      </c>
      <c r="B29" s="105">
        <v>23.04</v>
      </c>
      <c r="C29" s="105">
        <v>23.04</v>
      </c>
    </row>
    <row r="30" spans="1:3" x14ac:dyDescent="0.25">
      <c r="A30" s="104">
        <v>58</v>
      </c>
      <c r="B30" s="105">
        <v>22.44</v>
      </c>
      <c r="C30" s="105">
        <v>22.44</v>
      </c>
    </row>
    <row r="31" spans="1:3" x14ac:dyDescent="0.25">
      <c r="A31" s="104">
        <v>59</v>
      </c>
      <c r="B31" s="105">
        <v>21.83</v>
      </c>
      <c r="C31" s="105">
        <v>21.83</v>
      </c>
    </row>
    <row r="32" spans="1:3" x14ac:dyDescent="0.25">
      <c r="A32" s="104">
        <v>60</v>
      </c>
      <c r="B32" s="105">
        <v>21.22</v>
      </c>
      <c r="C32" s="105">
        <v>21.22</v>
      </c>
    </row>
    <row r="33" spans="1:3" x14ac:dyDescent="0.25">
      <c r="A33" s="104">
        <v>61</v>
      </c>
      <c r="B33" s="105">
        <v>20.61</v>
      </c>
      <c r="C33" s="105">
        <v>20.61</v>
      </c>
    </row>
    <row r="34" spans="1:3" x14ac:dyDescent="0.25">
      <c r="A34" s="104">
        <v>62</v>
      </c>
      <c r="B34" s="105">
        <v>19.989999999999998</v>
      </c>
      <c r="C34" s="105">
        <v>19.989999999999998</v>
      </c>
    </row>
    <row r="35" spans="1:3" x14ac:dyDescent="0.25">
      <c r="A35" s="104">
        <v>63</v>
      </c>
      <c r="B35" s="105">
        <v>19.37</v>
      </c>
      <c r="C35" s="105">
        <v>19.37</v>
      </c>
    </row>
    <row r="36" spans="1:3" x14ac:dyDescent="0.25">
      <c r="A36" s="104">
        <v>64</v>
      </c>
      <c r="B36" s="105">
        <v>18.75</v>
      </c>
      <c r="C36" s="105">
        <v>18.75</v>
      </c>
    </row>
    <row r="37" spans="1:3" x14ac:dyDescent="0.25">
      <c r="A37" s="104">
        <v>65</v>
      </c>
      <c r="B37" s="105">
        <v>18.12</v>
      </c>
      <c r="C37" s="105">
        <v>18.12</v>
      </c>
    </row>
    <row r="38" spans="1:3" x14ac:dyDescent="0.25">
      <c r="A38" s="104">
        <v>66</v>
      </c>
      <c r="B38" s="105">
        <v>17.5</v>
      </c>
      <c r="C38" s="105">
        <v>17.5</v>
      </c>
    </row>
    <row r="39" spans="1:3" x14ac:dyDescent="0.25">
      <c r="A39" s="104">
        <v>67</v>
      </c>
      <c r="B39" s="105">
        <v>16.87</v>
      </c>
      <c r="C39" s="105">
        <v>16.87</v>
      </c>
    </row>
    <row r="40" spans="1:3" x14ac:dyDescent="0.25">
      <c r="A40" s="104">
        <v>68</v>
      </c>
      <c r="B40" s="105">
        <v>16.22</v>
      </c>
      <c r="C40" s="105">
        <v>16.22</v>
      </c>
    </row>
    <row r="41" spans="1:3" x14ac:dyDescent="0.25">
      <c r="A41" s="104">
        <v>69</v>
      </c>
      <c r="B41" s="105">
        <v>15.54</v>
      </c>
      <c r="C41" s="105">
        <v>15.54</v>
      </c>
    </row>
    <row r="42" spans="1:3" x14ac:dyDescent="0.25">
      <c r="A42" s="104">
        <v>70</v>
      </c>
      <c r="B42" s="105">
        <v>14.88</v>
      </c>
      <c r="C42" s="105">
        <v>14.88</v>
      </c>
    </row>
    <row r="43" spans="1:3" x14ac:dyDescent="0.25">
      <c r="A43" s="104">
        <v>71</v>
      </c>
      <c r="B43" s="105">
        <v>14.22</v>
      </c>
      <c r="C43" s="105">
        <v>14.22</v>
      </c>
    </row>
    <row r="44" spans="1:3" x14ac:dyDescent="0.25">
      <c r="A44" s="104">
        <v>72</v>
      </c>
      <c r="B44" s="105">
        <v>13.57</v>
      </c>
      <c r="C44" s="105">
        <v>13.57</v>
      </c>
    </row>
    <row r="45" spans="1:3" x14ac:dyDescent="0.25">
      <c r="A45" s="104">
        <v>73</v>
      </c>
      <c r="B45" s="105">
        <v>12.94</v>
      </c>
      <c r="C45" s="105">
        <v>12.94</v>
      </c>
    </row>
    <row r="46" spans="1:3" x14ac:dyDescent="0.25">
      <c r="A46" s="104">
        <v>74</v>
      </c>
      <c r="B46" s="105">
        <v>12.31</v>
      </c>
      <c r="C46" s="105">
        <v>12.31</v>
      </c>
    </row>
    <row r="47" spans="1:3" x14ac:dyDescent="0.25">
      <c r="A47" s="104">
        <v>75</v>
      </c>
      <c r="B47" s="105">
        <v>11.69</v>
      </c>
      <c r="C47" s="105">
        <v>11.69</v>
      </c>
    </row>
  </sheetData>
  <sheetProtection algorithmName="SHA-512" hashValue="OPBfmdHl8nPhGe/fnn5QA5vfjO7fL9y0Pqs1+jrWrWbrc9D9APDPJoftYaLGYU0/GA9FPIGBJa/M4UhDvFgVog==" saltValue="RGNdqosmenSv7TvrRfSo2w==" spinCount="100000" sheet="1" objects="1" scenarios="1"/>
  <conditionalFormatting sqref="A6:A21">
    <cfRule type="expression" dxfId="803" priority="1" stopIfTrue="1">
      <formula>MOD(ROW(),2)=0</formula>
    </cfRule>
    <cfRule type="expression" dxfId="802" priority="2" stopIfTrue="1">
      <formula>MOD(ROW(),2)&lt;&gt;0</formula>
    </cfRule>
  </conditionalFormatting>
  <conditionalFormatting sqref="A26:A47">
    <cfRule type="expression" dxfId="801" priority="5" stopIfTrue="1">
      <formula>MOD(ROW(),2)=0</formula>
    </cfRule>
    <cfRule type="expression" dxfId="800" priority="6" stopIfTrue="1">
      <formula>MOD(ROW(),2)&lt;&gt;0</formula>
    </cfRule>
  </conditionalFormatting>
  <conditionalFormatting sqref="B17:B21">
    <cfRule type="expression" dxfId="799" priority="13" stopIfTrue="1">
      <formula>MOD(ROW(),2)=0</formula>
    </cfRule>
    <cfRule type="expression" dxfId="798" priority="14" stopIfTrue="1">
      <formula>MOD(ROW(),2)&lt;&gt;0</formula>
    </cfRule>
  </conditionalFormatting>
  <conditionalFormatting sqref="B6:C21">
    <cfRule type="expression" dxfId="797" priority="27" stopIfTrue="1">
      <formula>MOD(ROW(),2)=0</formula>
    </cfRule>
    <cfRule type="expression" dxfId="796" priority="28" stopIfTrue="1">
      <formula>MOD(ROW(),2)&lt;&gt;0</formula>
    </cfRule>
  </conditionalFormatting>
  <conditionalFormatting sqref="B26:C47">
    <cfRule type="expression" dxfId="795" priority="7" stopIfTrue="1">
      <formula>MOD(ROW(),2)=0</formula>
    </cfRule>
    <cfRule type="expression" dxfId="794" priority="8" stopIfTrue="1">
      <formula>MOD(ROW(),2)&lt;&gt;0</formula>
    </cfRule>
  </conditionalFormatting>
  <hyperlinks>
    <hyperlink ref="B24" location="Sheet1!A1" display="Assumptions" xr:uid="{1219BE08-3FF7-41D8-A2DA-65CF685175E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7"/>
  <dimension ref="A1:I82"/>
  <sheetViews>
    <sheetView showGridLines="0" zoomScale="85" zoomScaleNormal="85" workbookViewId="0">
      <selection activeCell="A4" sqref="A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Scheme pays AA - x-603</v>
      </c>
      <c r="B3" s="42"/>
      <c r="C3" s="42"/>
      <c r="D3" s="42"/>
      <c r="E3" s="42"/>
      <c r="F3" s="42"/>
      <c r="G3" s="42"/>
      <c r="H3" s="42"/>
      <c r="I3" s="42"/>
    </row>
    <row r="4" spans="1:9" x14ac:dyDescent="0.25">
      <c r="A4" s="44"/>
    </row>
    <row r="6" spans="1:9" x14ac:dyDescent="0.25">
      <c r="A6" s="87" t="s">
        <v>290</v>
      </c>
      <c r="B6" s="185" t="s">
        <v>291</v>
      </c>
      <c r="C6" s="185"/>
    </row>
    <row r="7" spans="1:9" x14ac:dyDescent="0.25">
      <c r="A7" s="81" t="s">
        <v>804</v>
      </c>
      <c r="B7" s="185" t="s">
        <v>324</v>
      </c>
      <c r="C7" s="185"/>
    </row>
    <row r="8" spans="1:9" x14ac:dyDescent="0.25">
      <c r="A8" s="81" t="s">
        <v>805</v>
      </c>
      <c r="B8" s="185" t="s">
        <v>85</v>
      </c>
      <c r="C8" s="185"/>
    </row>
    <row r="9" spans="1:9" x14ac:dyDescent="0.25">
      <c r="A9" s="81" t="s">
        <v>296</v>
      </c>
      <c r="B9" s="185" t="s">
        <v>514</v>
      </c>
      <c r="C9" s="185"/>
    </row>
    <row r="10" spans="1:9" x14ac:dyDescent="0.25">
      <c r="A10" s="81" t="s">
        <v>6</v>
      </c>
      <c r="B10" s="185" t="s">
        <v>521</v>
      </c>
      <c r="C10" s="185"/>
    </row>
    <row r="11" spans="1:9" x14ac:dyDescent="0.25">
      <c r="A11" s="81" t="s">
        <v>299</v>
      </c>
      <c r="B11" s="185" t="s">
        <v>327</v>
      </c>
      <c r="C11" s="185"/>
    </row>
    <row r="12" spans="1:9" x14ac:dyDescent="0.25">
      <c r="A12" s="81" t="s">
        <v>301</v>
      </c>
      <c r="B12" s="185" t="s">
        <v>328</v>
      </c>
      <c r="C12" s="185"/>
    </row>
    <row r="13" spans="1:9" x14ac:dyDescent="0.25">
      <c r="A13" s="81" t="s">
        <v>806</v>
      </c>
      <c r="B13" s="185">
        <v>0</v>
      </c>
      <c r="C13" s="185"/>
    </row>
    <row r="14" spans="1:9" x14ac:dyDescent="0.25">
      <c r="A14" s="81" t="s">
        <v>305</v>
      </c>
      <c r="B14" s="185">
        <v>603</v>
      </c>
      <c r="C14" s="185"/>
    </row>
    <row r="15" spans="1:9" x14ac:dyDescent="0.25">
      <c r="A15" s="81" t="s">
        <v>307</v>
      </c>
      <c r="B15" s="185" t="s">
        <v>522</v>
      </c>
      <c r="C15" s="185"/>
    </row>
    <row r="16" spans="1:9" x14ac:dyDescent="0.25">
      <c r="A16" s="81" t="s">
        <v>825</v>
      </c>
      <c r="B16" s="185" t="s">
        <v>523</v>
      </c>
      <c r="C16" s="185"/>
    </row>
    <row r="17" spans="1:3" ht="73.2" customHeight="1" x14ac:dyDescent="0.25">
      <c r="A17" s="81" t="s">
        <v>803</v>
      </c>
      <c r="B17" s="185"/>
      <c r="C17" s="185"/>
    </row>
    <row r="18" spans="1:3" x14ac:dyDescent="0.25">
      <c r="A18" s="81" t="s">
        <v>313</v>
      </c>
      <c r="B18" s="188">
        <v>45071</v>
      </c>
      <c r="C18" s="185"/>
    </row>
    <row r="19" spans="1:3" x14ac:dyDescent="0.25">
      <c r="A19" s="81" t="s">
        <v>315</v>
      </c>
      <c r="B19" s="188"/>
      <c r="C19" s="185"/>
    </row>
    <row r="20" spans="1:3" x14ac:dyDescent="0.25">
      <c r="A20" s="81" t="s">
        <v>317</v>
      </c>
      <c r="B20" s="185" t="s">
        <v>331</v>
      </c>
      <c r="C20" s="185"/>
    </row>
    <row r="21" spans="1:3" x14ac:dyDescent="0.25">
      <c r="A21" s="77" t="s">
        <v>323</v>
      </c>
      <c r="B21" s="185" t="s">
        <v>332</v>
      </c>
      <c r="C21" s="185"/>
    </row>
    <row r="23" spans="1:3" x14ac:dyDescent="0.25">
      <c r="B23" s="102" t="str">
        <f>HYPERLINK("#'Factor List'!A1","Back to Factor List")</f>
        <v>Back to Factor List</v>
      </c>
    </row>
    <row r="24" spans="1:3" x14ac:dyDescent="0.25">
      <c r="B24" s="102" t="s">
        <v>13</v>
      </c>
    </row>
    <row r="25" spans="1:3" x14ac:dyDescent="0.25">
      <c r="B25" s="102"/>
    </row>
    <row r="26" spans="1:3" x14ac:dyDescent="0.25">
      <c r="A26" s="103" t="s">
        <v>373</v>
      </c>
      <c r="B26" s="103" t="s">
        <v>404</v>
      </c>
      <c r="C26" s="103" t="s">
        <v>409</v>
      </c>
    </row>
    <row r="27" spans="1:3" x14ac:dyDescent="0.25">
      <c r="A27" s="104">
        <v>20</v>
      </c>
      <c r="B27" s="105">
        <v>40.31</v>
      </c>
      <c r="C27" s="105">
        <v>40.31</v>
      </c>
    </row>
    <row r="28" spans="1:3" x14ac:dyDescent="0.25">
      <c r="A28" s="104">
        <v>21</v>
      </c>
      <c r="B28" s="105">
        <v>39.96</v>
      </c>
      <c r="C28" s="105">
        <v>39.96</v>
      </c>
    </row>
    <row r="29" spans="1:3" x14ac:dyDescent="0.25">
      <c r="A29" s="104">
        <v>22</v>
      </c>
      <c r="B29" s="105">
        <v>39.61</v>
      </c>
      <c r="C29" s="105">
        <v>39.61</v>
      </c>
    </row>
    <row r="30" spans="1:3" x14ac:dyDescent="0.25">
      <c r="A30" s="104">
        <v>23</v>
      </c>
      <c r="B30" s="105">
        <v>39.25</v>
      </c>
      <c r="C30" s="105">
        <v>39.25</v>
      </c>
    </row>
    <row r="31" spans="1:3" x14ac:dyDescent="0.25">
      <c r="A31" s="104">
        <v>24</v>
      </c>
      <c r="B31" s="105">
        <v>38.89</v>
      </c>
      <c r="C31" s="105">
        <v>38.89</v>
      </c>
    </row>
    <row r="32" spans="1:3" x14ac:dyDescent="0.25">
      <c r="A32" s="104">
        <v>25</v>
      </c>
      <c r="B32" s="105">
        <v>38.520000000000003</v>
      </c>
      <c r="C32" s="105">
        <v>38.520000000000003</v>
      </c>
    </row>
    <row r="33" spans="1:3" x14ac:dyDescent="0.25">
      <c r="A33" s="104">
        <v>26</v>
      </c>
      <c r="B33" s="105">
        <v>38.14</v>
      </c>
      <c r="C33" s="105">
        <v>38.14</v>
      </c>
    </row>
    <row r="34" spans="1:3" x14ac:dyDescent="0.25">
      <c r="A34" s="104">
        <v>27</v>
      </c>
      <c r="B34" s="105">
        <v>37.76</v>
      </c>
      <c r="C34" s="105">
        <v>37.76</v>
      </c>
    </row>
    <row r="35" spans="1:3" x14ac:dyDescent="0.25">
      <c r="A35" s="104">
        <v>28</v>
      </c>
      <c r="B35" s="105">
        <v>37.369999999999997</v>
      </c>
      <c r="C35" s="105">
        <v>37.369999999999997</v>
      </c>
    </row>
    <row r="36" spans="1:3" x14ac:dyDescent="0.25">
      <c r="A36" s="104">
        <v>29</v>
      </c>
      <c r="B36" s="105">
        <v>36.97</v>
      </c>
      <c r="C36" s="105">
        <v>36.97</v>
      </c>
    </row>
    <row r="37" spans="1:3" x14ac:dyDescent="0.25">
      <c r="A37" s="104">
        <v>30</v>
      </c>
      <c r="B37" s="105">
        <v>36.57</v>
      </c>
      <c r="C37" s="105">
        <v>36.57</v>
      </c>
    </row>
    <row r="38" spans="1:3" x14ac:dyDescent="0.25">
      <c r="A38" s="104">
        <v>31</v>
      </c>
      <c r="B38" s="105">
        <v>36.159999999999997</v>
      </c>
      <c r="C38" s="105">
        <v>36.159999999999997</v>
      </c>
    </row>
    <row r="39" spans="1:3" x14ac:dyDescent="0.25">
      <c r="A39" s="104">
        <v>32</v>
      </c>
      <c r="B39" s="105">
        <v>35.74</v>
      </c>
      <c r="C39" s="105">
        <v>35.74</v>
      </c>
    </row>
    <row r="40" spans="1:3" x14ac:dyDescent="0.25">
      <c r="A40" s="104">
        <v>33</v>
      </c>
      <c r="B40" s="105">
        <v>35.32</v>
      </c>
      <c r="C40" s="105">
        <v>35.32</v>
      </c>
    </row>
    <row r="41" spans="1:3" x14ac:dyDescent="0.25">
      <c r="A41" s="104">
        <v>34</v>
      </c>
      <c r="B41" s="105">
        <v>34.89</v>
      </c>
      <c r="C41" s="105">
        <v>34.89</v>
      </c>
    </row>
    <row r="42" spans="1:3" x14ac:dyDescent="0.25">
      <c r="A42" s="104">
        <v>35</v>
      </c>
      <c r="B42" s="105">
        <v>34.46</v>
      </c>
      <c r="C42" s="105">
        <v>34.46</v>
      </c>
    </row>
    <row r="43" spans="1:3" x14ac:dyDescent="0.25">
      <c r="A43" s="104">
        <v>36</v>
      </c>
      <c r="B43" s="105">
        <v>34.01</v>
      </c>
      <c r="C43" s="105">
        <v>34.01</v>
      </c>
    </row>
    <row r="44" spans="1:3" x14ac:dyDescent="0.25">
      <c r="A44" s="104">
        <v>37</v>
      </c>
      <c r="B44" s="105">
        <v>33.56</v>
      </c>
      <c r="C44" s="105">
        <v>33.56</v>
      </c>
    </row>
    <row r="45" spans="1:3" x14ac:dyDescent="0.25">
      <c r="A45" s="104">
        <v>38</v>
      </c>
      <c r="B45" s="105">
        <v>33.11</v>
      </c>
      <c r="C45" s="105">
        <v>33.11</v>
      </c>
    </row>
    <row r="46" spans="1:3" x14ac:dyDescent="0.25">
      <c r="A46" s="104">
        <v>39</v>
      </c>
      <c r="B46" s="105">
        <v>32.64</v>
      </c>
      <c r="C46" s="105">
        <v>32.64</v>
      </c>
    </row>
    <row r="47" spans="1:3" x14ac:dyDescent="0.25">
      <c r="A47" s="104">
        <v>40</v>
      </c>
      <c r="B47" s="105">
        <v>32.17</v>
      </c>
      <c r="C47" s="105">
        <v>32.17</v>
      </c>
    </row>
    <row r="48" spans="1:3" x14ac:dyDescent="0.25">
      <c r="A48" s="104">
        <v>41</v>
      </c>
      <c r="B48" s="105">
        <v>31.69</v>
      </c>
      <c r="C48" s="105">
        <v>31.69</v>
      </c>
    </row>
    <row r="49" spans="1:3" x14ac:dyDescent="0.25">
      <c r="A49" s="104">
        <v>42</v>
      </c>
      <c r="B49" s="105">
        <v>31.2</v>
      </c>
      <c r="C49" s="105">
        <v>31.2</v>
      </c>
    </row>
    <row r="50" spans="1:3" x14ac:dyDescent="0.25">
      <c r="A50" s="104">
        <v>43</v>
      </c>
      <c r="B50" s="105">
        <v>30.71</v>
      </c>
      <c r="C50" s="105">
        <v>30.71</v>
      </c>
    </row>
    <row r="51" spans="1:3" x14ac:dyDescent="0.25">
      <c r="A51" s="104">
        <v>44</v>
      </c>
      <c r="B51" s="105">
        <v>30.21</v>
      </c>
      <c r="C51" s="105">
        <v>30.21</v>
      </c>
    </row>
    <row r="52" spans="1:3" x14ac:dyDescent="0.25">
      <c r="A52" s="104">
        <v>45</v>
      </c>
      <c r="B52" s="105">
        <v>29.7</v>
      </c>
      <c r="C52" s="105">
        <v>29.7</v>
      </c>
    </row>
    <row r="53" spans="1:3" x14ac:dyDescent="0.25">
      <c r="A53" s="104">
        <v>46</v>
      </c>
      <c r="B53" s="105">
        <v>29.19</v>
      </c>
      <c r="C53" s="105">
        <v>29.19</v>
      </c>
    </row>
    <row r="54" spans="1:3" x14ac:dyDescent="0.25">
      <c r="A54" s="104">
        <v>47</v>
      </c>
      <c r="B54" s="105">
        <v>28.66</v>
      </c>
      <c r="C54" s="105">
        <v>28.66</v>
      </c>
    </row>
    <row r="55" spans="1:3" x14ac:dyDescent="0.25">
      <c r="A55" s="104">
        <v>48</v>
      </c>
      <c r="B55" s="105">
        <v>28.13</v>
      </c>
      <c r="C55" s="105">
        <v>28.13</v>
      </c>
    </row>
    <row r="56" spans="1:3" x14ac:dyDescent="0.25">
      <c r="A56" s="104">
        <v>49</v>
      </c>
      <c r="B56" s="105">
        <v>27.6</v>
      </c>
      <c r="C56" s="105">
        <v>27.6</v>
      </c>
    </row>
    <row r="57" spans="1:3" x14ac:dyDescent="0.25">
      <c r="A57" s="104">
        <v>50</v>
      </c>
      <c r="B57" s="105">
        <v>27.05</v>
      </c>
      <c r="C57" s="105">
        <v>27.05</v>
      </c>
    </row>
    <row r="58" spans="1:3" x14ac:dyDescent="0.25">
      <c r="A58" s="104">
        <v>51</v>
      </c>
      <c r="B58" s="105">
        <v>26.5</v>
      </c>
      <c r="C58" s="105">
        <v>26.5</v>
      </c>
    </row>
    <row r="59" spans="1:3" x14ac:dyDescent="0.25">
      <c r="A59" s="104">
        <v>52</v>
      </c>
      <c r="B59" s="105">
        <v>25.94</v>
      </c>
      <c r="C59" s="105">
        <v>25.94</v>
      </c>
    </row>
    <row r="60" spans="1:3" x14ac:dyDescent="0.25">
      <c r="A60" s="104">
        <v>53</v>
      </c>
      <c r="B60" s="105">
        <v>25.37</v>
      </c>
      <c r="C60" s="105">
        <v>25.37</v>
      </c>
    </row>
    <row r="61" spans="1:3" x14ac:dyDescent="0.25">
      <c r="A61" s="104">
        <v>54</v>
      </c>
      <c r="B61" s="105">
        <v>24.8</v>
      </c>
      <c r="C61" s="105">
        <v>24.8</v>
      </c>
    </row>
    <row r="62" spans="1:3" x14ac:dyDescent="0.25">
      <c r="A62" s="104">
        <v>55</v>
      </c>
      <c r="B62" s="105">
        <v>24.22</v>
      </c>
      <c r="C62" s="105">
        <v>24.22</v>
      </c>
    </row>
    <row r="63" spans="1:3" x14ac:dyDescent="0.25">
      <c r="A63" s="104">
        <v>56</v>
      </c>
      <c r="B63" s="105">
        <v>23.63</v>
      </c>
      <c r="C63" s="105">
        <v>23.63</v>
      </c>
    </row>
    <row r="64" spans="1:3" x14ac:dyDescent="0.25">
      <c r="A64" s="104">
        <v>57</v>
      </c>
      <c r="B64" s="105">
        <v>23.04</v>
      </c>
      <c r="C64" s="105">
        <v>23.04</v>
      </c>
    </row>
    <row r="65" spans="1:3" x14ac:dyDescent="0.25">
      <c r="A65" s="104">
        <v>58</v>
      </c>
      <c r="B65" s="105">
        <v>22.44</v>
      </c>
      <c r="C65" s="105">
        <v>22.44</v>
      </c>
    </row>
    <row r="66" spans="1:3" x14ac:dyDescent="0.25">
      <c r="A66" s="104">
        <v>59</v>
      </c>
      <c r="B66" s="105">
        <v>21.83</v>
      </c>
      <c r="C66" s="105">
        <v>21.83</v>
      </c>
    </row>
    <row r="67" spans="1:3" x14ac:dyDescent="0.25">
      <c r="A67" s="104">
        <v>60</v>
      </c>
      <c r="B67" s="105">
        <v>21.22</v>
      </c>
      <c r="C67" s="105">
        <v>21.22</v>
      </c>
    </row>
    <row r="68" spans="1:3" x14ac:dyDescent="0.25">
      <c r="A68" s="104">
        <v>61</v>
      </c>
      <c r="B68" s="105">
        <v>20.61</v>
      </c>
      <c r="C68" s="105">
        <v>20.61</v>
      </c>
    </row>
    <row r="69" spans="1:3" x14ac:dyDescent="0.25">
      <c r="A69" s="104">
        <v>62</v>
      </c>
      <c r="B69" s="105">
        <v>19.989999999999998</v>
      </c>
      <c r="C69" s="105">
        <v>19.989999999999998</v>
      </c>
    </row>
    <row r="70" spans="1:3" x14ac:dyDescent="0.25">
      <c r="A70" s="104">
        <v>63</v>
      </c>
      <c r="B70" s="105">
        <v>19.37</v>
      </c>
      <c r="C70" s="105">
        <v>19.37</v>
      </c>
    </row>
    <row r="71" spans="1:3" x14ac:dyDescent="0.25">
      <c r="A71" s="104">
        <v>64</v>
      </c>
      <c r="B71" s="105">
        <v>18.75</v>
      </c>
      <c r="C71" s="105">
        <v>18.75</v>
      </c>
    </row>
    <row r="72" spans="1:3" x14ac:dyDescent="0.25">
      <c r="A72" s="104">
        <v>65</v>
      </c>
      <c r="B72" s="105">
        <v>18.12</v>
      </c>
      <c r="C72" s="105">
        <v>18.12</v>
      </c>
    </row>
    <row r="73" spans="1:3" x14ac:dyDescent="0.25">
      <c r="A73" s="104">
        <v>66</v>
      </c>
      <c r="B73" s="105">
        <v>17.5</v>
      </c>
      <c r="C73" s="105">
        <v>17.5</v>
      </c>
    </row>
    <row r="74" spans="1:3" x14ac:dyDescent="0.25">
      <c r="A74" s="104">
        <v>67</v>
      </c>
      <c r="B74" s="105">
        <v>16.87</v>
      </c>
      <c r="C74" s="105">
        <v>16.87</v>
      </c>
    </row>
    <row r="75" spans="1:3" x14ac:dyDescent="0.25">
      <c r="A75" s="104">
        <v>68</v>
      </c>
      <c r="B75" s="105">
        <v>16.22</v>
      </c>
      <c r="C75" s="105">
        <v>16.22</v>
      </c>
    </row>
    <row r="76" spans="1:3" x14ac:dyDescent="0.25">
      <c r="A76" s="104">
        <v>69</v>
      </c>
      <c r="B76" s="105">
        <v>15.54</v>
      </c>
      <c r="C76" s="105">
        <v>15.54</v>
      </c>
    </row>
    <row r="77" spans="1:3" x14ac:dyDescent="0.25">
      <c r="A77" s="104">
        <v>70</v>
      </c>
      <c r="B77" s="105">
        <v>14.88</v>
      </c>
      <c r="C77" s="105">
        <v>14.88</v>
      </c>
    </row>
    <row r="78" spans="1:3" x14ac:dyDescent="0.25">
      <c r="A78" s="104">
        <v>71</v>
      </c>
      <c r="B78" s="105">
        <v>14.22</v>
      </c>
      <c r="C78" s="105">
        <v>14.22</v>
      </c>
    </row>
    <row r="79" spans="1:3" x14ac:dyDescent="0.25">
      <c r="A79" s="104">
        <v>72</v>
      </c>
      <c r="B79" s="105">
        <v>13.57</v>
      </c>
      <c r="C79" s="105">
        <v>13.57</v>
      </c>
    </row>
    <row r="80" spans="1:3" x14ac:dyDescent="0.25">
      <c r="A80" s="104">
        <v>73</v>
      </c>
      <c r="B80" s="105">
        <v>12.94</v>
      </c>
      <c r="C80" s="105">
        <v>12.94</v>
      </c>
    </row>
    <row r="81" spans="1:3" x14ac:dyDescent="0.25">
      <c r="A81" s="104">
        <v>74</v>
      </c>
      <c r="B81" s="105">
        <v>12.31</v>
      </c>
      <c r="C81" s="105">
        <v>12.31</v>
      </c>
    </row>
    <row r="82" spans="1:3" x14ac:dyDescent="0.25">
      <c r="A82" s="104">
        <v>75</v>
      </c>
      <c r="B82" s="105">
        <v>11.69</v>
      </c>
      <c r="C82" s="105">
        <v>11.69</v>
      </c>
    </row>
  </sheetData>
  <sheetProtection algorithmName="SHA-512" hashValue="Z1r6EnI4OYr+iIAX8INvdzi/AvQXdG/Nz2Is29Vux44MdyXRhF+lwNahnr8RR/CkgKjhiVyr7kgR8LwkUZs/1Q==" saltValue="+gx3f8RTsIZ2kzsLCuBUUQ==" spinCount="100000" sheet="1" objects="1" scenarios="1"/>
  <conditionalFormatting sqref="A6:A21">
    <cfRule type="expression" dxfId="793" priority="1" stopIfTrue="1">
      <formula>MOD(ROW(),2)=0</formula>
    </cfRule>
    <cfRule type="expression" dxfId="792" priority="2" stopIfTrue="1">
      <formula>MOD(ROW(),2)&lt;&gt;0</formula>
    </cfRule>
  </conditionalFormatting>
  <conditionalFormatting sqref="A26:A82">
    <cfRule type="expression" dxfId="791" priority="5" stopIfTrue="1">
      <formula>MOD(ROW(),2)=0</formula>
    </cfRule>
    <cfRule type="expression" dxfId="790" priority="6" stopIfTrue="1">
      <formula>MOD(ROW(),2)&lt;&gt;0</formula>
    </cfRule>
  </conditionalFormatting>
  <conditionalFormatting sqref="B17:B21">
    <cfRule type="expression" dxfId="789" priority="13" stopIfTrue="1">
      <formula>MOD(ROW(),2)=0</formula>
    </cfRule>
    <cfRule type="expression" dxfId="788" priority="14" stopIfTrue="1">
      <formula>MOD(ROW(),2)&lt;&gt;0</formula>
    </cfRule>
  </conditionalFormatting>
  <conditionalFormatting sqref="B6:C21">
    <cfRule type="expression" dxfId="787" priority="27" stopIfTrue="1">
      <formula>MOD(ROW(),2)=0</formula>
    </cfRule>
    <cfRule type="expression" dxfId="786" priority="28" stopIfTrue="1">
      <formula>MOD(ROW(),2)&lt;&gt;0</formula>
    </cfRule>
  </conditionalFormatting>
  <conditionalFormatting sqref="B26:C82">
    <cfRule type="expression" dxfId="785" priority="7" stopIfTrue="1">
      <formula>MOD(ROW(),2)=0</formula>
    </cfRule>
    <cfRule type="expression" dxfId="784" priority="8" stopIfTrue="1">
      <formula>MOD(ROW(),2)&lt;&gt;0</formula>
    </cfRule>
  </conditionalFormatting>
  <hyperlinks>
    <hyperlink ref="B24" location="Sheet1!A1" display="Assumptions" xr:uid="{C84FEE2C-E881-4587-9E1A-8C691C7CB8C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8"/>
  <dimension ref="A1:I85"/>
  <sheetViews>
    <sheetView showGridLines="0" zoomScale="85" zoomScaleNormal="85" workbookViewId="0">
      <selection activeCell="A4" sqref="A4"/>
    </sheetView>
  </sheetViews>
  <sheetFormatPr defaultColWidth="10" defaultRowHeight="13.2" x14ac:dyDescent="0.25"/>
  <cols>
    <col min="1" max="1" width="31.5546875" style="27" customWidth="1"/>
    <col min="2" max="9" width="22.5546875" style="27" customWidth="1"/>
    <col min="10"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Scheme pays AA - x-604</v>
      </c>
      <c r="B3" s="42"/>
      <c r="C3" s="42"/>
      <c r="D3" s="42"/>
      <c r="E3" s="42"/>
      <c r="F3" s="42"/>
      <c r="G3" s="42"/>
      <c r="H3" s="42"/>
      <c r="I3" s="42"/>
    </row>
    <row r="4" spans="1:9" x14ac:dyDescent="0.25">
      <c r="A4" s="44"/>
    </row>
    <row r="6" spans="1:9" x14ac:dyDescent="0.25">
      <c r="A6" s="87" t="s">
        <v>290</v>
      </c>
      <c r="B6" s="185" t="s">
        <v>291</v>
      </c>
      <c r="C6" s="185"/>
      <c r="D6" s="185"/>
      <c r="E6" s="185"/>
      <c r="F6" s="185"/>
      <c r="G6" s="185"/>
      <c r="H6" s="185"/>
      <c r="I6" s="185"/>
    </row>
    <row r="7" spans="1:9" x14ac:dyDescent="0.25">
      <c r="A7" s="81" t="s">
        <v>804</v>
      </c>
      <c r="B7" s="185" t="s">
        <v>345</v>
      </c>
      <c r="C7" s="185"/>
      <c r="D7" s="185"/>
      <c r="E7" s="185"/>
      <c r="F7" s="185"/>
      <c r="G7" s="185"/>
      <c r="H7" s="185"/>
      <c r="I7" s="185"/>
    </row>
    <row r="8" spans="1:9" x14ac:dyDescent="0.25">
      <c r="A8" s="81" t="s">
        <v>805</v>
      </c>
      <c r="B8" s="185" t="s">
        <v>442</v>
      </c>
      <c r="C8" s="185"/>
      <c r="D8" s="185"/>
      <c r="E8" s="185"/>
      <c r="F8" s="185"/>
      <c r="G8" s="185"/>
      <c r="H8" s="185"/>
      <c r="I8" s="185"/>
    </row>
    <row r="9" spans="1:9" x14ac:dyDescent="0.25">
      <c r="A9" s="81" t="s">
        <v>296</v>
      </c>
      <c r="B9" s="185" t="s">
        <v>514</v>
      </c>
      <c r="C9" s="185"/>
      <c r="D9" s="185"/>
      <c r="E9" s="185"/>
      <c r="F9" s="185"/>
      <c r="G9" s="185"/>
      <c r="H9" s="185"/>
      <c r="I9" s="185"/>
    </row>
    <row r="10" spans="1:9" x14ac:dyDescent="0.25">
      <c r="A10" s="81" t="s">
        <v>6</v>
      </c>
      <c r="B10" s="185" t="s">
        <v>524</v>
      </c>
      <c r="C10" s="185"/>
      <c r="D10" s="185"/>
      <c r="E10" s="185"/>
      <c r="F10" s="185"/>
      <c r="G10" s="185"/>
      <c r="H10" s="185"/>
      <c r="I10" s="185"/>
    </row>
    <row r="11" spans="1:9" x14ac:dyDescent="0.25">
      <c r="A11" s="81" t="s">
        <v>299</v>
      </c>
      <c r="B11" s="185" t="s">
        <v>327</v>
      </c>
      <c r="C11" s="185"/>
      <c r="D11" s="185"/>
      <c r="E11" s="185"/>
      <c r="F11" s="185"/>
      <c r="G11" s="185"/>
      <c r="H11" s="185"/>
      <c r="I11" s="185"/>
    </row>
    <row r="12" spans="1:9" x14ac:dyDescent="0.25">
      <c r="A12" s="81" t="s">
        <v>301</v>
      </c>
      <c r="B12" s="185" t="s">
        <v>328</v>
      </c>
      <c r="C12" s="185"/>
      <c r="D12" s="185"/>
      <c r="E12" s="185"/>
      <c r="F12" s="185"/>
      <c r="G12" s="185"/>
      <c r="H12" s="185"/>
      <c r="I12" s="185"/>
    </row>
    <row r="13" spans="1:9" x14ac:dyDescent="0.25">
      <c r="A13" s="81" t="s">
        <v>806</v>
      </c>
      <c r="B13" s="185">
        <v>1</v>
      </c>
      <c r="C13" s="185"/>
      <c r="D13" s="185"/>
      <c r="E13" s="185"/>
      <c r="F13" s="185"/>
      <c r="G13" s="185"/>
      <c r="H13" s="185"/>
      <c r="I13" s="185"/>
    </row>
    <row r="14" spans="1:9" x14ac:dyDescent="0.25">
      <c r="A14" s="81" t="s">
        <v>305</v>
      </c>
      <c r="B14" s="185">
        <v>604</v>
      </c>
      <c r="C14" s="185"/>
      <c r="D14" s="185"/>
      <c r="E14" s="185"/>
      <c r="F14" s="185"/>
      <c r="G14" s="185"/>
      <c r="H14" s="185"/>
      <c r="I14" s="185"/>
    </row>
    <row r="15" spans="1:9" x14ac:dyDescent="0.25">
      <c r="A15" s="81" t="s">
        <v>307</v>
      </c>
      <c r="B15" s="185" t="s">
        <v>525</v>
      </c>
      <c r="C15" s="185"/>
      <c r="D15" s="185"/>
      <c r="E15" s="185"/>
      <c r="F15" s="185"/>
      <c r="G15" s="185"/>
      <c r="H15" s="185"/>
      <c r="I15" s="185"/>
    </row>
    <row r="16" spans="1:9" x14ac:dyDescent="0.25">
      <c r="A16" s="81" t="s">
        <v>825</v>
      </c>
      <c r="B16" s="185" t="s">
        <v>526</v>
      </c>
      <c r="C16" s="185"/>
      <c r="D16" s="185"/>
      <c r="E16" s="185"/>
      <c r="F16" s="185"/>
      <c r="G16" s="185"/>
      <c r="H16" s="185"/>
      <c r="I16" s="185"/>
    </row>
    <row r="17" spans="1:9" x14ac:dyDescent="0.25">
      <c r="A17" s="81" t="s">
        <v>803</v>
      </c>
      <c r="B17" s="185"/>
      <c r="C17" s="185"/>
      <c r="D17" s="185"/>
      <c r="E17" s="185"/>
      <c r="F17" s="185"/>
      <c r="G17" s="185"/>
      <c r="H17" s="185"/>
      <c r="I17" s="185"/>
    </row>
    <row r="18" spans="1:9" x14ac:dyDescent="0.25">
      <c r="A18" s="81" t="s">
        <v>313</v>
      </c>
      <c r="B18" s="188">
        <v>45071</v>
      </c>
      <c r="C18" s="185"/>
      <c r="D18" s="185"/>
      <c r="E18" s="185"/>
      <c r="F18" s="185"/>
      <c r="G18" s="185"/>
      <c r="H18" s="185"/>
      <c r="I18" s="185"/>
    </row>
    <row r="19" spans="1:9" x14ac:dyDescent="0.25">
      <c r="A19" s="81" t="s">
        <v>315</v>
      </c>
      <c r="B19" s="188"/>
      <c r="C19" s="185"/>
      <c r="D19" s="185"/>
      <c r="E19" s="185"/>
      <c r="F19" s="185"/>
      <c r="G19" s="185"/>
      <c r="H19" s="185"/>
      <c r="I19" s="185"/>
    </row>
    <row r="20" spans="1:9" x14ac:dyDescent="0.25">
      <c r="A20" s="81" t="s">
        <v>317</v>
      </c>
      <c r="B20" s="185" t="s">
        <v>331</v>
      </c>
      <c r="C20" s="185"/>
      <c r="D20" s="185"/>
      <c r="E20" s="185"/>
      <c r="F20" s="185"/>
      <c r="G20" s="185"/>
      <c r="H20" s="185"/>
      <c r="I20" s="185"/>
    </row>
    <row r="21" spans="1:9" x14ac:dyDescent="0.25">
      <c r="A21" s="77" t="s">
        <v>323</v>
      </c>
      <c r="B21" s="185" t="s">
        <v>332</v>
      </c>
      <c r="C21" s="185"/>
      <c r="D21" s="185"/>
      <c r="E21" s="185"/>
      <c r="F21" s="185"/>
      <c r="G21" s="185"/>
      <c r="H21" s="185"/>
      <c r="I21" s="185"/>
    </row>
    <row r="23" spans="1:9" x14ac:dyDescent="0.25">
      <c r="B23" s="102" t="str">
        <f>HYPERLINK("#'Factor List'!A1","Back to Factor List")</f>
        <v>Back to Factor List</v>
      </c>
    </row>
    <row r="24" spans="1:9" x14ac:dyDescent="0.25">
      <c r="B24" s="102" t="s">
        <v>13</v>
      </c>
    </row>
    <row r="25" spans="1:9" x14ac:dyDescent="0.25">
      <c r="B25" s="102"/>
    </row>
    <row r="26" spans="1:9" ht="26.4" x14ac:dyDescent="0.25">
      <c r="A26" s="103" t="s">
        <v>373</v>
      </c>
      <c r="B26" s="103" t="s">
        <v>940</v>
      </c>
      <c r="C26" s="103" t="s">
        <v>941</v>
      </c>
      <c r="D26" s="103" t="s">
        <v>942</v>
      </c>
      <c r="E26" s="103" t="s">
        <v>943</v>
      </c>
      <c r="F26" s="103" t="s">
        <v>944</v>
      </c>
      <c r="G26" s="103" t="s">
        <v>945</v>
      </c>
      <c r="H26" s="103" t="s">
        <v>946</v>
      </c>
      <c r="I26" s="103" t="s">
        <v>947</v>
      </c>
    </row>
    <row r="27" spans="1:9" x14ac:dyDescent="0.25">
      <c r="A27" s="104">
        <v>17</v>
      </c>
      <c r="B27" s="105">
        <v>11.24</v>
      </c>
      <c r="C27" s="105">
        <v>0.49</v>
      </c>
      <c r="D27" s="105">
        <v>11.24</v>
      </c>
      <c r="E27" s="105">
        <v>0.49</v>
      </c>
      <c r="F27" s="105">
        <v>9</v>
      </c>
      <c r="G27" s="105">
        <v>0.45</v>
      </c>
      <c r="H27" s="105">
        <v>9</v>
      </c>
      <c r="I27" s="105">
        <v>0.45</v>
      </c>
    </row>
    <row r="28" spans="1:9" x14ac:dyDescent="0.25">
      <c r="A28" s="104">
        <v>18</v>
      </c>
      <c r="B28" s="105">
        <v>11.41</v>
      </c>
      <c r="C28" s="105">
        <v>0.5</v>
      </c>
      <c r="D28" s="105">
        <v>11.41</v>
      </c>
      <c r="E28" s="105">
        <v>0.5</v>
      </c>
      <c r="F28" s="105">
        <v>9.1199999999999992</v>
      </c>
      <c r="G28" s="105">
        <v>0.46</v>
      </c>
      <c r="H28" s="105">
        <v>9.1199999999999992</v>
      </c>
      <c r="I28" s="105">
        <v>0.46</v>
      </c>
    </row>
    <row r="29" spans="1:9" x14ac:dyDescent="0.25">
      <c r="A29" s="104">
        <v>19</v>
      </c>
      <c r="B29" s="105">
        <v>11.57</v>
      </c>
      <c r="C29" s="105">
        <v>0.51</v>
      </c>
      <c r="D29" s="105">
        <v>11.57</v>
      </c>
      <c r="E29" s="105">
        <v>0.51</v>
      </c>
      <c r="F29" s="105">
        <v>9.25</v>
      </c>
      <c r="G29" s="105">
        <v>0.46</v>
      </c>
      <c r="H29" s="105">
        <v>9.25</v>
      </c>
      <c r="I29" s="105">
        <v>0.46</v>
      </c>
    </row>
    <row r="30" spans="1:9" x14ac:dyDescent="0.25">
      <c r="A30" s="104">
        <v>20</v>
      </c>
      <c r="B30" s="105">
        <v>11.74</v>
      </c>
      <c r="C30" s="105">
        <v>0.51</v>
      </c>
      <c r="D30" s="105">
        <v>11.74</v>
      </c>
      <c r="E30" s="105">
        <v>0.51</v>
      </c>
      <c r="F30" s="105">
        <v>9.3800000000000008</v>
      </c>
      <c r="G30" s="105">
        <v>0.47</v>
      </c>
      <c r="H30" s="105">
        <v>9.3800000000000008</v>
      </c>
      <c r="I30" s="105">
        <v>0.47</v>
      </c>
    </row>
    <row r="31" spans="1:9" x14ac:dyDescent="0.25">
      <c r="A31" s="104">
        <v>21</v>
      </c>
      <c r="B31" s="105">
        <v>11.92</v>
      </c>
      <c r="C31" s="105">
        <v>0.52</v>
      </c>
      <c r="D31" s="105">
        <v>11.92</v>
      </c>
      <c r="E31" s="105">
        <v>0.52</v>
      </c>
      <c r="F31" s="105">
        <v>9.52</v>
      </c>
      <c r="G31" s="105">
        <v>0.48</v>
      </c>
      <c r="H31" s="105">
        <v>9.52</v>
      </c>
      <c r="I31" s="105">
        <v>0.48</v>
      </c>
    </row>
    <row r="32" spans="1:9" x14ac:dyDescent="0.25">
      <c r="A32" s="104">
        <v>22</v>
      </c>
      <c r="B32" s="105">
        <v>12.09</v>
      </c>
      <c r="C32" s="105">
        <v>0.53</v>
      </c>
      <c r="D32" s="105">
        <v>12.09</v>
      </c>
      <c r="E32" s="105">
        <v>0.53</v>
      </c>
      <c r="F32" s="105">
        <v>9.65</v>
      </c>
      <c r="G32" s="105">
        <v>0.49</v>
      </c>
      <c r="H32" s="105">
        <v>9.65</v>
      </c>
      <c r="I32" s="105">
        <v>0.49</v>
      </c>
    </row>
    <row r="33" spans="1:9" x14ac:dyDescent="0.25">
      <c r="A33" s="104">
        <v>23</v>
      </c>
      <c r="B33" s="105">
        <v>12.27</v>
      </c>
      <c r="C33" s="105">
        <v>0.54</v>
      </c>
      <c r="D33" s="105">
        <v>12.27</v>
      </c>
      <c r="E33" s="105">
        <v>0.54</v>
      </c>
      <c r="F33" s="105">
        <v>9.7899999999999991</v>
      </c>
      <c r="G33" s="105">
        <v>0.5</v>
      </c>
      <c r="H33" s="105">
        <v>9.7899999999999991</v>
      </c>
      <c r="I33" s="105">
        <v>0.5</v>
      </c>
    </row>
    <row r="34" spans="1:9" x14ac:dyDescent="0.25">
      <c r="A34" s="104">
        <v>24</v>
      </c>
      <c r="B34" s="105">
        <v>12.45</v>
      </c>
      <c r="C34" s="105">
        <v>0.55000000000000004</v>
      </c>
      <c r="D34" s="105">
        <v>12.45</v>
      </c>
      <c r="E34" s="105">
        <v>0.55000000000000004</v>
      </c>
      <c r="F34" s="105">
        <v>9.93</v>
      </c>
      <c r="G34" s="105">
        <v>0.51</v>
      </c>
      <c r="H34" s="105">
        <v>9.93</v>
      </c>
      <c r="I34" s="105">
        <v>0.51</v>
      </c>
    </row>
    <row r="35" spans="1:9" x14ac:dyDescent="0.25">
      <c r="A35" s="104">
        <v>25</v>
      </c>
      <c r="B35" s="105">
        <v>12.63</v>
      </c>
      <c r="C35" s="105">
        <v>0.56000000000000005</v>
      </c>
      <c r="D35" s="105">
        <v>12.63</v>
      </c>
      <c r="E35" s="105">
        <v>0.56000000000000005</v>
      </c>
      <c r="F35" s="105">
        <v>10.07</v>
      </c>
      <c r="G35" s="105">
        <v>0.51</v>
      </c>
      <c r="H35" s="105">
        <v>10.07</v>
      </c>
      <c r="I35" s="105">
        <v>0.51</v>
      </c>
    </row>
    <row r="36" spans="1:9" x14ac:dyDescent="0.25">
      <c r="A36" s="104">
        <v>26</v>
      </c>
      <c r="B36" s="105">
        <v>12.82</v>
      </c>
      <c r="C36" s="105">
        <v>0.56999999999999995</v>
      </c>
      <c r="D36" s="105">
        <v>12.82</v>
      </c>
      <c r="E36" s="105">
        <v>0.56999999999999995</v>
      </c>
      <c r="F36" s="105">
        <v>10.210000000000001</v>
      </c>
      <c r="G36" s="105">
        <v>0.52</v>
      </c>
      <c r="H36" s="105">
        <v>10.210000000000001</v>
      </c>
      <c r="I36" s="105">
        <v>0.52</v>
      </c>
    </row>
    <row r="37" spans="1:9" x14ac:dyDescent="0.25">
      <c r="A37" s="104">
        <v>27</v>
      </c>
      <c r="B37" s="105">
        <v>13.01</v>
      </c>
      <c r="C37" s="105">
        <v>0.57999999999999996</v>
      </c>
      <c r="D37" s="105">
        <v>13.01</v>
      </c>
      <c r="E37" s="105">
        <v>0.57999999999999996</v>
      </c>
      <c r="F37" s="105">
        <v>10.35</v>
      </c>
      <c r="G37" s="105">
        <v>0.53</v>
      </c>
      <c r="H37" s="105">
        <v>10.35</v>
      </c>
      <c r="I37" s="105">
        <v>0.53</v>
      </c>
    </row>
    <row r="38" spans="1:9" x14ac:dyDescent="0.25">
      <c r="A38" s="104">
        <v>28</v>
      </c>
      <c r="B38" s="105">
        <v>13.2</v>
      </c>
      <c r="C38" s="105">
        <v>0.59</v>
      </c>
      <c r="D38" s="105">
        <v>13.2</v>
      </c>
      <c r="E38" s="105">
        <v>0.59</v>
      </c>
      <c r="F38" s="105">
        <v>10.5</v>
      </c>
      <c r="G38" s="105">
        <v>0.54</v>
      </c>
      <c r="H38" s="105">
        <v>10.5</v>
      </c>
      <c r="I38" s="105">
        <v>0.54</v>
      </c>
    </row>
    <row r="39" spans="1:9" x14ac:dyDescent="0.25">
      <c r="A39" s="104">
        <v>29</v>
      </c>
      <c r="B39" s="105">
        <v>13.39</v>
      </c>
      <c r="C39" s="105">
        <v>0.6</v>
      </c>
      <c r="D39" s="105">
        <v>13.39</v>
      </c>
      <c r="E39" s="105">
        <v>0.6</v>
      </c>
      <c r="F39" s="105">
        <v>10.65</v>
      </c>
      <c r="G39" s="105">
        <v>0.55000000000000004</v>
      </c>
      <c r="H39" s="105">
        <v>10.65</v>
      </c>
      <c r="I39" s="105">
        <v>0.55000000000000004</v>
      </c>
    </row>
    <row r="40" spans="1:9" x14ac:dyDescent="0.25">
      <c r="A40" s="104">
        <v>30</v>
      </c>
      <c r="B40" s="105">
        <v>13.59</v>
      </c>
      <c r="C40" s="105">
        <v>0.61</v>
      </c>
      <c r="D40" s="105">
        <v>13.59</v>
      </c>
      <c r="E40" s="105">
        <v>0.61</v>
      </c>
      <c r="F40" s="105">
        <v>10.8</v>
      </c>
      <c r="G40" s="105">
        <v>0.56000000000000005</v>
      </c>
      <c r="H40" s="105">
        <v>10.8</v>
      </c>
      <c r="I40" s="105">
        <v>0.56000000000000005</v>
      </c>
    </row>
    <row r="41" spans="1:9" x14ac:dyDescent="0.25">
      <c r="A41" s="104">
        <v>31</v>
      </c>
      <c r="B41" s="105">
        <v>13.79</v>
      </c>
      <c r="C41" s="105">
        <v>0.62</v>
      </c>
      <c r="D41" s="105">
        <v>13.79</v>
      </c>
      <c r="E41" s="105">
        <v>0.62</v>
      </c>
      <c r="F41" s="105">
        <v>10.96</v>
      </c>
      <c r="G41" s="105">
        <v>0.56999999999999995</v>
      </c>
      <c r="H41" s="105">
        <v>10.96</v>
      </c>
      <c r="I41" s="105">
        <v>0.56999999999999995</v>
      </c>
    </row>
    <row r="42" spans="1:9" x14ac:dyDescent="0.25">
      <c r="A42" s="104">
        <v>32</v>
      </c>
      <c r="B42" s="105">
        <v>14</v>
      </c>
      <c r="C42" s="105">
        <v>0.63</v>
      </c>
      <c r="D42" s="105">
        <v>14</v>
      </c>
      <c r="E42" s="105">
        <v>0.63</v>
      </c>
      <c r="F42" s="105">
        <v>11.11</v>
      </c>
      <c r="G42" s="105">
        <v>0.57999999999999996</v>
      </c>
      <c r="H42" s="105">
        <v>11.11</v>
      </c>
      <c r="I42" s="105">
        <v>0.57999999999999996</v>
      </c>
    </row>
    <row r="43" spans="1:9" x14ac:dyDescent="0.25">
      <c r="A43" s="104">
        <v>33</v>
      </c>
      <c r="B43" s="105">
        <v>14.2</v>
      </c>
      <c r="C43" s="105">
        <v>0.64</v>
      </c>
      <c r="D43" s="105">
        <v>14.2</v>
      </c>
      <c r="E43" s="105">
        <v>0.64</v>
      </c>
      <c r="F43" s="105">
        <v>11.27</v>
      </c>
      <c r="G43" s="105">
        <v>0.59</v>
      </c>
      <c r="H43" s="105">
        <v>11.27</v>
      </c>
      <c r="I43" s="105">
        <v>0.59</v>
      </c>
    </row>
    <row r="44" spans="1:9" x14ac:dyDescent="0.25">
      <c r="A44" s="104">
        <v>34</v>
      </c>
      <c r="B44" s="105">
        <v>14.42</v>
      </c>
      <c r="C44" s="105">
        <v>0.65</v>
      </c>
      <c r="D44" s="105">
        <v>14.42</v>
      </c>
      <c r="E44" s="105">
        <v>0.65</v>
      </c>
      <c r="F44" s="105">
        <v>11.43</v>
      </c>
      <c r="G44" s="105">
        <v>0.6</v>
      </c>
      <c r="H44" s="105">
        <v>11.43</v>
      </c>
      <c r="I44" s="105">
        <v>0.6</v>
      </c>
    </row>
    <row r="45" spans="1:9" x14ac:dyDescent="0.25">
      <c r="A45" s="104">
        <v>35</v>
      </c>
      <c r="B45" s="105">
        <v>14.63</v>
      </c>
      <c r="C45" s="105">
        <v>0.66</v>
      </c>
      <c r="D45" s="105">
        <v>14.63</v>
      </c>
      <c r="E45" s="105">
        <v>0.66</v>
      </c>
      <c r="F45" s="105">
        <v>11.6</v>
      </c>
      <c r="G45" s="105">
        <v>0.61</v>
      </c>
      <c r="H45" s="105">
        <v>11.6</v>
      </c>
      <c r="I45" s="105">
        <v>0.61</v>
      </c>
    </row>
    <row r="46" spans="1:9" x14ac:dyDescent="0.25">
      <c r="A46" s="104">
        <v>36</v>
      </c>
      <c r="B46" s="105">
        <v>14.85</v>
      </c>
      <c r="C46" s="105">
        <v>0.67</v>
      </c>
      <c r="D46" s="105">
        <v>14.85</v>
      </c>
      <c r="E46" s="105">
        <v>0.67</v>
      </c>
      <c r="F46" s="105">
        <v>11.76</v>
      </c>
      <c r="G46" s="105">
        <v>0.62</v>
      </c>
      <c r="H46" s="105">
        <v>11.76</v>
      </c>
      <c r="I46" s="105">
        <v>0.62</v>
      </c>
    </row>
    <row r="47" spans="1:9" x14ac:dyDescent="0.25">
      <c r="A47" s="104">
        <v>37</v>
      </c>
      <c r="B47" s="105">
        <v>15.07</v>
      </c>
      <c r="C47" s="105">
        <v>0.68</v>
      </c>
      <c r="D47" s="105">
        <v>15.07</v>
      </c>
      <c r="E47" s="105">
        <v>0.68</v>
      </c>
      <c r="F47" s="105">
        <v>11.93</v>
      </c>
      <c r="G47" s="105">
        <v>0.63</v>
      </c>
      <c r="H47" s="105">
        <v>11.93</v>
      </c>
      <c r="I47" s="105">
        <v>0.63</v>
      </c>
    </row>
    <row r="48" spans="1:9" x14ac:dyDescent="0.25">
      <c r="A48" s="104">
        <v>38</v>
      </c>
      <c r="B48" s="105">
        <v>15.3</v>
      </c>
      <c r="C48" s="105">
        <v>0.7</v>
      </c>
      <c r="D48" s="105">
        <v>15.3</v>
      </c>
      <c r="E48" s="105">
        <v>0.7</v>
      </c>
      <c r="F48" s="105">
        <v>12.1</v>
      </c>
      <c r="G48" s="105">
        <v>0.64</v>
      </c>
      <c r="H48" s="105">
        <v>12.1</v>
      </c>
      <c r="I48" s="105">
        <v>0.64</v>
      </c>
    </row>
    <row r="49" spans="1:9" x14ac:dyDescent="0.25">
      <c r="A49" s="104">
        <v>39</v>
      </c>
      <c r="B49" s="105">
        <v>15.53</v>
      </c>
      <c r="C49" s="105">
        <v>0.71</v>
      </c>
      <c r="D49" s="105">
        <v>15.53</v>
      </c>
      <c r="E49" s="105">
        <v>0.71</v>
      </c>
      <c r="F49" s="105">
        <v>12.28</v>
      </c>
      <c r="G49" s="105">
        <v>0.65</v>
      </c>
      <c r="H49" s="105">
        <v>12.28</v>
      </c>
      <c r="I49" s="105">
        <v>0.65</v>
      </c>
    </row>
    <row r="50" spans="1:9" x14ac:dyDescent="0.25">
      <c r="A50" s="104">
        <v>40</v>
      </c>
      <c r="B50" s="105">
        <v>15.76</v>
      </c>
      <c r="C50" s="105">
        <v>0.72</v>
      </c>
      <c r="D50" s="105">
        <v>15.76</v>
      </c>
      <c r="E50" s="105">
        <v>0.72</v>
      </c>
      <c r="F50" s="105">
        <v>12.45</v>
      </c>
      <c r="G50" s="105">
        <v>0.66</v>
      </c>
      <c r="H50" s="105">
        <v>12.45</v>
      </c>
      <c r="I50" s="105">
        <v>0.66</v>
      </c>
    </row>
    <row r="51" spans="1:9" x14ac:dyDescent="0.25">
      <c r="A51" s="104">
        <v>41</v>
      </c>
      <c r="B51" s="105">
        <v>16</v>
      </c>
      <c r="C51" s="105">
        <v>0.73</v>
      </c>
      <c r="D51" s="105">
        <v>16</v>
      </c>
      <c r="E51" s="105">
        <v>0.73</v>
      </c>
      <c r="F51" s="105">
        <v>12.64</v>
      </c>
      <c r="G51" s="105">
        <v>0.67</v>
      </c>
      <c r="H51" s="105">
        <v>12.64</v>
      </c>
      <c r="I51" s="105">
        <v>0.67</v>
      </c>
    </row>
    <row r="52" spans="1:9" x14ac:dyDescent="0.25">
      <c r="A52" s="104">
        <v>42</v>
      </c>
      <c r="B52" s="105">
        <v>16.239999999999998</v>
      </c>
      <c r="C52" s="105">
        <v>0.74</v>
      </c>
      <c r="D52" s="105">
        <v>16.239999999999998</v>
      </c>
      <c r="E52" s="105">
        <v>0.74</v>
      </c>
      <c r="F52" s="105">
        <v>12.82</v>
      </c>
      <c r="G52" s="105">
        <v>0.68</v>
      </c>
      <c r="H52" s="105">
        <v>12.82</v>
      </c>
      <c r="I52" s="105">
        <v>0.68</v>
      </c>
    </row>
    <row r="53" spans="1:9" x14ac:dyDescent="0.25">
      <c r="A53" s="104">
        <v>43</v>
      </c>
      <c r="B53" s="105">
        <v>16.489999999999998</v>
      </c>
      <c r="C53" s="105">
        <v>0.76</v>
      </c>
      <c r="D53" s="105">
        <v>16.489999999999998</v>
      </c>
      <c r="E53" s="105">
        <v>0.76</v>
      </c>
      <c r="F53" s="105">
        <v>13.01</v>
      </c>
      <c r="G53" s="105">
        <v>0.7</v>
      </c>
      <c r="H53" s="105">
        <v>13.01</v>
      </c>
      <c r="I53" s="105">
        <v>0.7</v>
      </c>
    </row>
    <row r="54" spans="1:9" x14ac:dyDescent="0.25">
      <c r="A54" s="104">
        <v>44</v>
      </c>
      <c r="B54" s="105">
        <v>16.739999999999998</v>
      </c>
      <c r="C54" s="105">
        <v>0.77</v>
      </c>
      <c r="D54" s="105">
        <v>16.739999999999998</v>
      </c>
      <c r="E54" s="105">
        <v>0.77</v>
      </c>
      <c r="F54" s="105">
        <v>13.2</v>
      </c>
      <c r="G54" s="105">
        <v>0.71</v>
      </c>
      <c r="H54" s="105">
        <v>13.2</v>
      </c>
      <c r="I54" s="105">
        <v>0.71</v>
      </c>
    </row>
    <row r="55" spans="1:9" x14ac:dyDescent="0.25">
      <c r="A55" s="104">
        <v>45</v>
      </c>
      <c r="B55" s="105">
        <v>17</v>
      </c>
      <c r="C55" s="105">
        <v>0.78</v>
      </c>
      <c r="D55" s="105">
        <v>17</v>
      </c>
      <c r="E55" s="105">
        <v>0.78</v>
      </c>
      <c r="F55" s="105">
        <v>13.39</v>
      </c>
      <c r="G55" s="105">
        <v>0.72</v>
      </c>
      <c r="H55" s="105">
        <v>13.39</v>
      </c>
      <c r="I55" s="105">
        <v>0.72</v>
      </c>
    </row>
    <row r="56" spans="1:9" x14ac:dyDescent="0.25">
      <c r="A56" s="104">
        <v>46</v>
      </c>
      <c r="B56" s="105">
        <v>17.260000000000002</v>
      </c>
      <c r="C56" s="105">
        <v>0.8</v>
      </c>
      <c r="D56" s="105">
        <v>17.260000000000002</v>
      </c>
      <c r="E56" s="105">
        <v>0.8</v>
      </c>
      <c r="F56" s="105">
        <v>13.59</v>
      </c>
      <c r="G56" s="105">
        <v>0.73</v>
      </c>
      <c r="H56" s="105">
        <v>13.59</v>
      </c>
      <c r="I56" s="105">
        <v>0.73</v>
      </c>
    </row>
    <row r="57" spans="1:9" x14ac:dyDescent="0.25">
      <c r="A57" s="104">
        <v>47</v>
      </c>
      <c r="B57" s="105">
        <v>17.53</v>
      </c>
      <c r="C57" s="105">
        <v>0.81</v>
      </c>
      <c r="D57" s="105">
        <v>17.53</v>
      </c>
      <c r="E57" s="105">
        <v>0.81</v>
      </c>
      <c r="F57" s="105">
        <v>13.79</v>
      </c>
      <c r="G57" s="105">
        <v>0.74</v>
      </c>
      <c r="H57" s="105">
        <v>13.79</v>
      </c>
      <c r="I57" s="105">
        <v>0.74</v>
      </c>
    </row>
    <row r="58" spans="1:9" x14ac:dyDescent="0.25">
      <c r="A58" s="104">
        <v>48</v>
      </c>
      <c r="B58" s="105">
        <v>17.809999999999999</v>
      </c>
      <c r="C58" s="105">
        <v>0.82</v>
      </c>
      <c r="D58" s="105">
        <v>17.809999999999999</v>
      </c>
      <c r="E58" s="105">
        <v>0.82</v>
      </c>
      <c r="F58" s="105">
        <v>14</v>
      </c>
      <c r="G58" s="105">
        <v>0.76</v>
      </c>
      <c r="H58" s="105">
        <v>14</v>
      </c>
      <c r="I58" s="105">
        <v>0.76</v>
      </c>
    </row>
    <row r="59" spans="1:9" x14ac:dyDescent="0.25">
      <c r="A59" s="104">
        <v>49</v>
      </c>
      <c r="B59" s="105">
        <v>18.09</v>
      </c>
      <c r="C59" s="105">
        <v>0.84</v>
      </c>
      <c r="D59" s="105">
        <v>18.09</v>
      </c>
      <c r="E59" s="105">
        <v>0.84</v>
      </c>
      <c r="F59" s="105">
        <v>14.21</v>
      </c>
      <c r="G59" s="105">
        <v>0.77</v>
      </c>
      <c r="H59" s="105">
        <v>14.21</v>
      </c>
      <c r="I59" s="105">
        <v>0.77</v>
      </c>
    </row>
    <row r="60" spans="1:9" x14ac:dyDescent="0.25">
      <c r="A60" s="104">
        <v>50</v>
      </c>
      <c r="B60" s="105">
        <v>18.37</v>
      </c>
      <c r="C60" s="105">
        <v>0.85</v>
      </c>
      <c r="D60" s="105">
        <v>18.37</v>
      </c>
      <c r="E60" s="105">
        <v>0.85</v>
      </c>
      <c r="F60" s="105">
        <v>14.43</v>
      </c>
      <c r="G60" s="105">
        <v>0.78</v>
      </c>
      <c r="H60" s="105">
        <v>14.43</v>
      </c>
      <c r="I60" s="105">
        <v>0.78</v>
      </c>
    </row>
    <row r="61" spans="1:9" x14ac:dyDescent="0.25">
      <c r="A61" s="104">
        <v>51</v>
      </c>
      <c r="B61" s="105">
        <v>18.670000000000002</v>
      </c>
      <c r="C61" s="105">
        <v>0.87</v>
      </c>
      <c r="D61" s="105">
        <v>18.670000000000002</v>
      </c>
      <c r="E61" s="105">
        <v>0.87</v>
      </c>
      <c r="F61" s="105">
        <v>14.65</v>
      </c>
      <c r="G61" s="105">
        <v>0.8</v>
      </c>
      <c r="H61" s="105">
        <v>14.65</v>
      </c>
      <c r="I61" s="105">
        <v>0.8</v>
      </c>
    </row>
    <row r="62" spans="1:9" x14ac:dyDescent="0.25">
      <c r="A62" s="104">
        <v>52</v>
      </c>
      <c r="B62" s="105">
        <v>18.97</v>
      </c>
      <c r="C62" s="105">
        <v>0.88</v>
      </c>
      <c r="D62" s="105">
        <v>18.97</v>
      </c>
      <c r="E62" s="105">
        <v>0.88</v>
      </c>
      <c r="F62" s="105">
        <v>14.88</v>
      </c>
      <c r="G62" s="105">
        <v>0.81</v>
      </c>
      <c r="H62" s="105">
        <v>14.88</v>
      </c>
      <c r="I62" s="105">
        <v>0.81</v>
      </c>
    </row>
    <row r="63" spans="1:9" x14ac:dyDescent="0.25">
      <c r="A63" s="104">
        <v>53</v>
      </c>
      <c r="B63" s="105">
        <v>19.28</v>
      </c>
      <c r="C63" s="105">
        <v>0.9</v>
      </c>
      <c r="D63" s="105">
        <v>19.28</v>
      </c>
      <c r="E63" s="105">
        <v>0.9</v>
      </c>
      <c r="F63" s="105">
        <v>15.11</v>
      </c>
      <c r="G63" s="105">
        <v>0.82</v>
      </c>
      <c r="H63" s="105">
        <v>15.11</v>
      </c>
      <c r="I63" s="105">
        <v>0.82</v>
      </c>
    </row>
    <row r="64" spans="1:9" x14ac:dyDescent="0.25">
      <c r="A64" s="104">
        <v>54</v>
      </c>
      <c r="B64" s="105">
        <v>19.600000000000001</v>
      </c>
      <c r="C64" s="105">
        <v>0.91</v>
      </c>
      <c r="D64" s="105">
        <v>19.600000000000001</v>
      </c>
      <c r="E64" s="105">
        <v>0.91</v>
      </c>
      <c r="F64" s="105">
        <v>15.35</v>
      </c>
      <c r="G64" s="105">
        <v>0.84</v>
      </c>
      <c r="H64" s="105">
        <v>15.35</v>
      </c>
      <c r="I64" s="105">
        <v>0.84</v>
      </c>
    </row>
    <row r="65" spans="1:9" x14ac:dyDescent="0.25">
      <c r="A65" s="104">
        <v>55</v>
      </c>
      <c r="B65" s="105">
        <v>19.920000000000002</v>
      </c>
      <c r="C65" s="105">
        <v>0.93</v>
      </c>
      <c r="D65" s="105">
        <v>19.920000000000002</v>
      </c>
      <c r="E65" s="105">
        <v>0.93</v>
      </c>
      <c r="F65" s="105">
        <v>15.6</v>
      </c>
      <c r="G65" s="105">
        <v>0.85</v>
      </c>
      <c r="H65" s="105">
        <v>15.6</v>
      </c>
      <c r="I65" s="105">
        <v>0.85</v>
      </c>
    </row>
    <row r="66" spans="1:9" x14ac:dyDescent="0.25">
      <c r="A66" s="104">
        <v>56</v>
      </c>
      <c r="B66" s="105">
        <v>20.260000000000002</v>
      </c>
      <c r="C66" s="105">
        <v>0.94</v>
      </c>
      <c r="D66" s="105">
        <v>20.260000000000002</v>
      </c>
      <c r="E66" s="105">
        <v>0.94</v>
      </c>
      <c r="F66" s="105">
        <v>15.85</v>
      </c>
      <c r="G66" s="105">
        <v>0.87</v>
      </c>
      <c r="H66" s="105">
        <v>15.85</v>
      </c>
      <c r="I66" s="105">
        <v>0.87</v>
      </c>
    </row>
    <row r="67" spans="1:9" x14ac:dyDescent="0.25">
      <c r="A67" s="104">
        <v>57</v>
      </c>
      <c r="B67" s="105">
        <v>20.61</v>
      </c>
      <c r="C67" s="105">
        <v>0.96</v>
      </c>
      <c r="D67" s="105">
        <v>20.61</v>
      </c>
      <c r="E67" s="105">
        <v>0.96</v>
      </c>
      <c r="F67" s="105">
        <v>16.11</v>
      </c>
      <c r="G67" s="105">
        <v>0.88</v>
      </c>
      <c r="H67" s="105">
        <v>16.11</v>
      </c>
      <c r="I67" s="105">
        <v>0.88</v>
      </c>
    </row>
    <row r="68" spans="1:9" x14ac:dyDescent="0.25">
      <c r="A68" s="104">
        <v>58</v>
      </c>
      <c r="B68" s="105">
        <v>20.97</v>
      </c>
      <c r="C68" s="105">
        <v>0.98</v>
      </c>
      <c r="D68" s="105">
        <v>20.97</v>
      </c>
      <c r="E68" s="105">
        <v>0.98</v>
      </c>
      <c r="F68" s="105">
        <v>16.38</v>
      </c>
      <c r="G68" s="105">
        <v>0.9</v>
      </c>
      <c r="H68" s="105">
        <v>16.38</v>
      </c>
      <c r="I68" s="105">
        <v>0.9</v>
      </c>
    </row>
    <row r="69" spans="1:9" x14ac:dyDescent="0.25">
      <c r="A69" s="104">
        <v>59</v>
      </c>
      <c r="B69" s="105">
        <v>21.34</v>
      </c>
      <c r="C69" s="105">
        <v>0.99</v>
      </c>
      <c r="D69" s="105">
        <v>21.34</v>
      </c>
      <c r="E69" s="105">
        <v>0.99</v>
      </c>
      <c r="F69" s="105">
        <v>16.66</v>
      </c>
      <c r="G69" s="105">
        <v>0.91</v>
      </c>
      <c r="H69" s="105">
        <v>16.66</v>
      </c>
      <c r="I69" s="105">
        <v>0.91</v>
      </c>
    </row>
    <row r="70" spans="1:9" x14ac:dyDescent="0.25">
      <c r="A70" s="104">
        <v>60</v>
      </c>
      <c r="B70" s="105">
        <v>21.21</v>
      </c>
      <c r="C70" s="105">
        <v>1</v>
      </c>
      <c r="D70" s="105">
        <v>21.21</v>
      </c>
      <c r="E70" s="105">
        <v>1</v>
      </c>
      <c r="F70" s="105">
        <v>16.95</v>
      </c>
      <c r="G70" s="105">
        <v>0.93</v>
      </c>
      <c r="H70" s="105">
        <v>16.95</v>
      </c>
      <c r="I70" s="105">
        <v>0.93</v>
      </c>
    </row>
    <row r="71" spans="1:9" x14ac:dyDescent="0.25">
      <c r="A71" s="104">
        <v>61</v>
      </c>
      <c r="B71" s="105">
        <v>20.58</v>
      </c>
      <c r="C71" s="105">
        <v>1</v>
      </c>
      <c r="D71" s="105">
        <v>20.58</v>
      </c>
      <c r="E71" s="105">
        <v>1</v>
      </c>
      <c r="F71" s="105">
        <v>17.260000000000002</v>
      </c>
      <c r="G71" s="105">
        <v>0.94</v>
      </c>
      <c r="H71" s="105">
        <v>17.260000000000002</v>
      </c>
      <c r="I71" s="105">
        <v>0.94</v>
      </c>
    </row>
    <row r="72" spans="1:9" x14ac:dyDescent="0.25">
      <c r="A72" s="104">
        <v>62</v>
      </c>
      <c r="B72" s="105">
        <v>19.940000000000001</v>
      </c>
      <c r="C72" s="105">
        <v>1</v>
      </c>
      <c r="D72" s="105">
        <v>19.940000000000001</v>
      </c>
      <c r="E72" s="105">
        <v>1</v>
      </c>
      <c r="F72" s="105">
        <v>17.57</v>
      </c>
      <c r="G72" s="105">
        <v>0.96</v>
      </c>
      <c r="H72" s="105">
        <v>17.57</v>
      </c>
      <c r="I72" s="105">
        <v>0.96</v>
      </c>
    </row>
    <row r="73" spans="1:9" x14ac:dyDescent="0.25">
      <c r="A73" s="104">
        <v>63</v>
      </c>
      <c r="B73" s="105">
        <v>19.309999999999999</v>
      </c>
      <c r="C73" s="105">
        <v>1</v>
      </c>
      <c r="D73" s="105">
        <v>19.309999999999999</v>
      </c>
      <c r="E73" s="105">
        <v>1</v>
      </c>
      <c r="F73" s="105">
        <v>17.91</v>
      </c>
      <c r="G73" s="105">
        <v>0.98</v>
      </c>
      <c r="H73" s="105">
        <v>17.91</v>
      </c>
      <c r="I73" s="105">
        <v>0.98</v>
      </c>
    </row>
    <row r="74" spans="1:9" x14ac:dyDescent="0.25">
      <c r="A74" s="104">
        <v>64</v>
      </c>
      <c r="B74" s="105">
        <v>18.670000000000002</v>
      </c>
      <c r="C74" s="105">
        <v>1</v>
      </c>
      <c r="D74" s="105">
        <v>18.670000000000002</v>
      </c>
      <c r="E74" s="105">
        <v>1</v>
      </c>
      <c r="F74" s="105">
        <v>18.260000000000002</v>
      </c>
      <c r="G74" s="105">
        <v>0.99</v>
      </c>
      <c r="H74" s="105">
        <v>18.260000000000002</v>
      </c>
      <c r="I74" s="105">
        <v>0.99</v>
      </c>
    </row>
    <row r="75" spans="1:9" x14ac:dyDescent="0.25">
      <c r="A75" s="104">
        <v>65</v>
      </c>
      <c r="B75" s="105">
        <v>18.04</v>
      </c>
      <c r="C75" s="105">
        <v>1</v>
      </c>
      <c r="D75" s="105">
        <v>18.04</v>
      </c>
      <c r="E75" s="105">
        <v>1</v>
      </c>
      <c r="F75" s="105">
        <v>18.11</v>
      </c>
      <c r="G75" s="105">
        <v>1</v>
      </c>
      <c r="H75" s="105">
        <v>18.11</v>
      </c>
      <c r="I75" s="105">
        <v>1</v>
      </c>
    </row>
    <row r="76" spans="1:9" x14ac:dyDescent="0.25">
      <c r="A76" s="104">
        <v>66</v>
      </c>
      <c r="B76" s="105">
        <v>17.399999999999999</v>
      </c>
      <c r="C76" s="105">
        <v>1</v>
      </c>
      <c r="D76" s="105">
        <v>17.399999999999999</v>
      </c>
      <c r="E76" s="105">
        <v>1</v>
      </c>
      <c r="F76" s="105">
        <v>17.45</v>
      </c>
      <c r="G76" s="105">
        <v>1</v>
      </c>
      <c r="H76" s="105">
        <v>17.45</v>
      </c>
      <c r="I76" s="105">
        <v>1</v>
      </c>
    </row>
    <row r="77" spans="1:9" x14ac:dyDescent="0.25">
      <c r="A77" s="104">
        <v>67</v>
      </c>
      <c r="B77" s="105">
        <v>16.760000000000002</v>
      </c>
      <c r="C77" s="105">
        <v>1</v>
      </c>
      <c r="D77" s="105">
        <v>16.760000000000002</v>
      </c>
      <c r="E77" s="105">
        <v>1</v>
      </c>
      <c r="F77" s="105">
        <v>16.79</v>
      </c>
      <c r="G77" s="105">
        <v>1</v>
      </c>
      <c r="H77" s="105">
        <v>16.79</v>
      </c>
      <c r="I77" s="105">
        <v>1</v>
      </c>
    </row>
    <row r="78" spans="1:9" x14ac:dyDescent="0.25">
      <c r="A78" s="104">
        <v>68</v>
      </c>
      <c r="B78" s="105">
        <v>16.12</v>
      </c>
      <c r="C78" s="105">
        <v>1</v>
      </c>
      <c r="D78" s="105">
        <v>16.12</v>
      </c>
      <c r="E78" s="105">
        <v>1</v>
      </c>
      <c r="F78" s="105">
        <v>16.13</v>
      </c>
      <c r="G78" s="105">
        <v>1</v>
      </c>
      <c r="H78" s="105">
        <v>16.13</v>
      </c>
      <c r="I78" s="105">
        <v>1</v>
      </c>
    </row>
    <row r="79" spans="1:9" x14ac:dyDescent="0.25">
      <c r="A79" s="104">
        <v>69</v>
      </c>
      <c r="B79" s="105">
        <v>15.48</v>
      </c>
      <c r="C79" s="105">
        <v>1</v>
      </c>
      <c r="D79" s="105">
        <v>15.48</v>
      </c>
      <c r="E79" s="105">
        <v>1</v>
      </c>
      <c r="F79" s="105">
        <v>15.48</v>
      </c>
      <c r="G79" s="105">
        <v>1</v>
      </c>
      <c r="H79" s="105">
        <v>15.48</v>
      </c>
      <c r="I79" s="105">
        <v>1</v>
      </c>
    </row>
    <row r="80" spans="1:9" x14ac:dyDescent="0.25">
      <c r="A80" s="104">
        <v>70</v>
      </c>
      <c r="B80" s="105">
        <v>14.84</v>
      </c>
      <c r="C80" s="105">
        <v>1</v>
      </c>
      <c r="D80" s="105">
        <v>14.84</v>
      </c>
      <c r="E80" s="105">
        <v>1</v>
      </c>
      <c r="F80" s="105">
        <v>14.84</v>
      </c>
      <c r="G80" s="105">
        <v>1</v>
      </c>
      <c r="H80" s="105">
        <v>14.84</v>
      </c>
      <c r="I80" s="105">
        <v>1</v>
      </c>
    </row>
    <row r="81" spans="1:9" x14ac:dyDescent="0.25">
      <c r="A81" s="104">
        <v>71</v>
      </c>
      <c r="B81" s="105">
        <v>14.2</v>
      </c>
      <c r="C81" s="105">
        <v>1</v>
      </c>
      <c r="D81" s="105">
        <v>14.2</v>
      </c>
      <c r="E81" s="105">
        <v>1</v>
      </c>
      <c r="F81" s="105">
        <v>14.2</v>
      </c>
      <c r="G81" s="105">
        <v>1</v>
      </c>
      <c r="H81" s="105">
        <v>14.2</v>
      </c>
      <c r="I81" s="105">
        <v>1</v>
      </c>
    </row>
    <row r="82" spans="1:9" x14ac:dyDescent="0.25">
      <c r="A82" s="104">
        <v>72</v>
      </c>
      <c r="B82" s="105">
        <v>13.57</v>
      </c>
      <c r="C82" s="105">
        <v>1</v>
      </c>
      <c r="D82" s="105">
        <v>13.57</v>
      </c>
      <c r="E82" s="105">
        <v>1</v>
      </c>
      <c r="F82" s="105">
        <v>13.57</v>
      </c>
      <c r="G82" s="105">
        <v>1</v>
      </c>
      <c r="H82" s="105">
        <v>13.57</v>
      </c>
      <c r="I82" s="105">
        <v>1</v>
      </c>
    </row>
    <row r="83" spans="1:9" x14ac:dyDescent="0.25">
      <c r="A83" s="104">
        <v>73</v>
      </c>
      <c r="B83" s="105">
        <v>12.94</v>
      </c>
      <c r="C83" s="105">
        <v>1</v>
      </c>
      <c r="D83" s="105">
        <v>12.94</v>
      </c>
      <c r="E83" s="105">
        <v>1</v>
      </c>
      <c r="F83" s="105">
        <v>12.94</v>
      </c>
      <c r="G83" s="105">
        <v>1</v>
      </c>
      <c r="H83" s="105">
        <v>12.94</v>
      </c>
      <c r="I83" s="105">
        <v>1</v>
      </c>
    </row>
    <row r="84" spans="1:9" x14ac:dyDescent="0.25">
      <c r="A84" s="104">
        <v>74</v>
      </c>
      <c r="B84" s="105">
        <v>12.31</v>
      </c>
      <c r="C84" s="105">
        <v>1</v>
      </c>
      <c r="D84" s="105">
        <v>12.31</v>
      </c>
      <c r="E84" s="105">
        <v>1</v>
      </c>
      <c r="F84" s="105">
        <v>12.31</v>
      </c>
      <c r="G84" s="105">
        <v>1</v>
      </c>
      <c r="H84" s="105">
        <v>12.31</v>
      </c>
      <c r="I84" s="105">
        <v>1</v>
      </c>
    </row>
    <row r="85" spans="1:9" x14ac:dyDescent="0.25">
      <c r="A85" s="104">
        <v>75</v>
      </c>
      <c r="B85" s="105">
        <v>11.69</v>
      </c>
      <c r="C85" s="105">
        <v>1</v>
      </c>
      <c r="D85" s="105">
        <v>11.69</v>
      </c>
      <c r="E85" s="105">
        <v>1</v>
      </c>
      <c r="F85" s="105">
        <v>11.69</v>
      </c>
      <c r="G85" s="105">
        <v>1</v>
      </c>
      <c r="H85" s="105">
        <v>11.69</v>
      </c>
      <c r="I85" s="105">
        <v>1</v>
      </c>
    </row>
  </sheetData>
  <sheetProtection algorithmName="SHA-512" hashValue="h0npQRuPiPou/t2WQcOE6J0GUjKNCX+zwbFqmubLpF5PyX/Kt0bpV1WNnjikHO/1/sl/nijPF4EabKajTbpTRA==" saltValue="ztRZrmez759C2QwcVeHFfg==" spinCount="100000" sheet="1" objects="1" scenarios="1"/>
  <conditionalFormatting sqref="A6:A21">
    <cfRule type="expression" dxfId="783" priority="1" stopIfTrue="1">
      <formula>MOD(ROW(),2)=0</formula>
    </cfRule>
    <cfRule type="expression" dxfId="782" priority="2" stopIfTrue="1">
      <formula>MOD(ROW(),2)&lt;&gt;0</formula>
    </cfRule>
  </conditionalFormatting>
  <conditionalFormatting sqref="A26:A85">
    <cfRule type="expression" dxfId="781" priority="5" stopIfTrue="1">
      <formula>MOD(ROW(),2)=0</formula>
    </cfRule>
    <cfRule type="expression" dxfId="780" priority="6" stopIfTrue="1">
      <formula>MOD(ROW(),2)&lt;&gt;0</formula>
    </cfRule>
  </conditionalFormatting>
  <conditionalFormatting sqref="B17:B21">
    <cfRule type="expression" dxfId="779" priority="13" stopIfTrue="1">
      <formula>MOD(ROW(),2)=0</formula>
    </cfRule>
    <cfRule type="expression" dxfId="778" priority="14" stopIfTrue="1">
      <formula>MOD(ROW(),2)&lt;&gt;0</formula>
    </cfRule>
  </conditionalFormatting>
  <conditionalFormatting sqref="B6:I21">
    <cfRule type="expression" dxfId="777" priority="27" stopIfTrue="1">
      <formula>MOD(ROW(),2)=0</formula>
    </cfRule>
    <cfRule type="expression" dxfId="776" priority="28" stopIfTrue="1">
      <formula>MOD(ROW(),2)&lt;&gt;0</formula>
    </cfRule>
  </conditionalFormatting>
  <conditionalFormatting sqref="B26:I85">
    <cfRule type="expression" dxfId="775" priority="7" stopIfTrue="1">
      <formula>MOD(ROW(),2)=0</formula>
    </cfRule>
    <cfRule type="expression" dxfId="774" priority="8" stopIfTrue="1">
      <formula>MOD(ROW(),2)&lt;&gt;0</formula>
    </cfRule>
  </conditionalFormatting>
  <hyperlinks>
    <hyperlink ref="B24" location="Sheet1!A1" display="Assumptions" xr:uid="{BE608427-CF66-45F0-B40A-7135B2CCF17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9"/>
  <dimension ref="A1:I85"/>
  <sheetViews>
    <sheetView showGridLines="0" topLeftCell="A3" zoomScale="85" zoomScaleNormal="85" workbookViewId="0">
      <selection activeCell="A4" sqref="A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Scheme pays AA - x-605</v>
      </c>
      <c r="B3" s="42"/>
      <c r="C3" s="42"/>
      <c r="D3" s="42"/>
      <c r="E3" s="42"/>
      <c r="F3" s="42"/>
      <c r="G3" s="42"/>
      <c r="H3" s="42"/>
      <c r="I3" s="42"/>
    </row>
    <row r="4" spans="1:9" x14ac:dyDescent="0.25">
      <c r="A4" s="44"/>
    </row>
    <row r="6" spans="1:9" x14ac:dyDescent="0.25">
      <c r="A6" s="87" t="s">
        <v>290</v>
      </c>
      <c r="B6" s="185" t="s">
        <v>291</v>
      </c>
      <c r="C6" s="185"/>
    </row>
    <row r="7" spans="1:9" x14ac:dyDescent="0.25">
      <c r="A7" s="81" t="s">
        <v>804</v>
      </c>
      <c r="B7" s="185" t="s">
        <v>345</v>
      </c>
      <c r="C7" s="185"/>
    </row>
    <row r="8" spans="1:9" x14ac:dyDescent="0.25">
      <c r="A8" s="81" t="s">
        <v>805</v>
      </c>
      <c r="B8" s="185" t="s">
        <v>89</v>
      </c>
      <c r="C8" s="185"/>
    </row>
    <row r="9" spans="1:9" x14ac:dyDescent="0.25">
      <c r="A9" s="81" t="s">
        <v>296</v>
      </c>
      <c r="B9" s="185" t="s">
        <v>514</v>
      </c>
      <c r="C9" s="185"/>
    </row>
    <row r="10" spans="1:9" x14ac:dyDescent="0.25">
      <c r="A10" s="81" t="s">
        <v>6</v>
      </c>
      <c r="B10" s="185" t="s">
        <v>527</v>
      </c>
      <c r="C10" s="185"/>
    </row>
    <row r="11" spans="1:9" x14ac:dyDescent="0.25">
      <c r="A11" s="81" t="s">
        <v>299</v>
      </c>
      <c r="B11" s="185" t="s">
        <v>327</v>
      </c>
      <c r="C11" s="185"/>
    </row>
    <row r="12" spans="1:9" x14ac:dyDescent="0.25">
      <c r="A12" s="81" t="s">
        <v>301</v>
      </c>
      <c r="B12" s="185" t="s">
        <v>328</v>
      </c>
      <c r="C12" s="185"/>
    </row>
    <row r="13" spans="1:9" x14ac:dyDescent="0.25">
      <c r="A13" s="81" t="s">
        <v>806</v>
      </c>
      <c r="B13" s="185">
        <v>1</v>
      </c>
      <c r="C13" s="185"/>
    </row>
    <row r="14" spans="1:9" x14ac:dyDescent="0.25">
      <c r="A14" s="81" t="s">
        <v>305</v>
      </c>
      <c r="B14" s="185">
        <v>605</v>
      </c>
      <c r="C14" s="185"/>
    </row>
    <row r="15" spans="1:9" x14ac:dyDescent="0.25">
      <c r="A15" s="81" t="s">
        <v>307</v>
      </c>
      <c r="B15" s="185" t="s">
        <v>528</v>
      </c>
      <c r="C15" s="185"/>
    </row>
    <row r="16" spans="1:9" x14ac:dyDescent="0.25">
      <c r="A16" s="81" t="s">
        <v>825</v>
      </c>
      <c r="B16" s="185" t="s">
        <v>529</v>
      </c>
      <c r="C16" s="185"/>
    </row>
    <row r="17" spans="1:3" ht="64.2" customHeight="1" x14ac:dyDescent="0.25">
      <c r="A17" s="81" t="s">
        <v>803</v>
      </c>
      <c r="B17" s="185"/>
      <c r="C17" s="185"/>
    </row>
    <row r="18" spans="1:3" x14ac:dyDescent="0.25">
      <c r="A18" s="81" t="s">
        <v>313</v>
      </c>
      <c r="B18" s="188">
        <v>45071</v>
      </c>
      <c r="C18" s="185"/>
    </row>
    <row r="19" spans="1:3" x14ac:dyDescent="0.25">
      <c r="A19" s="81" t="s">
        <v>315</v>
      </c>
      <c r="B19" s="188"/>
      <c r="C19" s="185"/>
    </row>
    <row r="20" spans="1:3" x14ac:dyDescent="0.25">
      <c r="A20" s="81" t="s">
        <v>317</v>
      </c>
      <c r="B20" s="185" t="s">
        <v>331</v>
      </c>
      <c r="C20" s="185"/>
    </row>
    <row r="21" spans="1:3" x14ac:dyDescent="0.25">
      <c r="A21" s="77" t="s">
        <v>323</v>
      </c>
      <c r="B21" s="185" t="s">
        <v>332</v>
      </c>
      <c r="C21" s="185"/>
    </row>
    <row r="23" spans="1:3" x14ac:dyDescent="0.25">
      <c r="B23" s="102" t="str">
        <f>HYPERLINK("#'Factor List'!A1","Back to Factor List")</f>
        <v>Back to Factor List</v>
      </c>
    </row>
    <row r="24" spans="1:3" x14ac:dyDescent="0.25">
      <c r="B24" s="102" t="s">
        <v>13</v>
      </c>
    </row>
    <row r="25" spans="1:3" x14ac:dyDescent="0.25">
      <c r="B25" s="102"/>
    </row>
    <row r="26" spans="1:3" x14ac:dyDescent="0.25">
      <c r="A26" s="103" t="s">
        <v>373</v>
      </c>
      <c r="B26" s="103" t="s">
        <v>932</v>
      </c>
      <c r="C26" s="103" t="s">
        <v>933</v>
      </c>
    </row>
    <row r="27" spans="1:3" x14ac:dyDescent="0.25">
      <c r="A27" s="104">
        <v>17</v>
      </c>
      <c r="B27" s="105">
        <v>3.51</v>
      </c>
      <c r="C27" s="105">
        <v>3.51</v>
      </c>
    </row>
    <row r="28" spans="1:3" x14ac:dyDescent="0.25">
      <c r="A28" s="104">
        <v>18</v>
      </c>
      <c r="B28" s="105">
        <v>3.63</v>
      </c>
      <c r="C28" s="105">
        <v>3.63</v>
      </c>
    </row>
    <row r="29" spans="1:3" x14ac:dyDescent="0.25">
      <c r="A29" s="104">
        <v>19</v>
      </c>
      <c r="B29" s="105">
        <v>3.76</v>
      </c>
      <c r="C29" s="105">
        <v>3.76</v>
      </c>
    </row>
    <row r="30" spans="1:3" x14ac:dyDescent="0.25">
      <c r="A30" s="104">
        <v>20</v>
      </c>
      <c r="B30" s="105">
        <v>3.89</v>
      </c>
      <c r="C30" s="105">
        <v>3.89</v>
      </c>
    </row>
    <row r="31" spans="1:3" x14ac:dyDescent="0.25">
      <c r="A31" s="104">
        <v>21</v>
      </c>
      <c r="B31" s="105">
        <v>4.0199999999999996</v>
      </c>
      <c r="C31" s="105">
        <v>4.0199999999999996</v>
      </c>
    </row>
    <row r="32" spans="1:3" x14ac:dyDescent="0.25">
      <c r="A32" s="104">
        <v>22</v>
      </c>
      <c r="B32" s="105">
        <v>4.16</v>
      </c>
      <c r="C32" s="105">
        <v>4.16</v>
      </c>
    </row>
    <row r="33" spans="1:3" x14ac:dyDescent="0.25">
      <c r="A33" s="104">
        <v>23</v>
      </c>
      <c r="B33" s="105">
        <v>4.3</v>
      </c>
      <c r="C33" s="105">
        <v>4.3</v>
      </c>
    </row>
    <row r="34" spans="1:3" x14ac:dyDescent="0.25">
      <c r="A34" s="104">
        <v>24</v>
      </c>
      <c r="B34" s="105">
        <v>4.45</v>
      </c>
      <c r="C34" s="105">
        <v>4.45</v>
      </c>
    </row>
    <row r="35" spans="1:3" x14ac:dyDescent="0.25">
      <c r="A35" s="104">
        <v>25</v>
      </c>
      <c r="B35" s="105">
        <v>4.6100000000000003</v>
      </c>
      <c r="C35" s="105">
        <v>4.6100000000000003</v>
      </c>
    </row>
    <row r="36" spans="1:3" x14ac:dyDescent="0.25">
      <c r="A36" s="104">
        <v>26</v>
      </c>
      <c r="B36" s="105">
        <v>4.76</v>
      </c>
      <c r="C36" s="105">
        <v>4.76</v>
      </c>
    </row>
    <row r="37" spans="1:3" x14ac:dyDescent="0.25">
      <c r="A37" s="104">
        <v>27</v>
      </c>
      <c r="B37" s="105">
        <v>4.93</v>
      </c>
      <c r="C37" s="105">
        <v>4.93</v>
      </c>
    </row>
    <row r="38" spans="1:3" x14ac:dyDescent="0.25">
      <c r="A38" s="104">
        <v>28</v>
      </c>
      <c r="B38" s="105">
        <v>5.0999999999999996</v>
      </c>
      <c r="C38" s="105">
        <v>5.0999999999999996</v>
      </c>
    </row>
    <row r="39" spans="1:3" x14ac:dyDescent="0.25">
      <c r="A39" s="104">
        <v>29</v>
      </c>
      <c r="B39" s="105">
        <v>5.27</v>
      </c>
      <c r="C39" s="105">
        <v>5.27</v>
      </c>
    </row>
    <row r="40" spans="1:3" x14ac:dyDescent="0.25">
      <c r="A40" s="104">
        <v>30</v>
      </c>
      <c r="B40" s="105">
        <v>5.46</v>
      </c>
      <c r="C40" s="105">
        <v>5.46</v>
      </c>
    </row>
    <row r="41" spans="1:3" x14ac:dyDescent="0.25">
      <c r="A41" s="104">
        <v>31</v>
      </c>
      <c r="B41" s="105">
        <v>5.64</v>
      </c>
      <c r="C41" s="105">
        <v>5.64</v>
      </c>
    </row>
    <row r="42" spans="1:3" x14ac:dyDescent="0.25">
      <c r="A42" s="104">
        <v>32</v>
      </c>
      <c r="B42" s="105">
        <v>5.84</v>
      </c>
      <c r="C42" s="105">
        <v>5.84</v>
      </c>
    </row>
    <row r="43" spans="1:3" x14ac:dyDescent="0.25">
      <c r="A43" s="104">
        <v>33</v>
      </c>
      <c r="B43" s="105">
        <v>6.04</v>
      </c>
      <c r="C43" s="105">
        <v>6.04</v>
      </c>
    </row>
    <row r="44" spans="1:3" x14ac:dyDescent="0.25">
      <c r="A44" s="104">
        <v>34</v>
      </c>
      <c r="B44" s="105">
        <v>6.25</v>
      </c>
      <c r="C44" s="105">
        <v>6.25</v>
      </c>
    </row>
    <row r="45" spans="1:3" x14ac:dyDescent="0.25">
      <c r="A45" s="104">
        <v>35</v>
      </c>
      <c r="B45" s="105">
        <v>6.47</v>
      </c>
      <c r="C45" s="105">
        <v>6.47</v>
      </c>
    </row>
    <row r="46" spans="1:3" x14ac:dyDescent="0.25">
      <c r="A46" s="104">
        <v>36</v>
      </c>
      <c r="B46" s="105">
        <v>6.69</v>
      </c>
      <c r="C46" s="105">
        <v>6.69</v>
      </c>
    </row>
    <row r="47" spans="1:3" x14ac:dyDescent="0.25">
      <c r="A47" s="104">
        <v>37</v>
      </c>
      <c r="B47" s="105">
        <v>6.92</v>
      </c>
      <c r="C47" s="105">
        <v>6.92</v>
      </c>
    </row>
    <row r="48" spans="1:3" x14ac:dyDescent="0.25">
      <c r="A48" s="104">
        <v>38</v>
      </c>
      <c r="B48" s="105">
        <v>7.16</v>
      </c>
      <c r="C48" s="105">
        <v>7.16</v>
      </c>
    </row>
    <row r="49" spans="1:3" x14ac:dyDescent="0.25">
      <c r="A49" s="104">
        <v>39</v>
      </c>
      <c r="B49" s="105">
        <v>7.41</v>
      </c>
      <c r="C49" s="105">
        <v>7.41</v>
      </c>
    </row>
    <row r="50" spans="1:3" x14ac:dyDescent="0.25">
      <c r="A50" s="104">
        <v>40</v>
      </c>
      <c r="B50" s="105">
        <v>7.67</v>
      </c>
      <c r="C50" s="105">
        <v>7.67</v>
      </c>
    </row>
    <row r="51" spans="1:3" x14ac:dyDescent="0.25">
      <c r="A51" s="104">
        <v>41</v>
      </c>
      <c r="B51" s="105">
        <v>7.93</v>
      </c>
      <c r="C51" s="105">
        <v>7.93</v>
      </c>
    </row>
    <row r="52" spans="1:3" x14ac:dyDescent="0.25">
      <c r="A52" s="104">
        <v>42</v>
      </c>
      <c r="B52" s="105">
        <v>8.2100000000000009</v>
      </c>
      <c r="C52" s="105">
        <v>8.2100000000000009</v>
      </c>
    </row>
    <row r="53" spans="1:3" x14ac:dyDescent="0.25">
      <c r="A53" s="104">
        <v>43</v>
      </c>
      <c r="B53" s="105">
        <v>8.5</v>
      </c>
      <c r="C53" s="105">
        <v>8.5</v>
      </c>
    </row>
    <row r="54" spans="1:3" x14ac:dyDescent="0.25">
      <c r="A54" s="104">
        <v>44</v>
      </c>
      <c r="B54" s="105">
        <v>8.8000000000000007</v>
      </c>
      <c r="C54" s="105">
        <v>8.8000000000000007</v>
      </c>
    </row>
    <row r="55" spans="1:3" x14ac:dyDescent="0.25">
      <c r="A55" s="104">
        <v>45</v>
      </c>
      <c r="B55" s="105">
        <v>9.1</v>
      </c>
      <c r="C55" s="105">
        <v>9.1</v>
      </c>
    </row>
    <row r="56" spans="1:3" x14ac:dyDescent="0.25">
      <c r="A56" s="104">
        <v>46</v>
      </c>
      <c r="B56" s="105">
        <v>9.42</v>
      </c>
      <c r="C56" s="105">
        <v>9.42</v>
      </c>
    </row>
    <row r="57" spans="1:3" x14ac:dyDescent="0.25">
      <c r="A57" s="104">
        <v>47</v>
      </c>
      <c r="B57" s="105">
        <v>9.76</v>
      </c>
      <c r="C57" s="105">
        <v>9.76</v>
      </c>
    </row>
    <row r="58" spans="1:3" x14ac:dyDescent="0.25">
      <c r="A58" s="104">
        <v>48</v>
      </c>
      <c r="B58" s="105">
        <v>10.1</v>
      </c>
      <c r="C58" s="105">
        <v>10.1</v>
      </c>
    </row>
    <row r="59" spans="1:3" x14ac:dyDescent="0.25">
      <c r="A59" s="104">
        <v>49</v>
      </c>
      <c r="B59" s="105">
        <v>10.46</v>
      </c>
      <c r="C59" s="105">
        <v>10.46</v>
      </c>
    </row>
    <row r="60" spans="1:3" x14ac:dyDescent="0.25">
      <c r="A60" s="104">
        <v>50</v>
      </c>
      <c r="B60" s="105">
        <v>10.83</v>
      </c>
      <c r="C60" s="105">
        <v>10.83</v>
      </c>
    </row>
    <row r="61" spans="1:3" x14ac:dyDescent="0.25">
      <c r="A61" s="104">
        <v>51</v>
      </c>
      <c r="B61" s="105">
        <v>11.22</v>
      </c>
      <c r="C61" s="105">
        <v>11.22</v>
      </c>
    </row>
    <row r="62" spans="1:3" x14ac:dyDescent="0.25">
      <c r="A62" s="104">
        <v>52</v>
      </c>
      <c r="B62" s="105">
        <v>11.62</v>
      </c>
      <c r="C62" s="105">
        <v>11.62</v>
      </c>
    </row>
    <row r="63" spans="1:3" x14ac:dyDescent="0.25">
      <c r="A63" s="104">
        <v>53</v>
      </c>
      <c r="B63" s="105">
        <v>12.04</v>
      </c>
      <c r="C63" s="105">
        <v>12.04</v>
      </c>
    </row>
    <row r="64" spans="1:3" x14ac:dyDescent="0.25">
      <c r="A64" s="104">
        <v>54</v>
      </c>
      <c r="B64" s="105">
        <v>12.47</v>
      </c>
      <c r="C64" s="105">
        <v>12.47</v>
      </c>
    </row>
    <row r="65" spans="1:3" x14ac:dyDescent="0.25">
      <c r="A65" s="104">
        <v>55</v>
      </c>
      <c r="B65" s="105">
        <v>12.92</v>
      </c>
      <c r="C65" s="105">
        <v>12.92</v>
      </c>
    </row>
    <row r="66" spans="1:3" x14ac:dyDescent="0.25">
      <c r="A66" s="104">
        <v>56</v>
      </c>
      <c r="B66" s="105">
        <v>13.4</v>
      </c>
      <c r="C66" s="105">
        <v>13.4</v>
      </c>
    </row>
    <row r="67" spans="1:3" x14ac:dyDescent="0.25">
      <c r="A67" s="104">
        <v>57</v>
      </c>
      <c r="B67" s="105">
        <v>13.89</v>
      </c>
      <c r="C67" s="105">
        <v>13.89</v>
      </c>
    </row>
    <row r="68" spans="1:3" x14ac:dyDescent="0.25">
      <c r="A68" s="104">
        <v>58</v>
      </c>
      <c r="B68" s="105">
        <v>14.41</v>
      </c>
      <c r="C68" s="105">
        <v>14.41</v>
      </c>
    </row>
    <row r="69" spans="1:3" x14ac:dyDescent="0.25">
      <c r="A69" s="104">
        <v>59</v>
      </c>
      <c r="B69" s="105">
        <v>14.94</v>
      </c>
      <c r="C69" s="105">
        <v>14.94</v>
      </c>
    </row>
    <row r="70" spans="1:3" x14ac:dyDescent="0.25">
      <c r="A70" s="104">
        <v>60</v>
      </c>
      <c r="B70" s="105">
        <v>15.51</v>
      </c>
      <c r="C70" s="105">
        <v>15.51</v>
      </c>
    </row>
    <row r="71" spans="1:3" x14ac:dyDescent="0.25">
      <c r="A71" s="104">
        <v>61</v>
      </c>
      <c r="B71" s="105">
        <v>16.100000000000001</v>
      </c>
      <c r="C71" s="105">
        <v>16.100000000000001</v>
      </c>
    </row>
    <row r="72" spans="1:3" x14ac:dyDescent="0.25">
      <c r="A72" s="104">
        <v>62</v>
      </c>
      <c r="B72" s="105">
        <v>16.73</v>
      </c>
      <c r="C72" s="105">
        <v>16.73</v>
      </c>
    </row>
    <row r="73" spans="1:3" x14ac:dyDescent="0.25">
      <c r="A73" s="104">
        <v>63</v>
      </c>
      <c r="B73" s="105">
        <v>17.38</v>
      </c>
      <c r="C73" s="105">
        <v>17.38</v>
      </c>
    </row>
    <row r="74" spans="1:3" x14ac:dyDescent="0.25">
      <c r="A74" s="104">
        <v>64</v>
      </c>
      <c r="B74" s="105">
        <v>18.079999999999998</v>
      </c>
      <c r="C74" s="105">
        <v>18.079999999999998</v>
      </c>
    </row>
    <row r="75" spans="1:3" x14ac:dyDescent="0.25">
      <c r="A75" s="104">
        <v>65</v>
      </c>
      <c r="B75" s="105">
        <v>18.11</v>
      </c>
      <c r="C75" s="105">
        <v>18.11</v>
      </c>
    </row>
    <row r="76" spans="1:3" x14ac:dyDescent="0.25">
      <c r="A76" s="104">
        <v>66</v>
      </c>
      <c r="B76" s="105">
        <v>17.45</v>
      </c>
      <c r="C76" s="105">
        <v>17.45</v>
      </c>
    </row>
    <row r="77" spans="1:3" x14ac:dyDescent="0.25">
      <c r="A77" s="104">
        <v>67</v>
      </c>
      <c r="B77" s="105">
        <v>16.79</v>
      </c>
      <c r="C77" s="105">
        <v>16.79</v>
      </c>
    </row>
    <row r="78" spans="1:3" x14ac:dyDescent="0.25">
      <c r="A78" s="104">
        <v>68</v>
      </c>
      <c r="B78" s="105">
        <v>16.13</v>
      </c>
      <c r="C78" s="105">
        <v>16.13</v>
      </c>
    </row>
    <row r="79" spans="1:3" x14ac:dyDescent="0.25">
      <c r="A79" s="104">
        <v>69</v>
      </c>
      <c r="B79" s="105">
        <v>15.48</v>
      </c>
      <c r="C79" s="105">
        <v>15.48</v>
      </c>
    </row>
    <row r="80" spans="1:3" x14ac:dyDescent="0.25">
      <c r="A80" s="104">
        <v>70</v>
      </c>
      <c r="B80" s="105">
        <v>14.84</v>
      </c>
      <c r="C80" s="105">
        <v>14.84</v>
      </c>
    </row>
    <row r="81" spans="1:3" x14ac:dyDescent="0.25">
      <c r="A81" s="104">
        <v>71</v>
      </c>
      <c r="B81" s="105">
        <v>14.2</v>
      </c>
      <c r="C81" s="105">
        <v>14.2</v>
      </c>
    </row>
    <row r="82" spans="1:3" x14ac:dyDescent="0.25">
      <c r="A82" s="104">
        <v>72</v>
      </c>
      <c r="B82" s="105">
        <v>13.57</v>
      </c>
      <c r="C82" s="105">
        <v>13.57</v>
      </c>
    </row>
    <row r="83" spans="1:3" x14ac:dyDescent="0.25">
      <c r="A83" s="104">
        <v>73</v>
      </c>
      <c r="B83" s="105">
        <v>12.94</v>
      </c>
      <c r="C83" s="105">
        <v>12.94</v>
      </c>
    </row>
    <row r="84" spans="1:3" x14ac:dyDescent="0.25">
      <c r="A84" s="104">
        <v>74</v>
      </c>
      <c r="B84" s="105">
        <v>12.31</v>
      </c>
      <c r="C84" s="105">
        <v>12.31</v>
      </c>
    </row>
    <row r="85" spans="1:3" x14ac:dyDescent="0.25">
      <c r="A85" s="104">
        <v>75</v>
      </c>
      <c r="B85" s="105">
        <v>11.69</v>
      </c>
      <c r="C85" s="105">
        <v>11.69</v>
      </c>
    </row>
  </sheetData>
  <sheetProtection algorithmName="SHA-512" hashValue="sBH2GveKG7IC83OFDl+Zy+gXCksaKKiW+3RurTN+PbAeDTzUiUcPAmX55SvsxvvnN5H7PV1/EnKk8MEMmQ4m1w==" saltValue="WePu9u5EiyR1/LhoB1Y9PA==" spinCount="100000" sheet="1" objects="1" scenarios="1"/>
  <conditionalFormatting sqref="A6:A21">
    <cfRule type="expression" dxfId="773" priority="1" stopIfTrue="1">
      <formula>MOD(ROW(),2)=0</formula>
    </cfRule>
    <cfRule type="expression" dxfId="772" priority="2" stopIfTrue="1">
      <formula>MOD(ROW(),2)&lt;&gt;0</formula>
    </cfRule>
  </conditionalFormatting>
  <conditionalFormatting sqref="A26:A85">
    <cfRule type="expression" dxfId="771" priority="5" stopIfTrue="1">
      <formula>MOD(ROW(),2)=0</formula>
    </cfRule>
    <cfRule type="expression" dxfId="770" priority="6" stopIfTrue="1">
      <formula>MOD(ROW(),2)&lt;&gt;0</formula>
    </cfRule>
  </conditionalFormatting>
  <conditionalFormatting sqref="B17:B21">
    <cfRule type="expression" dxfId="769" priority="13" stopIfTrue="1">
      <formula>MOD(ROW(),2)=0</formula>
    </cfRule>
    <cfRule type="expression" dxfId="768" priority="14" stopIfTrue="1">
      <formula>MOD(ROW(),2)&lt;&gt;0</formula>
    </cfRule>
  </conditionalFormatting>
  <conditionalFormatting sqref="B6:C21">
    <cfRule type="expression" dxfId="767" priority="27" stopIfTrue="1">
      <formula>MOD(ROW(),2)=0</formula>
    </cfRule>
    <cfRule type="expression" dxfId="766" priority="28" stopIfTrue="1">
      <formula>MOD(ROW(),2)&lt;&gt;0</formula>
    </cfRule>
  </conditionalFormatting>
  <conditionalFormatting sqref="B26:C85">
    <cfRule type="expression" dxfId="765" priority="7" stopIfTrue="1">
      <formula>MOD(ROW(),2)=0</formula>
    </cfRule>
    <cfRule type="expression" dxfId="764" priority="8" stopIfTrue="1">
      <formula>MOD(ROW(),2)&lt;&gt;0</formula>
    </cfRule>
  </conditionalFormatting>
  <hyperlinks>
    <hyperlink ref="B24" location="Sheet1!A1" display="Assumptions" xr:uid="{95951860-915C-42F3-BC3E-DAB13493D11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80"/>
  <dimension ref="A1:I72"/>
  <sheetViews>
    <sheetView showGridLines="0" zoomScale="85" zoomScaleNormal="85" workbookViewId="0">
      <selection activeCell="A4" sqref="A4"/>
    </sheetView>
  </sheetViews>
  <sheetFormatPr defaultColWidth="10" defaultRowHeight="13.2" x14ac:dyDescent="0.25"/>
  <cols>
    <col min="1" max="1" width="31.5546875" style="27" customWidth="1"/>
    <col min="2" max="12" width="22.5546875" style="27" customWidth="1"/>
    <col min="13"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Scheme pays AA - x-606</v>
      </c>
      <c r="B3" s="42"/>
      <c r="C3" s="42"/>
      <c r="D3" s="42"/>
      <c r="E3" s="42"/>
      <c r="F3" s="42"/>
      <c r="G3" s="42"/>
      <c r="H3" s="42"/>
      <c r="I3" s="42"/>
    </row>
    <row r="4" spans="1:9" x14ac:dyDescent="0.25">
      <c r="A4" s="44"/>
    </row>
    <row r="6" spans="1:9" x14ac:dyDescent="0.25">
      <c r="A6" s="87" t="s">
        <v>290</v>
      </c>
      <c r="B6" s="185" t="s">
        <v>291</v>
      </c>
      <c r="C6" s="185"/>
      <c r="D6" s="185"/>
      <c r="E6" s="185"/>
      <c r="F6" s="185"/>
      <c r="G6" s="185"/>
      <c r="H6" s="185"/>
      <c r="I6" s="185"/>
    </row>
    <row r="7" spans="1:9" x14ac:dyDescent="0.25">
      <c r="A7" s="81" t="s">
        <v>804</v>
      </c>
      <c r="B7" s="185" t="s">
        <v>345</v>
      </c>
      <c r="C7" s="185"/>
      <c r="D7" s="185"/>
      <c r="E7" s="185"/>
      <c r="F7" s="185"/>
      <c r="G7" s="185"/>
      <c r="H7" s="185"/>
      <c r="I7" s="185"/>
    </row>
    <row r="8" spans="1:9" x14ac:dyDescent="0.25">
      <c r="A8" s="81" t="s">
        <v>805</v>
      </c>
      <c r="B8" s="185" t="s">
        <v>396</v>
      </c>
      <c r="C8" s="185"/>
      <c r="D8" s="185"/>
      <c r="E8" s="185"/>
      <c r="F8" s="185"/>
      <c r="G8" s="185"/>
      <c r="H8" s="185"/>
      <c r="I8" s="185"/>
    </row>
    <row r="9" spans="1:9" x14ac:dyDescent="0.25">
      <c r="A9" s="81" t="s">
        <v>296</v>
      </c>
      <c r="B9" s="185" t="s">
        <v>514</v>
      </c>
      <c r="C9" s="185"/>
      <c r="D9" s="185"/>
      <c r="E9" s="185"/>
      <c r="F9" s="185"/>
      <c r="G9" s="185"/>
      <c r="H9" s="185"/>
      <c r="I9" s="185"/>
    </row>
    <row r="10" spans="1:9" x14ac:dyDescent="0.25">
      <c r="A10" s="81" t="s">
        <v>6</v>
      </c>
      <c r="B10" s="185" t="s">
        <v>530</v>
      </c>
      <c r="C10" s="185"/>
      <c r="D10" s="185"/>
      <c r="E10" s="185"/>
      <c r="F10" s="185"/>
      <c r="G10" s="185"/>
      <c r="H10" s="185"/>
      <c r="I10" s="185"/>
    </row>
    <row r="11" spans="1:9" x14ac:dyDescent="0.25">
      <c r="A11" s="81" t="s">
        <v>299</v>
      </c>
      <c r="B11" s="185" t="s">
        <v>327</v>
      </c>
      <c r="C11" s="185"/>
      <c r="D11" s="185"/>
      <c r="E11" s="185"/>
      <c r="F11" s="185"/>
      <c r="G11" s="185"/>
      <c r="H11" s="185"/>
      <c r="I11" s="185"/>
    </row>
    <row r="12" spans="1:9" x14ac:dyDescent="0.25">
      <c r="A12" s="81" t="s">
        <v>301</v>
      </c>
      <c r="B12" s="185" t="s">
        <v>531</v>
      </c>
      <c r="C12" s="185"/>
      <c r="D12" s="185"/>
      <c r="E12" s="185"/>
      <c r="F12" s="185"/>
      <c r="G12" s="185"/>
      <c r="H12" s="185"/>
      <c r="I12" s="185"/>
    </row>
    <row r="13" spans="1:9" x14ac:dyDescent="0.25">
      <c r="A13" s="81" t="s">
        <v>806</v>
      </c>
      <c r="B13" s="185">
        <v>1</v>
      </c>
      <c r="C13" s="185"/>
      <c r="D13" s="185"/>
      <c r="E13" s="185"/>
      <c r="F13" s="185"/>
      <c r="G13" s="185"/>
      <c r="H13" s="185"/>
      <c r="I13" s="185"/>
    </row>
    <row r="14" spans="1:9" x14ac:dyDescent="0.25">
      <c r="A14" s="81" t="s">
        <v>305</v>
      </c>
      <c r="B14" s="185">
        <v>606</v>
      </c>
      <c r="C14" s="185"/>
      <c r="D14" s="185"/>
      <c r="E14" s="185"/>
      <c r="F14" s="185"/>
      <c r="G14" s="185"/>
      <c r="H14" s="185"/>
      <c r="I14" s="185"/>
    </row>
    <row r="15" spans="1:9" x14ac:dyDescent="0.25">
      <c r="A15" s="81" t="s">
        <v>307</v>
      </c>
      <c r="B15" s="185" t="s">
        <v>532</v>
      </c>
      <c r="C15" s="185"/>
      <c r="D15" s="185"/>
      <c r="E15" s="185"/>
      <c r="F15" s="185"/>
      <c r="G15" s="185"/>
      <c r="H15" s="185"/>
      <c r="I15" s="185"/>
    </row>
    <row r="16" spans="1:9" x14ac:dyDescent="0.25">
      <c r="A16" s="81" t="s">
        <v>825</v>
      </c>
      <c r="B16" s="185" t="s">
        <v>533</v>
      </c>
      <c r="C16" s="185"/>
      <c r="D16" s="185"/>
      <c r="E16" s="185"/>
      <c r="F16" s="185"/>
      <c r="G16" s="185"/>
      <c r="H16" s="185"/>
      <c r="I16" s="185"/>
    </row>
    <row r="17" spans="1:9" x14ac:dyDescent="0.25">
      <c r="A17" s="81" t="s">
        <v>803</v>
      </c>
      <c r="B17" s="185"/>
      <c r="C17" s="185"/>
      <c r="D17" s="185"/>
      <c r="E17" s="185"/>
      <c r="F17" s="185"/>
      <c r="G17" s="185"/>
      <c r="H17" s="185"/>
      <c r="I17" s="185"/>
    </row>
    <row r="18" spans="1:9" x14ac:dyDescent="0.25">
      <c r="A18" s="81" t="s">
        <v>313</v>
      </c>
      <c r="B18" s="188">
        <v>45071</v>
      </c>
      <c r="C18" s="185"/>
      <c r="D18" s="185"/>
      <c r="E18" s="185"/>
      <c r="F18" s="185"/>
      <c r="G18" s="185"/>
      <c r="H18" s="185"/>
      <c r="I18" s="185"/>
    </row>
    <row r="19" spans="1:9" x14ac:dyDescent="0.25">
      <c r="A19" s="81" t="s">
        <v>315</v>
      </c>
      <c r="B19" s="188"/>
      <c r="C19" s="185"/>
      <c r="D19" s="185"/>
      <c r="E19" s="185"/>
      <c r="F19" s="185"/>
      <c r="G19" s="185"/>
      <c r="H19" s="185"/>
      <c r="I19" s="185"/>
    </row>
    <row r="20" spans="1:9" x14ac:dyDescent="0.25">
      <c r="A20" s="81" t="s">
        <v>317</v>
      </c>
      <c r="B20" s="185" t="s">
        <v>331</v>
      </c>
      <c r="C20" s="185"/>
      <c r="D20" s="185"/>
      <c r="E20" s="185"/>
      <c r="F20" s="185"/>
      <c r="G20" s="185"/>
      <c r="H20" s="185"/>
      <c r="I20" s="185"/>
    </row>
    <row r="21" spans="1:9" x14ac:dyDescent="0.25">
      <c r="A21" s="77" t="s">
        <v>323</v>
      </c>
      <c r="B21" s="185" t="s">
        <v>332</v>
      </c>
      <c r="C21" s="185"/>
      <c r="D21" s="185"/>
      <c r="E21" s="185"/>
      <c r="F21" s="185"/>
      <c r="G21" s="185"/>
      <c r="H21" s="185"/>
      <c r="I21" s="185"/>
    </row>
    <row r="23" spans="1:9" x14ac:dyDescent="0.25">
      <c r="B23" s="102" t="str">
        <f>HYPERLINK("#'Factor List'!A1","Back to Factor List")</f>
        <v>Back to Factor List</v>
      </c>
    </row>
    <row r="24" spans="1:9" x14ac:dyDescent="0.25">
      <c r="B24" s="102" t="s">
        <v>13</v>
      </c>
    </row>
    <row r="25" spans="1:9" x14ac:dyDescent="0.25">
      <c r="B25" s="102"/>
    </row>
    <row r="26" spans="1:9" ht="26.4" x14ac:dyDescent="0.25">
      <c r="A26" s="125" t="s">
        <v>948</v>
      </c>
      <c r="B26" s="125" t="s">
        <v>940</v>
      </c>
      <c r="C26" s="125" t="s">
        <v>941</v>
      </c>
      <c r="D26" s="125" t="s">
        <v>942</v>
      </c>
      <c r="E26" s="125" t="s">
        <v>943</v>
      </c>
      <c r="F26" s="125" t="s">
        <v>944</v>
      </c>
      <c r="G26" s="125" t="s">
        <v>945</v>
      </c>
      <c r="H26" s="125" t="s">
        <v>946</v>
      </c>
      <c r="I26" s="125" t="s">
        <v>947</v>
      </c>
    </row>
    <row r="27" spans="1:9" x14ac:dyDescent="0.25">
      <c r="A27" s="126">
        <v>0</v>
      </c>
      <c r="B27" s="127">
        <v>1</v>
      </c>
      <c r="C27" s="127">
        <v>1</v>
      </c>
      <c r="D27" s="127">
        <v>1</v>
      </c>
      <c r="E27" s="127">
        <v>1</v>
      </c>
      <c r="F27" s="127">
        <v>1</v>
      </c>
      <c r="G27" s="127">
        <v>1</v>
      </c>
      <c r="H27" s="127">
        <v>1</v>
      </c>
      <c r="I27" s="127">
        <v>1</v>
      </c>
    </row>
    <row r="28" spans="1:9" x14ac:dyDescent="0.25">
      <c r="A28" s="126">
        <v>1</v>
      </c>
      <c r="B28" s="127">
        <v>0.95499999999999996</v>
      </c>
      <c r="C28" s="127">
        <v>0.98299999999999998</v>
      </c>
      <c r="D28" s="127">
        <v>0.95499999999999996</v>
      </c>
      <c r="E28" s="127">
        <v>0.98299999999999998</v>
      </c>
      <c r="F28" s="127">
        <v>0.94799999999999995</v>
      </c>
      <c r="G28" s="127">
        <v>0.98299999999999998</v>
      </c>
      <c r="H28" s="127">
        <v>0.94799999999999995</v>
      </c>
      <c r="I28" s="127">
        <v>0.98299999999999998</v>
      </c>
    </row>
    <row r="29" spans="1:9" x14ac:dyDescent="0.25">
      <c r="A29" s="126">
        <v>2</v>
      </c>
      <c r="B29" s="127">
        <v>0.91400000000000003</v>
      </c>
      <c r="C29" s="127">
        <v>0.96699999999999997</v>
      </c>
      <c r="D29" s="127">
        <v>0.91400000000000003</v>
      </c>
      <c r="E29" s="127">
        <v>0.96699999999999997</v>
      </c>
      <c r="F29" s="127">
        <v>0.90100000000000002</v>
      </c>
      <c r="G29" s="127">
        <v>0.96699999999999997</v>
      </c>
      <c r="H29" s="127">
        <v>0.90100000000000002</v>
      </c>
      <c r="I29" s="127">
        <v>0.96699999999999997</v>
      </c>
    </row>
    <row r="30" spans="1:9" x14ac:dyDescent="0.25">
      <c r="A30" s="126">
        <v>3</v>
      </c>
      <c r="B30" s="127">
        <v>0.875</v>
      </c>
      <c r="C30" s="127">
        <v>0.95099999999999996</v>
      </c>
      <c r="D30" s="127">
        <v>0.875</v>
      </c>
      <c r="E30" s="127">
        <v>0.95099999999999996</v>
      </c>
      <c r="F30" s="127">
        <v>0.85799999999999998</v>
      </c>
      <c r="G30" s="127">
        <v>0.95099999999999996</v>
      </c>
      <c r="H30" s="127">
        <v>0.85799999999999998</v>
      </c>
      <c r="I30" s="127">
        <v>0.95099999999999996</v>
      </c>
    </row>
    <row r="31" spans="1:9" x14ac:dyDescent="0.25">
      <c r="A31" s="126">
        <v>4</v>
      </c>
      <c r="B31" s="127">
        <v>0.83899999999999997</v>
      </c>
      <c r="C31" s="127">
        <v>0.93500000000000005</v>
      </c>
      <c r="D31" s="127">
        <v>0.83899999999999997</v>
      </c>
      <c r="E31" s="127">
        <v>0.93500000000000005</v>
      </c>
      <c r="F31" s="127">
        <v>0.81799999999999995</v>
      </c>
      <c r="G31" s="127">
        <v>0.93500000000000005</v>
      </c>
      <c r="H31" s="127">
        <v>0.81799999999999995</v>
      </c>
      <c r="I31" s="127">
        <v>0.93500000000000005</v>
      </c>
    </row>
    <row r="32" spans="1:9" x14ac:dyDescent="0.25">
      <c r="A32" s="126">
        <v>5</v>
      </c>
      <c r="B32" s="127">
        <v>0.80500000000000005</v>
      </c>
      <c r="C32" s="127">
        <v>0.91900000000000004</v>
      </c>
      <c r="D32" s="127">
        <v>0.80500000000000005</v>
      </c>
      <c r="E32" s="127">
        <v>0.91900000000000004</v>
      </c>
      <c r="F32" s="127">
        <v>0.78100000000000003</v>
      </c>
      <c r="G32" s="127">
        <v>0.91900000000000004</v>
      </c>
      <c r="H32" s="127">
        <v>0.78100000000000003</v>
      </c>
      <c r="I32" s="127">
        <v>0.91900000000000004</v>
      </c>
    </row>
    <row r="33" spans="1:9" x14ac:dyDescent="0.25">
      <c r="A33" s="126">
        <v>6</v>
      </c>
      <c r="B33" s="127">
        <v>0.77400000000000002</v>
      </c>
      <c r="C33" s="127">
        <v>0.90400000000000003</v>
      </c>
      <c r="D33" s="127">
        <v>0.77400000000000002</v>
      </c>
      <c r="E33" s="127">
        <v>0.90400000000000003</v>
      </c>
      <c r="F33" s="127">
        <v>0.746</v>
      </c>
      <c r="G33" s="127">
        <v>0.90400000000000003</v>
      </c>
      <c r="H33" s="127">
        <v>0.746</v>
      </c>
      <c r="I33" s="127">
        <v>0.90400000000000003</v>
      </c>
    </row>
    <row r="34" spans="1:9" x14ac:dyDescent="0.25">
      <c r="A34" s="126">
        <v>7</v>
      </c>
      <c r="B34" s="127">
        <v>0.745</v>
      </c>
      <c r="C34" s="127">
        <v>0.88900000000000001</v>
      </c>
      <c r="D34" s="127">
        <v>0.745</v>
      </c>
      <c r="E34" s="127">
        <v>0.88900000000000001</v>
      </c>
      <c r="F34" s="127">
        <v>0.71399999999999997</v>
      </c>
      <c r="G34" s="127">
        <v>0.88900000000000001</v>
      </c>
      <c r="H34" s="127">
        <v>0.71399999999999997</v>
      </c>
      <c r="I34" s="127">
        <v>0.88900000000000001</v>
      </c>
    </row>
    <row r="35" spans="1:9" x14ac:dyDescent="0.25">
      <c r="A35" s="126">
        <v>8</v>
      </c>
      <c r="B35" s="127">
        <v>0.71699999999999997</v>
      </c>
      <c r="C35" s="127">
        <v>0.874</v>
      </c>
      <c r="D35" s="127">
        <v>0.71699999999999997</v>
      </c>
      <c r="E35" s="127">
        <v>0.874</v>
      </c>
      <c r="F35" s="127">
        <v>0.68500000000000005</v>
      </c>
      <c r="G35" s="127">
        <v>0.874</v>
      </c>
      <c r="H35" s="127">
        <v>0.68500000000000005</v>
      </c>
      <c r="I35" s="127">
        <v>0.874</v>
      </c>
    </row>
    <row r="36" spans="1:9" x14ac:dyDescent="0.25">
      <c r="A36" s="126">
        <v>9</v>
      </c>
      <c r="B36" s="127">
        <v>0.69099999999999995</v>
      </c>
      <c r="C36" s="127">
        <v>0.85899999999999999</v>
      </c>
      <c r="D36" s="127">
        <v>0.69099999999999995</v>
      </c>
      <c r="E36" s="127">
        <v>0.85899999999999999</v>
      </c>
      <c r="F36" s="127">
        <v>0.65700000000000003</v>
      </c>
      <c r="G36" s="127">
        <v>0.85899999999999999</v>
      </c>
      <c r="H36" s="127">
        <v>0.65700000000000003</v>
      </c>
      <c r="I36" s="127">
        <v>0.85899999999999999</v>
      </c>
    </row>
    <row r="37" spans="1:9" x14ac:dyDescent="0.25">
      <c r="A37" s="126">
        <v>10</v>
      </c>
      <c r="B37" s="127">
        <v>0.66600000000000004</v>
      </c>
      <c r="C37" s="127">
        <v>0.84499999999999997</v>
      </c>
      <c r="D37" s="127">
        <v>0.66600000000000004</v>
      </c>
      <c r="E37" s="127">
        <v>0.84499999999999997</v>
      </c>
      <c r="F37" s="127">
        <v>0.63100000000000001</v>
      </c>
      <c r="G37" s="127">
        <v>0.84499999999999997</v>
      </c>
      <c r="H37" s="127">
        <v>0.63100000000000001</v>
      </c>
      <c r="I37" s="127">
        <v>0.84499999999999997</v>
      </c>
    </row>
    <row r="38" spans="1:9" x14ac:dyDescent="0.25">
      <c r="A38" s="126">
        <v>11</v>
      </c>
      <c r="B38" s="127">
        <v>0.64300000000000002</v>
      </c>
      <c r="C38" s="127">
        <v>0.83099999999999996</v>
      </c>
      <c r="D38" s="127">
        <v>0.64300000000000002</v>
      </c>
      <c r="E38" s="127">
        <v>0.83099999999999996</v>
      </c>
      <c r="F38" s="127">
        <v>0.60699999999999998</v>
      </c>
      <c r="G38" s="127">
        <v>0.83099999999999996</v>
      </c>
      <c r="H38" s="127">
        <v>0.60699999999999998</v>
      </c>
      <c r="I38" s="127">
        <v>0.83099999999999996</v>
      </c>
    </row>
    <row r="39" spans="1:9" x14ac:dyDescent="0.25">
      <c r="A39" s="126">
        <v>12</v>
      </c>
      <c r="B39" s="127">
        <v>0.621</v>
      </c>
      <c r="C39" s="127">
        <v>0.81699999999999995</v>
      </c>
      <c r="D39" s="127">
        <v>0.621</v>
      </c>
      <c r="E39" s="127">
        <v>0.81699999999999995</v>
      </c>
      <c r="F39" s="127">
        <v>0.58399999999999996</v>
      </c>
      <c r="G39" s="127">
        <v>0.81699999999999995</v>
      </c>
      <c r="H39" s="127">
        <v>0.58399999999999996</v>
      </c>
      <c r="I39" s="127">
        <v>0.81699999999999995</v>
      </c>
    </row>
    <row r="40" spans="1:9" x14ac:dyDescent="0.25">
      <c r="A40" s="126">
        <v>13</v>
      </c>
      <c r="B40" s="127">
        <v>0.60099999999999998</v>
      </c>
      <c r="C40" s="127">
        <v>0.80300000000000005</v>
      </c>
      <c r="D40" s="127">
        <v>0.60099999999999998</v>
      </c>
      <c r="E40" s="127">
        <v>0.80300000000000005</v>
      </c>
      <c r="F40" s="127">
        <v>0.56299999999999994</v>
      </c>
      <c r="G40" s="127">
        <v>0.80300000000000005</v>
      </c>
      <c r="H40" s="127">
        <v>0.56299999999999994</v>
      </c>
      <c r="I40" s="127">
        <v>0.80300000000000005</v>
      </c>
    </row>
    <row r="41" spans="1:9" x14ac:dyDescent="0.25">
      <c r="A41" s="126">
        <v>14</v>
      </c>
      <c r="B41" s="127">
        <v>0.58099999999999996</v>
      </c>
      <c r="C41" s="127">
        <v>0.79</v>
      </c>
      <c r="D41" s="127">
        <v>0.58099999999999996</v>
      </c>
      <c r="E41" s="127">
        <v>0.79</v>
      </c>
      <c r="F41" s="127">
        <v>0.54300000000000004</v>
      </c>
      <c r="G41" s="127">
        <v>0.79</v>
      </c>
      <c r="H41" s="127">
        <v>0.54300000000000004</v>
      </c>
      <c r="I41" s="127">
        <v>0.79</v>
      </c>
    </row>
    <row r="42" spans="1:9" x14ac:dyDescent="0.25">
      <c r="A42" s="126">
        <v>15</v>
      </c>
      <c r="B42" s="127">
        <v>0.56200000000000006</v>
      </c>
      <c r="C42" s="127">
        <v>0.77700000000000002</v>
      </c>
      <c r="D42" s="127">
        <v>0.56200000000000006</v>
      </c>
      <c r="E42" s="127">
        <v>0.77700000000000002</v>
      </c>
      <c r="F42" s="127">
        <v>0.52400000000000002</v>
      </c>
      <c r="G42" s="127">
        <v>0.77700000000000002</v>
      </c>
      <c r="H42" s="127">
        <v>0.52400000000000002</v>
      </c>
      <c r="I42" s="127">
        <v>0.77700000000000002</v>
      </c>
    </row>
    <row r="43" spans="1:9" x14ac:dyDescent="0.25">
      <c r="A43" s="126">
        <v>16</v>
      </c>
      <c r="B43" s="127">
        <v>0.54500000000000004</v>
      </c>
      <c r="C43" s="127">
        <v>0.76400000000000001</v>
      </c>
      <c r="D43" s="127">
        <v>0.54500000000000004</v>
      </c>
      <c r="E43" s="127">
        <v>0.76400000000000001</v>
      </c>
      <c r="F43" s="127">
        <v>0.50600000000000001</v>
      </c>
      <c r="G43" s="127">
        <v>0.76400000000000001</v>
      </c>
      <c r="H43" s="127">
        <v>0.50600000000000001</v>
      </c>
      <c r="I43" s="127">
        <v>0.76400000000000001</v>
      </c>
    </row>
    <row r="44" spans="1:9" x14ac:dyDescent="0.25">
      <c r="A44" s="126">
        <v>17</v>
      </c>
      <c r="B44" s="127">
        <v>0.52800000000000002</v>
      </c>
      <c r="C44" s="127">
        <v>0.751</v>
      </c>
      <c r="D44" s="127">
        <v>0.52800000000000002</v>
      </c>
      <c r="E44" s="127">
        <v>0.751</v>
      </c>
      <c r="F44" s="127">
        <v>0.48899999999999999</v>
      </c>
      <c r="G44" s="127">
        <v>0.751</v>
      </c>
      <c r="H44" s="127">
        <v>0.48899999999999999</v>
      </c>
      <c r="I44" s="127">
        <v>0.751</v>
      </c>
    </row>
    <row r="45" spans="1:9" x14ac:dyDescent="0.25">
      <c r="A45" s="126">
        <v>18</v>
      </c>
      <c r="B45" s="127">
        <v>0.51200000000000001</v>
      </c>
      <c r="C45" s="127">
        <v>0.73799999999999999</v>
      </c>
      <c r="D45" s="127">
        <v>0.51200000000000001</v>
      </c>
      <c r="E45" s="127">
        <v>0.73799999999999999</v>
      </c>
      <c r="F45" s="127">
        <v>0.47299999999999998</v>
      </c>
      <c r="G45" s="127">
        <v>0.73799999999999999</v>
      </c>
      <c r="H45" s="127">
        <v>0.47299999999999998</v>
      </c>
      <c r="I45" s="127">
        <v>0.73799999999999999</v>
      </c>
    </row>
    <row r="46" spans="1:9" x14ac:dyDescent="0.25">
      <c r="A46" s="126">
        <v>19</v>
      </c>
      <c r="B46" s="127">
        <v>0.497</v>
      </c>
      <c r="C46" s="127">
        <v>0.72599999999999998</v>
      </c>
      <c r="D46" s="127">
        <v>0.497</v>
      </c>
      <c r="E46" s="127">
        <v>0.72599999999999998</v>
      </c>
      <c r="F46" s="127">
        <v>0.45800000000000002</v>
      </c>
      <c r="G46" s="127">
        <v>0.72599999999999998</v>
      </c>
      <c r="H46" s="127">
        <v>0.45800000000000002</v>
      </c>
      <c r="I46" s="127">
        <v>0.72599999999999998</v>
      </c>
    </row>
    <row r="47" spans="1:9" x14ac:dyDescent="0.25">
      <c r="A47" s="126">
        <v>20</v>
      </c>
      <c r="B47" s="127">
        <v>0.48199999999999998</v>
      </c>
      <c r="C47" s="127">
        <v>0.71399999999999997</v>
      </c>
      <c r="D47" s="127">
        <v>0.48199999999999998</v>
      </c>
      <c r="E47" s="127">
        <v>0.71399999999999997</v>
      </c>
      <c r="F47" s="127">
        <v>0.44400000000000001</v>
      </c>
      <c r="G47" s="127">
        <v>0.71399999999999997</v>
      </c>
      <c r="H47" s="127">
        <v>0.44400000000000001</v>
      </c>
      <c r="I47" s="127">
        <v>0.71399999999999997</v>
      </c>
    </row>
    <row r="48" spans="1:9" x14ac:dyDescent="0.25">
      <c r="A48" s="126">
        <v>21</v>
      </c>
      <c r="B48" s="127">
        <v>0.46800000000000003</v>
      </c>
      <c r="C48" s="127">
        <v>0.70199999999999996</v>
      </c>
      <c r="D48" s="127">
        <v>0.46800000000000003</v>
      </c>
      <c r="E48" s="127">
        <v>0.70199999999999996</v>
      </c>
      <c r="F48" s="127">
        <v>0.43</v>
      </c>
      <c r="G48" s="127">
        <v>0.70199999999999996</v>
      </c>
      <c r="H48" s="127">
        <v>0.43</v>
      </c>
      <c r="I48" s="127">
        <v>0.70199999999999996</v>
      </c>
    </row>
    <row r="49" spans="1:9" x14ac:dyDescent="0.25">
      <c r="A49" s="126">
        <v>22</v>
      </c>
      <c r="B49" s="127">
        <v>0.45500000000000002</v>
      </c>
      <c r="C49" s="127">
        <v>0.69</v>
      </c>
      <c r="D49" s="127">
        <v>0.45500000000000002</v>
      </c>
      <c r="E49" s="127">
        <v>0.69</v>
      </c>
      <c r="F49" s="127">
        <v>0.41699999999999998</v>
      </c>
      <c r="G49" s="127">
        <v>0.69</v>
      </c>
      <c r="H49" s="127">
        <v>0.41699999999999998</v>
      </c>
      <c r="I49" s="127">
        <v>0.69</v>
      </c>
    </row>
    <row r="50" spans="1:9" x14ac:dyDescent="0.25">
      <c r="A50" s="126">
        <v>23</v>
      </c>
      <c r="B50" s="127">
        <v>0.442</v>
      </c>
      <c r="C50" s="127">
        <v>0.67900000000000005</v>
      </c>
      <c r="D50" s="127">
        <v>0.442</v>
      </c>
      <c r="E50" s="127">
        <v>0.67900000000000005</v>
      </c>
      <c r="F50" s="127">
        <v>0.40500000000000003</v>
      </c>
      <c r="G50" s="127">
        <v>0.67900000000000005</v>
      </c>
      <c r="H50" s="127">
        <v>0.40500000000000003</v>
      </c>
      <c r="I50" s="127">
        <v>0.67900000000000005</v>
      </c>
    </row>
    <row r="51" spans="1:9" x14ac:dyDescent="0.25">
      <c r="A51" s="126">
        <v>24</v>
      </c>
      <c r="B51" s="127">
        <v>0.43</v>
      </c>
      <c r="C51" s="127">
        <v>0.66700000000000004</v>
      </c>
      <c r="D51" s="127">
        <v>0.43</v>
      </c>
      <c r="E51" s="127">
        <v>0.66700000000000004</v>
      </c>
      <c r="F51" s="127">
        <v>0.39300000000000002</v>
      </c>
      <c r="G51" s="127">
        <v>0.66700000000000004</v>
      </c>
      <c r="H51" s="127">
        <v>0.39300000000000002</v>
      </c>
      <c r="I51" s="127">
        <v>0.66700000000000004</v>
      </c>
    </row>
    <row r="52" spans="1:9" x14ac:dyDescent="0.25">
      <c r="A52" s="126">
        <v>25</v>
      </c>
      <c r="B52" s="127">
        <v>0.41799999999999998</v>
      </c>
      <c r="C52" s="127">
        <v>0.65600000000000003</v>
      </c>
      <c r="D52" s="127">
        <v>0.41799999999999998</v>
      </c>
      <c r="E52" s="127">
        <v>0.65600000000000003</v>
      </c>
      <c r="F52" s="127">
        <v>0.38200000000000001</v>
      </c>
      <c r="G52" s="127">
        <v>0.65600000000000003</v>
      </c>
      <c r="H52" s="127">
        <v>0.38200000000000001</v>
      </c>
      <c r="I52" s="127">
        <v>0.65600000000000003</v>
      </c>
    </row>
    <row r="53" spans="1:9" x14ac:dyDescent="0.25">
      <c r="A53" s="126">
        <v>26</v>
      </c>
      <c r="B53" s="127">
        <v>0.40699999999999997</v>
      </c>
      <c r="C53" s="127">
        <v>0.64500000000000002</v>
      </c>
      <c r="D53" s="127">
        <v>0.40699999999999997</v>
      </c>
      <c r="E53" s="127">
        <v>0.64500000000000002</v>
      </c>
      <c r="F53" s="127">
        <v>0.371</v>
      </c>
      <c r="G53" s="127">
        <v>0.64500000000000002</v>
      </c>
      <c r="H53" s="127">
        <v>0.371</v>
      </c>
      <c r="I53" s="127">
        <v>0.64500000000000002</v>
      </c>
    </row>
    <row r="54" spans="1:9" x14ac:dyDescent="0.25">
      <c r="A54" s="126">
        <v>27</v>
      </c>
      <c r="B54" s="127">
        <v>0.39600000000000002</v>
      </c>
      <c r="C54" s="127">
        <v>0.63400000000000001</v>
      </c>
      <c r="D54" s="127">
        <v>0.39600000000000002</v>
      </c>
      <c r="E54" s="127">
        <v>0.63400000000000001</v>
      </c>
      <c r="F54" s="127">
        <v>0.36</v>
      </c>
      <c r="G54" s="127">
        <v>0.63400000000000001</v>
      </c>
      <c r="H54" s="127">
        <v>0.36</v>
      </c>
      <c r="I54" s="127">
        <v>0.63400000000000001</v>
      </c>
    </row>
    <row r="55" spans="1:9" x14ac:dyDescent="0.25">
      <c r="A55" s="126">
        <v>28</v>
      </c>
      <c r="B55" s="127">
        <v>0.38600000000000001</v>
      </c>
      <c r="C55" s="127">
        <v>0.624</v>
      </c>
      <c r="D55" s="127">
        <v>0.38600000000000001</v>
      </c>
      <c r="E55" s="127">
        <v>0.624</v>
      </c>
      <c r="F55" s="127">
        <v>0.35099999999999998</v>
      </c>
      <c r="G55" s="127">
        <v>0.624</v>
      </c>
      <c r="H55" s="127">
        <v>0.35099999999999998</v>
      </c>
      <c r="I55" s="127">
        <v>0.624</v>
      </c>
    </row>
    <row r="56" spans="1:9" x14ac:dyDescent="0.25">
      <c r="A56" s="126">
        <v>29</v>
      </c>
      <c r="B56" s="127">
        <v>0.376</v>
      </c>
      <c r="C56" s="127">
        <v>0.61299999999999999</v>
      </c>
      <c r="D56" s="127">
        <v>0.376</v>
      </c>
      <c r="E56" s="127">
        <v>0.61299999999999999</v>
      </c>
      <c r="F56" s="127">
        <v>0.34100000000000003</v>
      </c>
      <c r="G56" s="127">
        <v>0.61299999999999999</v>
      </c>
      <c r="H56" s="127">
        <v>0.34100000000000003</v>
      </c>
      <c r="I56" s="127">
        <v>0.61299999999999999</v>
      </c>
    </row>
    <row r="57" spans="1:9" x14ac:dyDescent="0.25">
      <c r="A57" s="126">
        <v>30</v>
      </c>
      <c r="B57" s="127">
        <v>0.36599999999999999</v>
      </c>
      <c r="C57" s="127">
        <v>0.60299999999999998</v>
      </c>
      <c r="D57" s="127">
        <v>0.36599999999999999</v>
      </c>
      <c r="E57" s="127">
        <v>0.60299999999999998</v>
      </c>
      <c r="F57" s="127">
        <v>0.33200000000000002</v>
      </c>
      <c r="G57" s="127">
        <v>0.60299999999999998</v>
      </c>
      <c r="H57" s="127">
        <v>0.33200000000000002</v>
      </c>
      <c r="I57" s="127">
        <v>0.60299999999999998</v>
      </c>
    </row>
    <row r="58" spans="1:9" x14ac:dyDescent="0.25">
      <c r="A58" s="126">
        <v>31</v>
      </c>
      <c r="B58" s="127">
        <v>0.35699999999999998</v>
      </c>
      <c r="C58" s="127">
        <v>0.59299999999999997</v>
      </c>
      <c r="D58" s="127">
        <v>0.35699999999999998</v>
      </c>
      <c r="E58" s="127">
        <v>0.59299999999999997</v>
      </c>
      <c r="F58" s="127">
        <v>0.32300000000000001</v>
      </c>
      <c r="G58" s="127">
        <v>0.59299999999999997</v>
      </c>
      <c r="H58" s="127">
        <v>0.32300000000000001</v>
      </c>
      <c r="I58" s="127">
        <v>0.59299999999999997</v>
      </c>
    </row>
    <row r="59" spans="1:9" x14ac:dyDescent="0.25">
      <c r="A59" s="126">
        <v>32</v>
      </c>
      <c r="B59" s="127">
        <v>0.34799999999999998</v>
      </c>
      <c r="C59" s="127">
        <v>0.58299999999999996</v>
      </c>
      <c r="D59" s="127">
        <v>0.34799999999999998</v>
      </c>
      <c r="E59" s="127">
        <v>0.58299999999999996</v>
      </c>
      <c r="F59" s="127">
        <v>0.315</v>
      </c>
      <c r="G59" s="127">
        <v>0.58299999999999996</v>
      </c>
      <c r="H59" s="127">
        <v>0.315</v>
      </c>
      <c r="I59" s="127">
        <v>0.58299999999999996</v>
      </c>
    </row>
    <row r="60" spans="1:9" x14ac:dyDescent="0.25">
      <c r="A60" s="126">
        <v>33</v>
      </c>
      <c r="B60" s="127">
        <v>0.34</v>
      </c>
      <c r="C60" s="127">
        <v>0.57299999999999995</v>
      </c>
      <c r="D60" s="127">
        <v>0.34</v>
      </c>
      <c r="E60" s="127">
        <v>0.57299999999999995</v>
      </c>
      <c r="F60" s="127">
        <v>0.307</v>
      </c>
      <c r="G60" s="127">
        <v>0.57299999999999995</v>
      </c>
      <c r="H60" s="127">
        <v>0.307</v>
      </c>
      <c r="I60" s="127">
        <v>0.57299999999999995</v>
      </c>
    </row>
    <row r="61" spans="1:9" x14ac:dyDescent="0.25">
      <c r="A61" s="126">
        <v>34</v>
      </c>
      <c r="B61" s="127">
        <v>0.33200000000000002</v>
      </c>
      <c r="C61" s="127">
        <v>0.56399999999999995</v>
      </c>
      <c r="D61" s="127">
        <v>0.33200000000000002</v>
      </c>
      <c r="E61" s="127">
        <v>0.56399999999999995</v>
      </c>
      <c r="F61" s="127">
        <v>0.29899999999999999</v>
      </c>
      <c r="G61" s="127">
        <v>0.56399999999999995</v>
      </c>
      <c r="H61" s="127">
        <v>0.29899999999999999</v>
      </c>
      <c r="I61" s="127">
        <v>0.56399999999999995</v>
      </c>
    </row>
    <row r="62" spans="1:9" x14ac:dyDescent="0.25">
      <c r="A62" s="126">
        <v>35</v>
      </c>
      <c r="B62" s="127">
        <v>0.32400000000000001</v>
      </c>
      <c r="C62" s="127">
        <v>0.55400000000000005</v>
      </c>
      <c r="D62" s="127">
        <v>0.32400000000000001</v>
      </c>
      <c r="E62" s="127">
        <v>0.55400000000000005</v>
      </c>
      <c r="F62" s="127">
        <v>0.29199999999999998</v>
      </c>
      <c r="G62" s="127">
        <v>0.55400000000000005</v>
      </c>
      <c r="H62" s="127">
        <v>0.29199999999999998</v>
      </c>
      <c r="I62" s="127">
        <v>0.55400000000000005</v>
      </c>
    </row>
    <row r="63" spans="1:9" x14ac:dyDescent="0.25">
      <c r="A63" s="126">
        <v>36</v>
      </c>
      <c r="B63" s="127">
        <v>0.316</v>
      </c>
      <c r="C63" s="127">
        <v>0.54500000000000004</v>
      </c>
      <c r="D63" s="127">
        <v>0.316</v>
      </c>
      <c r="E63" s="127">
        <v>0.54500000000000004</v>
      </c>
      <c r="F63" s="127">
        <v>0.28499999999999998</v>
      </c>
      <c r="G63" s="127">
        <v>0.54500000000000004</v>
      </c>
      <c r="H63" s="127">
        <v>0.28499999999999998</v>
      </c>
      <c r="I63" s="127">
        <v>0.54500000000000004</v>
      </c>
    </row>
    <row r="64" spans="1:9" x14ac:dyDescent="0.25">
      <c r="A64" s="126">
        <v>37</v>
      </c>
      <c r="B64" s="127">
        <v>0.309</v>
      </c>
      <c r="C64" s="127">
        <v>0.53600000000000003</v>
      </c>
      <c r="D64" s="127">
        <v>0.309</v>
      </c>
      <c r="E64" s="127">
        <v>0.53600000000000003</v>
      </c>
      <c r="F64" s="127">
        <v>0.27800000000000002</v>
      </c>
      <c r="G64" s="127">
        <v>0.53600000000000003</v>
      </c>
      <c r="H64" s="127">
        <v>0.27800000000000002</v>
      </c>
      <c r="I64" s="127">
        <v>0.53600000000000003</v>
      </c>
    </row>
    <row r="65" spans="1:9" x14ac:dyDescent="0.25">
      <c r="A65" s="126">
        <v>38</v>
      </c>
      <c r="B65" s="127">
        <v>0.30099999999999999</v>
      </c>
      <c r="C65" s="127">
        <v>0.52700000000000002</v>
      </c>
      <c r="D65" s="127">
        <v>0.30099999999999999</v>
      </c>
      <c r="E65" s="127">
        <v>0.52700000000000002</v>
      </c>
      <c r="F65" s="127">
        <v>0.27100000000000002</v>
      </c>
      <c r="G65" s="127">
        <v>0.52700000000000002</v>
      </c>
      <c r="H65" s="127">
        <v>0.27100000000000002</v>
      </c>
      <c r="I65" s="127">
        <v>0.52700000000000002</v>
      </c>
    </row>
    <row r="66" spans="1:9" x14ac:dyDescent="0.25">
      <c r="A66" s="126">
        <v>39</v>
      </c>
      <c r="B66" s="127">
        <v>0.29399999999999998</v>
      </c>
      <c r="C66" s="127">
        <v>0.51800000000000002</v>
      </c>
      <c r="D66" s="127">
        <v>0.29399999999999998</v>
      </c>
      <c r="E66" s="127">
        <v>0.51800000000000002</v>
      </c>
      <c r="F66" s="127">
        <v>0.26400000000000001</v>
      </c>
      <c r="G66" s="127">
        <v>0.51800000000000002</v>
      </c>
      <c r="H66" s="127">
        <v>0.26400000000000001</v>
      </c>
      <c r="I66" s="127">
        <v>0.51800000000000002</v>
      </c>
    </row>
    <row r="67" spans="1:9" x14ac:dyDescent="0.25">
      <c r="A67" s="126">
        <v>40</v>
      </c>
      <c r="B67" s="127">
        <v>0.28799999999999998</v>
      </c>
      <c r="C67" s="127">
        <v>0.51</v>
      </c>
      <c r="D67" s="127">
        <v>0.28799999999999998</v>
      </c>
      <c r="E67" s="127">
        <v>0.51</v>
      </c>
      <c r="F67" s="127">
        <v>0.25800000000000001</v>
      </c>
      <c r="G67" s="127">
        <v>0.51</v>
      </c>
      <c r="H67" s="127">
        <v>0.25800000000000001</v>
      </c>
      <c r="I67" s="127">
        <v>0.51</v>
      </c>
    </row>
    <row r="68" spans="1:9" x14ac:dyDescent="0.25">
      <c r="A68" s="126">
        <v>41</v>
      </c>
      <c r="B68" s="127">
        <v>0.28100000000000003</v>
      </c>
      <c r="C68" s="127">
        <v>0.501</v>
      </c>
      <c r="D68" s="127">
        <v>0.28100000000000003</v>
      </c>
      <c r="E68" s="127">
        <v>0.501</v>
      </c>
      <c r="F68" s="127">
        <v>0.252</v>
      </c>
      <c r="G68" s="127">
        <v>0.501</v>
      </c>
      <c r="H68" s="127">
        <v>0.252</v>
      </c>
      <c r="I68" s="127">
        <v>0.501</v>
      </c>
    </row>
    <row r="69" spans="1:9" x14ac:dyDescent="0.25">
      <c r="A69" s="126">
        <v>42</v>
      </c>
      <c r="B69" s="127">
        <v>0.27500000000000002</v>
      </c>
      <c r="C69" s="127">
        <v>0.49299999999999999</v>
      </c>
      <c r="D69" s="127">
        <v>0.27500000000000002</v>
      </c>
      <c r="E69" s="127">
        <v>0.49299999999999999</v>
      </c>
      <c r="F69" s="127">
        <v>0.246</v>
      </c>
      <c r="G69" s="127">
        <v>0.49299999999999999</v>
      </c>
      <c r="H69" s="127">
        <v>0.246</v>
      </c>
      <c r="I69" s="127">
        <v>0.49299999999999999</v>
      </c>
    </row>
    <row r="70" spans="1:9" x14ac:dyDescent="0.25">
      <c r="A70" s="126">
        <v>43</v>
      </c>
      <c r="B70" s="127">
        <v>0.26900000000000002</v>
      </c>
      <c r="C70" s="127">
        <v>0.48399999999999999</v>
      </c>
      <c r="D70" s="127">
        <v>0.26900000000000002</v>
      </c>
      <c r="E70" s="127">
        <v>0.48399999999999999</v>
      </c>
      <c r="F70" s="127">
        <v>0.24099999999999999</v>
      </c>
      <c r="G70" s="127">
        <v>0.48399999999999999</v>
      </c>
      <c r="H70" s="127">
        <v>0.24099999999999999</v>
      </c>
      <c r="I70" s="127">
        <v>0.48399999999999999</v>
      </c>
    </row>
    <row r="71" spans="1:9" x14ac:dyDescent="0.25">
      <c r="A71" s="126">
        <v>44</v>
      </c>
      <c r="B71" s="127">
        <v>0.26300000000000001</v>
      </c>
      <c r="C71" s="127">
        <v>0.47599999999999998</v>
      </c>
      <c r="D71" s="127">
        <v>0.26300000000000001</v>
      </c>
      <c r="E71" s="127">
        <v>0.47599999999999998</v>
      </c>
      <c r="F71" s="127">
        <v>0.23499999999999999</v>
      </c>
      <c r="G71" s="127">
        <v>0.47599999999999998</v>
      </c>
      <c r="H71" s="127">
        <v>0.23499999999999999</v>
      </c>
      <c r="I71" s="127">
        <v>0.47599999999999998</v>
      </c>
    </row>
    <row r="72" spans="1:9" x14ac:dyDescent="0.25">
      <c r="A72" s="126">
        <v>45</v>
      </c>
      <c r="B72" s="127">
        <v>0.25713382899628251</v>
      </c>
      <c r="C72" s="127">
        <v>0.46813223140495863</v>
      </c>
      <c r="D72" s="127">
        <v>0.25713382899628251</v>
      </c>
      <c r="E72" s="127">
        <v>0.46813223140495863</v>
      </c>
      <c r="F72" s="127">
        <v>0.23</v>
      </c>
      <c r="G72" s="127">
        <v>0.46800000000000003</v>
      </c>
      <c r="H72" s="127">
        <v>0.23</v>
      </c>
      <c r="I72" s="127">
        <v>0.46800000000000003</v>
      </c>
    </row>
  </sheetData>
  <sheetProtection algorithmName="SHA-512" hashValue="5f3rSY9fW1CPJolkHt3beXwbIS96SeJe1IBDh0c+xV6SmpHfZe8rc3yeN/3Q2CpuSzUSrY57Ew5+xnaVpmK2+A==" saltValue="KnBI5p+EgrELiWXzPjl7rA==" spinCount="100000" sheet="1" objects="1" scenarios="1"/>
  <conditionalFormatting sqref="A6:A21">
    <cfRule type="expression" dxfId="763" priority="1" stopIfTrue="1">
      <formula>MOD(ROW(),2)=0</formula>
    </cfRule>
    <cfRule type="expression" dxfId="762" priority="2" stopIfTrue="1">
      <formula>MOD(ROW(),2)&lt;&gt;0</formula>
    </cfRule>
  </conditionalFormatting>
  <conditionalFormatting sqref="A26:A72">
    <cfRule type="expression" dxfId="761" priority="7" stopIfTrue="1">
      <formula>MOD(ROW(),2)=0</formula>
    </cfRule>
    <cfRule type="expression" dxfId="760" priority="8" stopIfTrue="1">
      <formula>MOD(ROW(),2)&lt;&gt;0</formula>
    </cfRule>
  </conditionalFormatting>
  <conditionalFormatting sqref="B17:B21">
    <cfRule type="expression" dxfId="759" priority="17" stopIfTrue="1">
      <formula>MOD(ROW(),2)=0</formula>
    </cfRule>
    <cfRule type="expression" dxfId="758" priority="18" stopIfTrue="1">
      <formula>MOD(ROW(),2)&lt;&gt;0</formula>
    </cfRule>
  </conditionalFormatting>
  <conditionalFormatting sqref="B6:I21">
    <cfRule type="expression" dxfId="757" priority="33" stopIfTrue="1">
      <formula>MOD(ROW(),2)=0</formula>
    </cfRule>
    <cfRule type="expression" dxfId="756" priority="34" stopIfTrue="1">
      <formula>MOD(ROW(),2)&lt;&gt;0</formula>
    </cfRule>
  </conditionalFormatting>
  <conditionalFormatting sqref="B26:I72">
    <cfRule type="expression" dxfId="755" priority="5" stopIfTrue="1">
      <formula>MOD(ROW(),2)=0</formula>
    </cfRule>
    <cfRule type="expression" dxfId="754" priority="6" stopIfTrue="1">
      <formula>MOD(ROW(),2)&lt;&gt;0</formula>
    </cfRule>
  </conditionalFormatting>
  <hyperlinks>
    <hyperlink ref="B24" location="Sheet1!A1" display="Assumptions" xr:uid="{AE5FB8F8-368E-4A31-BF14-3FDC33C6335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1"/>
  <dimension ref="A1:I46"/>
  <sheetViews>
    <sheetView showGridLines="0" zoomScale="85" zoomScaleNormal="85" workbookViewId="0">
      <selection activeCell="G17" sqref="G17"/>
    </sheetView>
  </sheetViews>
  <sheetFormatPr defaultColWidth="10" defaultRowHeight="13.2" x14ac:dyDescent="0.25"/>
  <cols>
    <col min="1" max="1" width="31.5546875" style="27" customWidth="1"/>
    <col min="2" max="3" width="22.5546875" style="27" customWidth="1"/>
    <col min="4" max="4" width="10" style="27" customWidth="1"/>
    <col min="5" max="5" width="10" style="27"/>
    <col min="6" max="6" width="31.5546875" style="27" customWidth="1"/>
    <col min="7" max="8" width="22.5546875" style="27" customWidth="1"/>
    <col min="9"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Scheme pays AA LRF - x-607</v>
      </c>
      <c r="B3" s="42"/>
      <c r="C3" s="42"/>
      <c r="D3" s="42"/>
      <c r="E3" s="42"/>
      <c r="F3" s="42"/>
      <c r="G3" s="42"/>
      <c r="H3" s="42"/>
      <c r="I3" s="42"/>
    </row>
    <row r="4" spans="1:9" x14ac:dyDescent="0.25">
      <c r="A4" s="44"/>
    </row>
    <row r="6" spans="1:9" x14ac:dyDescent="0.25">
      <c r="A6" s="87" t="s">
        <v>290</v>
      </c>
      <c r="B6" s="185" t="s">
        <v>291</v>
      </c>
      <c r="C6" s="185"/>
      <c r="F6" s="87" t="s">
        <v>290</v>
      </c>
      <c r="G6" s="185" t="s">
        <v>291</v>
      </c>
      <c r="H6" s="185"/>
    </row>
    <row r="7" spans="1:9" x14ac:dyDescent="0.25">
      <c r="A7" s="81" t="s">
        <v>804</v>
      </c>
      <c r="B7" s="185" t="s">
        <v>345</v>
      </c>
      <c r="C7" s="185"/>
      <c r="F7" s="81" t="s">
        <v>804</v>
      </c>
      <c r="G7" s="185" t="s">
        <v>345</v>
      </c>
      <c r="H7" s="185"/>
    </row>
    <row r="8" spans="1:9" x14ac:dyDescent="0.25">
      <c r="A8" s="81" t="s">
        <v>805</v>
      </c>
      <c r="B8" s="185" t="s">
        <v>396</v>
      </c>
      <c r="C8" s="185"/>
      <c r="F8" s="81" t="s">
        <v>805</v>
      </c>
      <c r="G8" s="185" t="s">
        <v>396</v>
      </c>
      <c r="H8" s="185"/>
    </row>
    <row r="9" spans="1:9" x14ac:dyDescent="0.25">
      <c r="A9" s="81" t="s">
        <v>296</v>
      </c>
      <c r="B9" s="185" t="s">
        <v>534</v>
      </c>
      <c r="C9" s="185"/>
      <c r="F9" s="81" t="s">
        <v>296</v>
      </c>
      <c r="G9" s="185" t="s">
        <v>534</v>
      </c>
      <c r="H9" s="185"/>
    </row>
    <row r="10" spans="1:9" x14ac:dyDescent="0.25">
      <c r="A10" s="81" t="s">
        <v>6</v>
      </c>
      <c r="B10" s="185" t="s">
        <v>535</v>
      </c>
      <c r="C10" s="185"/>
      <c r="F10" s="81" t="s">
        <v>6</v>
      </c>
      <c r="G10" s="185" t="s">
        <v>539</v>
      </c>
      <c r="H10" s="185"/>
    </row>
    <row r="11" spans="1:9" x14ac:dyDescent="0.25">
      <c r="A11" s="81" t="s">
        <v>299</v>
      </c>
      <c r="B11" s="185" t="s">
        <v>364</v>
      </c>
      <c r="C11" s="185"/>
      <c r="F11" s="81" t="s">
        <v>299</v>
      </c>
      <c r="G11" s="185" t="s">
        <v>364</v>
      </c>
      <c r="H11" s="185"/>
    </row>
    <row r="12" spans="1:9" x14ac:dyDescent="0.25">
      <c r="A12" s="81" t="s">
        <v>301</v>
      </c>
      <c r="B12" s="185" t="s">
        <v>536</v>
      </c>
      <c r="C12" s="185"/>
      <c r="F12" s="81" t="s">
        <v>301</v>
      </c>
      <c r="G12" s="185" t="s">
        <v>536</v>
      </c>
      <c r="H12" s="185"/>
    </row>
    <row r="13" spans="1:9" x14ac:dyDescent="0.25">
      <c r="A13" s="81" t="s">
        <v>806</v>
      </c>
      <c r="B13" s="185">
        <v>1</v>
      </c>
      <c r="C13" s="185"/>
      <c r="F13" s="81" t="s">
        <v>806</v>
      </c>
      <c r="G13" s="185">
        <v>1</v>
      </c>
      <c r="H13" s="185"/>
    </row>
    <row r="14" spans="1:9" x14ac:dyDescent="0.25">
      <c r="A14" s="81" t="s">
        <v>305</v>
      </c>
      <c r="B14" s="185">
        <v>607</v>
      </c>
      <c r="C14" s="185"/>
      <c r="F14" s="81" t="s">
        <v>305</v>
      </c>
      <c r="G14" s="185">
        <v>607</v>
      </c>
      <c r="H14" s="185"/>
    </row>
    <row r="15" spans="1:9" x14ac:dyDescent="0.25">
      <c r="A15" s="81" t="s">
        <v>307</v>
      </c>
      <c r="B15" s="185" t="s">
        <v>537</v>
      </c>
      <c r="C15" s="185"/>
      <c r="F15" s="81" t="s">
        <v>307</v>
      </c>
      <c r="G15" s="185" t="s">
        <v>540</v>
      </c>
      <c r="H15" s="185"/>
    </row>
    <row r="16" spans="1:9" x14ac:dyDescent="0.25">
      <c r="A16" s="81" t="s">
        <v>825</v>
      </c>
      <c r="B16" s="185" t="s">
        <v>538</v>
      </c>
      <c r="C16" s="185"/>
      <c r="F16" s="81" t="s">
        <v>825</v>
      </c>
      <c r="G16" s="185" t="s">
        <v>538</v>
      </c>
      <c r="H16" s="185"/>
    </row>
    <row r="17" spans="1:8" x14ac:dyDescent="0.25">
      <c r="A17" s="81" t="s">
        <v>803</v>
      </c>
      <c r="B17" s="185"/>
      <c r="C17" s="185"/>
      <c r="F17" s="81" t="s">
        <v>803</v>
      </c>
      <c r="G17" s="185"/>
      <c r="H17" s="185"/>
    </row>
    <row r="18" spans="1:8" x14ac:dyDescent="0.25">
      <c r="A18" s="81" t="s">
        <v>313</v>
      </c>
      <c r="B18" s="188">
        <v>45071</v>
      </c>
      <c r="C18" s="185"/>
      <c r="D18" s="137"/>
      <c r="E18" s="137"/>
      <c r="F18" s="81" t="s">
        <v>313</v>
      </c>
      <c r="G18" s="188">
        <v>45071</v>
      </c>
      <c r="H18" s="185"/>
    </row>
    <row r="19" spans="1:8" x14ac:dyDescent="0.25">
      <c r="A19" s="81" t="s">
        <v>315</v>
      </c>
      <c r="B19" s="188"/>
      <c r="C19" s="185"/>
      <c r="F19" s="81" t="s">
        <v>315</v>
      </c>
      <c r="G19" s="188"/>
      <c r="H19" s="185"/>
    </row>
    <row r="20" spans="1:8" x14ac:dyDescent="0.25">
      <c r="A20" s="81" t="s">
        <v>317</v>
      </c>
      <c r="B20" s="185" t="s">
        <v>331</v>
      </c>
      <c r="C20" s="185"/>
      <c r="F20" s="81" t="s">
        <v>317</v>
      </c>
      <c r="G20" s="185" t="s">
        <v>331</v>
      </c>
      <c r="H20" s="185"/>
    </row>
    <row r="21" spans="1:8" x14ac:dyDescent="0.25">
      <c r="A21" s="77" t="s">
        <v>323</v>
      </c>
      <c r="B21" s="185" t="s">
        <v>332</v>
      </c>
      <c r="C21" s="185"/>
      <c r="F21" s="81" t="s">
        <v>323</v>
      </c>
      <c r="G21" s="185" t="s">
        <v>332</v>
      </c>
      <c r="H21" s="185"/>
    </row>
    <row r="23" spans="1:8" x14ac:dyDescent="0.25">
      <c r="B23" s="102" t="str">
        <f>HYPERLINK("#'Factor List'!A1","Back to Factor List")</f>
        <v>Back to Factor List</v>
      </c>
    </row>
    <row r="24" spans="1:8" x14ac:dyDescent="0.25">
      <c r="B24" s="102" t="s">
        <v>13</v>
      </c>
    </row>
    <row r="25" spans="1:8" x14ac:dyDescent="0.25">
      <c r="B25" s="102"/>
    </row>
    <row r="26" spans="1:8" ht="26.4" x14ac:dyDescent="0.25">
      <c r="A26" s="103" t="s">
        <v>949</v>
      </c>
      <c r="B26" s="103" t="s">
        <v>950</v>
      </c>
      <c r="C26" s="103" t="s">
        <v>951</v>
      </c>
      <c r="F26" s="103" t="s">
        <v>949</v>
      </c>
      <c r="G26" s="103" t="s">
        <v>952</v>
      </c>
      <c r="H26" s="103" t="s">
        <v>953</v>
      </c>
    </row>
    <row r="27" spans="1:8" x14ac:dyDescent="0.25">
      <c r="A27" s="104">
        <v>0</v>
      </c>
      <c r="B27" s="128">
        <v>1</v>
      </c>
      <c r="C27" s="128">
        <v>1</v>
      </c>
      <c r="F27" s="104">
        <v>0</v>
      </c>
      <c r="G27" s="128">
        <v>1</v>
      </c>
      <c r="H27" s="128">
        <v>1</v>
      </c>
    </row>
    <row r="28" spans="1:8" x14ac:dyDescent="0.25">
      <c r="A28" s="104">
        <v>1</v>
      </c>
      <c r="B28" s="128">
        <v>1.048</v>
      </c>
      <c r="C28" s="128">
        <v>1.0169999999999999</v>
      </c>
      <c r="F28" s="104">
        <v>1</v>
      </c>
      <c r="G28" s="128">
        <v>1.0549999999999999</v>
      </c>
      <c r="H28" s="128">
        <v>1.0169999999999999</v>
      </c>
    </row>
    <row r="29" spans="1:8" x14ac:dyDescent="0.25">
      <c r="A29" s="104">
        <v>2</v>
      </c>
      <c r="B29" s="128">
        <v>1.1000000000000001</v>
      </c>
      <c r="C29" s="128">
        <v>1.034</v>
      </c>
      <c r="F29" s="104">
        <v>2</v>
      </c>
      <c r="G29" s="128">
        <v>1.115</v>
      </c>
      <c r="H29" s="128">
        <v>1.034</v>
      </c>
    </row>
    <row r="30" spans="1:8" x14ac:dyDescent="0.25">
      <c r="A30" s="104">
        <v>3</v>
      </c>
      <c r="B30" s="128">
        <v>1.1559999999999999</v>
      </c>
      <c r="C30" s="128">
        <v>1.052</v>
      </c>
      <c r="F30" s="104">
        <v>3</v>
      </c>
      <c r="G30" s="128">
        <v>1.18</v>
      </c>
      <c r="H30" s="128">
        <v>1.052</v>
      </c>
    </row>
    <row r="31" spans="1:8" x14ac:dyDescent="0.25">
      <c r="A31" s="104">
        <v>4</v>
      </c>
      <c r="B31" s="128">
        <v>1.2170000000000001</v>
      </c>
      <c r="C31" s="128">
        <v>1.07</v>
      </c>
      <c r="F31" s="104">
        <v>4</v>
      </c>
      <c r="G31" s="128">
        <v>1.252</v>
      </c>
      <c r="H31" s="128">
        <v>1.07</v>
      </c>
    </row>
    <row r="32" spans="1:8" x14ac:dyDescent="0.25">
      <c r="A32" s="104">
        <v>5</v>
      </c>
      <c r="B32" s="128">
        <v>1.2829999999999999</v>
      </c>
      <c r="C32" s="128">
        <v>1.0880000000000001</v>
      </c>
      <c r="F32" s="104">
        <v>5</v>
      </c>
      <c r="G32" s="128">
        <v>1.3320000000000001</v>
      </c>
      <c r="H32" s="128">
        <v>1.0880000000000001</v>
      </c>
    </row>
    <row r="33" spans="1:8" x14ac:dyDescent="0.25">
      <c r="A33" s="104">
        <v>6</v>
      </c>
      <c r="B33" s="128">
        <v>1.355</v>
      </c>
      <c r="C33" s="128">
        <v>1.1060000000000001</v>
      </c>
      <c r="F33" s="104">
        <v>6</v>
      </c>
      <c r="G33" s="128">
        <v>1.419</v>
      </c>
      <c r="H33" s="128">
        <v>1.1060000000000001</v>
      </c>
    </row>
    <row r="34" spans="1:8" x14ac:dyDescent="0.25">
      <c r="A34" s="104">
        <v>7</v>
      </c>
      <c r="B34" s="128">
        <v>1.4339999999999999</v>
      </c>
      <c r="C34" s="128">
        <v>1.125</v>
      </c>
      <c r="F34" s="104">
        <v>7</v>
      </c>
      <c r="G34" s="128">
        <v>1.516</v>
      </c>
      <c r="H34" s="128">
        <v>1.125</v>
      </c>
    </row>
    <row r="35" spans="1:8" x14ac:dyDescent="0.25">
      <c r="A35" s="104">
        <v>8</v>
      </c>
      <c r="B35" s="128">
        <v>1.5189999999999999</v>
      </c>
      <c r="C35" s="128">
        <v>1.1439999999999999</v>
      </c>
      <c r="F35" s="104">
        <v>8</v>
      </c>
      <c r="G35" s="128">
        <v>1.6220000000000001</v>
      </c>
      <c r="H35" s="128">
        <v>1.1439999999999999</v>
      </c>
    </row>
    <row r="36" spans="1:8" x14ac:dyDescent="0.25">
      <c r="A36" s="104">
        <v>9</v>
      </c>
      <c r="B36" s="128">
        <v>1.613</v>
      </c>
      <c r="C36" s="128">
        <v>1.1639999999999999</v>
      </c>
      <c r="F36" s="104">
        <v>9</v>
      </c>
      <c r="G36" s="128">
        <v>1.738</v>
      </c>
      <c r="H36" s="128">
        <v>1.1639999999999999</v>
      </c>
    </row>
    <row r="37" spans="1:8" x14ac:dyDescent="0.25">
      <c r="A37" s="104">
        <v>10</v>
      </c>
      <c r="B37" s="128">
        <v>1.716</v>
      </c>
      <c r="C37" s="128">
        <v>1.1839999999999999</v>
      </c>
      <c r="F37" s="104">
        <v>10</v>
      </c>
      <c r="G37" s="128">
        <v>1.867</v>
      </c>
      <c r="H37" s="128">
        <v>1.1839999999999999</v>
      </c>
    </row>
    <row r="38" spans="1:8" x14ac:dyDescent="0.25">
      <c r="A38" s="104">
        <v>11</v>
      </c>
      <c r="B38" s="128">
        <v>1.829</v>
      </c>
      <c r="C38" s="128">
        <v>1.204</v>
      </c>
      <c r="F38" s="104">
        <v>11</v>
      </c>
      <c r="G38" s="128">
        <v>2.0089999999999999</v>
      </c>
      <c r="H38" s="128">
        <v>1.204</v>
      </c>
    </row>
    <row r="39" spans="1:8" x14ac:dyDescent="0.25">
      <c r="A39" s="104">
        <v>12</v>
      </c>
      <c r="B39" s="128">
        <v>1.954</v>
      </c>
      <c r="C39" s="128">
        <v>1.224</v>
      </c>
      <c r="F39" s="104">
        <v>12</v>
      </c>
      <c r="G39" s="128">
        <v>2.1659999999999999</v>
      </c>
      <c r="H39" s="128">
        <v>1.224</v>
      </c>
    </row>
    <row r="40" spans="1:8" x14ac:dyDescent="0.25">
      <c r="A40" s="104">
        <v>13</v>
      </c>
      <c r="B40" s="128">
        <v>2.0920000000000001</v>
      </c>
      <c r="C40" s="128">
        <v>1.2450000000000001</v>
      </c>
      <c r="F40" s="104">
        <v>13</v>
      </c>
      <c r="G40" s="128">
        <v>2.3380000000000001</v>
      </c>
      <c r="H40" s="128">
        <v>1.2450000000000001</v>
      </c>
    </row>
    <row r="41" spans="1:8" x14ac:dyDescent="0.25">
      <c r="A41" s="104">
        <v>14</v>
      </c>
      <c r="B41" s="128">
        <v>2.2450000000000001</v>
      </c>
      <c r="C41" s="128">
        <v>1.266</v>
      </c>
      <c r="F41" s="104">
        <v>14</v>
      </c>
      <c r="G41" s="128">
        <v>2.5289999999999999</v>
      </c>
      <c r="H41" s="128">
        <v>1.266</v>
      </c>
    </row>
    <row r="42" spans="1:8" x14ac:dyDescent="0.25">
      <c r="A42" s="104">
        <v>15</v>
      </c>
      <c r="B42" s="128">
        <v>2.4140000000000001</v>
      </c>
      <c r="C42" s="128">
        <v>1.288</v>
      </c>
      <c r="F42" s="104">
        <v>15</v>
      </c>
      <c r="G42" s="128">
        <v>2.7389999999999999</v>
      </c>
      <c r="H42" s="128">
        <v>1.288</v>
      </c>
    </row>
    <row r="44" spans="1:8" ht="39.6" customHeight="1" x14ac:dyDescent="0.25"/>
    <row r="46" spans="1:8" ht="27.6" customHeight="1" x14ac:dyDescent="0.25"/>
  </sheetData>
  <sheetProtection algorithmName="SHA-512" hashValue="OUDc1647w4HBNJZqLpjYDYMa5hiFa/TRHOkrUOiPhw+zQdDHJ8VL/e9mNk9US+hGSa47D7k7IB29acRFbGjYng==" saltValue="p6rrsybUMviY/InMREvmjw==" spinCount="100000" sheet="1" objects="1" scenarios="1"/>
  <conditionalFormatting sqref="A6:A21">
    <cfRule type="expression" dxfId="753" priority="1" stopIfTrue="1">
      <formula>MOD(ROW(),2)=0</formula>
    </cfRule>
    <cfRule type="expression" dxfId="752" priority="2" stopIfTrue="1">
      <formula>MOD(ROW(),2)&lt;&gt;0</formula>
    </cfRule>
  </conditionalFormatting>
  <conditionalFormatting sqref="A26:A42">
    <cfRule type="expression" dxfId="751" priority="9" stopIfTrue="1">
      <formula>MOD(ROW(),2)=0</formula>
    </cfRule>
    <cfRule type="expression" dxfId="750" priority="10" stopIfTrue="1">
      <formula>MOD(ROW(),2)&lt;&gt;0</formula>
    </cfRule>
  </conditionalFormatting>
  <conditionalFormatting sqref="B17:B21">
    <cfRule type="expression" dxfId="749" priority="25" stopIfTrue="1">
      <formula>MOD(ROW(),2)=0</formula>
    </cfRule>
    <cfRule type="expression" dxfId="748" priority="26" stopIfTrue="1">
      <formula>MOD(ROW(),2)&lt;&gt;0</formula>
    </cfRule>
  </conditionalFormatting>
  <conditionalFormatting sqref="B6:C6 C7 B8:C16 C17:C21">
    <cfRule type="expression" dxfId="747" priority="50" stopIfTrue="1">
      <formula>MOD(ROW(),2)&lt;&gt;0</formula>
    </cfRule>
    <cfRule type="expression" dxfId="746" priority="49" stopIfTrue="1">
      <formula>MOD(ROW(),2)=0</formula>
    </cfRule>
  </conditionalFormatting>
  <conditionalFormatting sqref="B6:C21">
    <cfRule type="expression" dxfId="745" priority="37" stopIfTrue="1">
      <formula>MOD(ROW(),2)=0</formula>
    </cfRule>
    <cfRule type="expression" dxfId="744" priority="38" stopIfTrue="1">
      <formula>MOD(ROW(),2)&lt;&gt;0</formula>
    </cfRule>
  </conditionalFormatting>
  <conditionalFormatting sqref="B26:C42">
    <cfRule type="expression" dxfId="743" priority="11" stopIfTrue="1">
      <formula>MOD(ROW(),2)=0</formula>
    </cfRule>
    <cfRule type="expression" dxfId="742" priority="12" stopIfTrue="1">
      <formula>MOD(ROW(),2)&lt;&gt;0</formula>
    </cfRule>
  </conditionalFormatting>
  <conditionalFormatting sqref="F6:F21">
    <cfRule type="expression" dxfId="741" priority="40" stopIfTrue="1">
      <formula>MOD(ROW(),2)&lt;&gt;0</formula>
    </cfRule>
    <cfRule type="expression" dxfId="740" priority="39" stopIfTrue="1">
      <formula>MOD(ROW(),2)=0</formula>
    </cfRule>
  </conditionalFormatting>
  <conditionalFormatting sqref="F26:F42">
    <cfRule type="expression" dxfId="739" priority="5" stopIfTrue="1">
      <formula>MOD(ROW(),2)=0</formula>
    </cfRule>
    <cfRule type="expression" dxfId="738" priority="6" stopIfTrue="1">
      <formula>MOD(ROW(),2)&lt;&gt;0</formula>
    </cfRule>
  </conditionalFormatting>
  <conditionalFormatting sqref="G17:G21">
    <cfRule type="expression" dxfId="737" priority="21" stopIfTrue="1">
      <formula>MOD(ROW(),2)=0</formula>
    </cfRule>
    <cfRule type="expression" dxfId="736" priority="22" stopIfTrue="1">
      <formula>MOD(ROW(),2)&lt;&gt;0</formula>
    </cfRule>
  </conditionalFormatting>
  <conditionalFormatting sqref="G6:H6 H7 G8:H16 H17:H21">
    <cfRule type="expression" dxfId="735" priority="57" stopIfTrue="1">
      <formula>MOD(ROW(),2)=0</formula>
    </cfRule>
    <cfRule type="expression" dxfId="734" priority="58" stopIfTrue="1">
      <formula>MOD(ROW(),2)&lt;&gt;0</formula>
    </cfRule>
  </conditionalFormatting>
  <conditionalFormatting sqref="G6:H21">
    <cfRule type="expression" dxfId="733" priority="35" stopIfTrue="1">
      <formula>MOD(ROW(),2)=0</formula>
    </cfRule>
    <cfRule type="expression" dxfId="732" priority="36" stopIfTrue="1">
      <formula>MOD(ROW(),2)&lt;&gt;0</formula>
    </cfRule>
  </conditionalFormatting>
  <conditionalFormatting sqref="G26:H42">
    <cfRule type="expression" dxfId="731" priority="7" stopIfTrue="1">
      <formula>MOD(ROW(),2)=0</formula>
    </cfRule>
    <cfRule type="expression" dxfId="730" priority="8" stopIfTrue="1">
      <formula>MOD(ROW(),2)&lt;&gt;0</formula>
    </cfRule>
  </conditionalFormatting>
  <hyperlinks>
    <hyperlink ref="B24" location="Sheet1!A1" display="Assumptions" xr:uid="{8B39209C-A4ED-4A32-9EB3-00B37AD0D76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2"/>
  <dimension ref="A1:I52"/>
  <sheetViews>
    <sheetView showGridLines="0" zoomScale="85" zoomScaleNormal="85" workbookViewId="0">
      <selection activeCell="A4" sqref="A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Scheme pays AA - x-608</v>
      </c>
      <c r="B3" s="42"/>
      <c r="C3" s="42"/>
      <c r="D3" s="42"/>
      <c r="E3" s="42"/>
      <c r="F3" s="42"/>
      <c r="G3" s="42"/>
      <c r="H3" s="42"/>
      <c r="I3" s="42"/>
    </row>
    <row r="4" spans="1:9" x14ac:dyDescent="0.25">
      <c r="A4" s="44"/>
    </row>
    <row r="6" spans="1:9" x14ac:dyDescent="0.25">
      <c r="A6" s="87" t="s">
        <v>290</v>
      </c>
      <c r="B6" s="185" t="s">
        <v>291</v>
      </c>
      <c r="C6" s="185"/>
    </row>
    <row r="7" spans="1:9" x14ac:dyDescent="0.25">
      <c r="A7" s="81" t="s">
        <v>804</v>
      </c>
      <c r="B7" s="185" t="s">
        <v>345</v>
      </c>
      <c r="C7" s="185"/>
    </row>
    <row r="8" spans="1:9" x14ac:dyDescent="0.25">
      <c r="A8" s="81" t="s">
        <v>805</v>
      </c>
      <c r="B8" s="185" t="s">
        <v>396</v>
      </c>
      <c r="C8" s="185"/>
    </row>
    <row r="9" spans="1:9" x14ac:dyDescent="0.25">
      <c r="A9" s="81" t="s">
        <v>296</v>
      </c>
      <c r="B9" s="185" t="s">
        <v>514</v>
      </c>
      <c r="C9" s="185"/>
    </row>
    <row r="10" spans="1:9" x14ac:dyDescent="0.25">
      <c r="A10" s="81" t="s">
        <v>6</v>
      </c>
      <c r="B10" s="185" t="s">
        <v>541</v>
      </c>
      <c r="C10" s="185"/>
    </row>
    <row r="11" spans="1:9" x14ac:dyDescent="0.25">
      <c r="A11" s="81" t="s">
        <v>299</v>
      </c>
      <c r="B11" s="185" t="s">
        <v>327</v>
      </c>
      <c r="C11" s="185"/>
    </row>
    <row r="12" spans="1:9" x14ac:dyDescent="0.25">
      <c r="A12" s="81" t="s">
        <v>301</v>
      </c>
      <c r="B12" s="185" t="s">
        <v>328</v>
      </c>
      <c r="C12" s="185"/>
    </row>
    <row r="13" spans="1:9" x14ac:dyDescent="0.25">
      <c r="A13" s="81" t="s">
        <v>806</v>
      </c>
      <c r="B13" s="185">
        <v>1</v>
      </c>
      <c r="C13" s="185"/>
    </row>
    <row r="14" spans="1:9" x14ac:dyDescent="0.25">
      <c r="A14" s="81" t="s">
        <v>305</v>
      </c>
      <c r="B14" s="185">
        <v>608</v>
      </c>
      <c r="C14" s="185"/>
    </row>
    <row r="15" spans="1:9" x14ac:dyDescent="0.25">
      <c r="A15" s="81" t="s">
        <v>307</v>
      </c>
      <c r="B15" s="185" t="s">
        <v>542</v>
      </c>
      <c r="C15" s="185"/>
    </row>
    <row r="16" spans="1:9" x14ac:dyDescent="0.25">
      <c r="A16" s="81" t="s">
        <v>825</v>
      </c>
      <c r="B16" s="185" t="s">
        <v>520</v>
      </c>
      <c r="C16" s="185"/>
    </row>
    <row r="17" spans="1:3" ht="67.2" customHeight="1" x14ac:dyDescent="0.25">
      <c r="A17" s="81" t="s">
        <v>803</v>
      </c>
      <c r="B17" s="185"/>
      <c r="C17" s="185"/>
    </row>
    <row r="18" spans="1:3" x14ac:dyDescent="0.25">
      <c r="A18" s="81" t="s">
        <v>313</v>
      </c>
      <c r="B18" s="188">
        <v>45071</v>
      </c>
      <c r="C18" s="185"/>
    </row>
    <row r="19" spans="1:3" x14ac:dyDescent="0.25">
      <c r="A19" s="81" t="s">
        <v>315</v>
      </c>
      <c r="B19" s="188"/>
      <c r="C19" s="185"/>
    </row>
    <row r="20" spans="1:3" x14ac:dyDescent="0.25">
      <c r="A20" s="81" t="s">
        <v>317</v>
      </c>
      <c r="B20" s="185" t="s">
        <v>331</v>
      </c>
      <c r="C20" s="185"/>
    </row>
    <row r="21" spans="1:3" x14ac:dyDescent="0.25">
      <c r="A21" s="77" t="s">
        <v>323</v>
      </c>
      <c r="B21" s="185" t="s">
        <v>332</v>
      </c>
      <c r="C21" s="185"/>
    </row>
    <row r="23" spans="1:3" x14ac:dyDescent="0.25">
      <c r="B23" s="102" t="str">
        <f>HYPERLINK("#'Factor List'!A1","Back to Factor List")</f>
        <v>Back to Factor List</v>
      </c>
    </row>
    <row r="24" spans="1:3" x14ac:dyDescent="0.25">
      <c r="B24" s="102" t="s">
        <v>13</v>
      </c>
    </row>
    <row r="25" spans="1:3" x14ac:dyDescent="0.25">
      <c r="B25" s="102"/>
    </row>
    <row r="26" spans="1:3" x14ac:dyDescent="0.25">
      <c r="A26" s="103" t="s">
        <v>373</v>
      </c>
      <c r="B26" s="103" t="s">
        <v>954</v>
      </c>
      <c r="C26" s="103" t="s">
        <v>955</v>
      </c>
    </row>
    <row r="27" spans="1:3" x14ac:dyDescent="0.25">
      <c r="A27" s="104">
        <v>50</v>
      </c>
      <c r="B27" s="105">
        <v>27.05</v>
      </c>
      <c r="C27" s="105">
        <v>27.05</v>
      </c>
    </row>
    <row r="28" spans="1:3" x14ac:dyDescent="0.25">
      <c r="A28" s="104">
        <v>51</v>
      </c>
      <c r="B28" s="105">
        <v>26.5</v>
      </c>
      <c r="C28" s="105">
        <v>26.5</v>
      </c>
    </row>
    <row r="29" spans="1:3" x14ac:dyDescent="0.25">
      <c r="A29" s="104">
        <v>52</v>
      </c>
      <c r="B29" s="105">
        <v>25.94</v>
      </c>
      <c r="C29" s="105">
        <v>25.94</v>
      </c>
    </row>
    <row r="30" spans="1:3" x14ac:dyDescent="0.25">
      <c r="A30" s="104">
        <v>53</v>
      </c>
      <c r="B30" s="105">
        <v>25.37</v>
      </c>
      <c r="C30" s="105">
        <v>25.37</v>
      </c>
    </row>
    <row r="31" spans="1:3" x14ac:dyDescent="0.25">
      <c r="A31" s="104">
        <v>54</v>
      </c>
      <c r="B31" s="105">
        <v>24.8</v>
      </c>
      <c r="C31" s="105">
        <v>24.8</v>
      </c>
    </row>
    <row r="32" spans="1:3" x14ac:dyDescent="0.25">
      <c r="A32" s="104">
        <v>55</v>
      </c>
      <c r="B32" s="105">
        <v>24.22</v>
      </c>
      <c r="C32" s="105">
        <v>24.22</v>
      </c>
    </row>
    <row r="33" spans="1:3" x14ac:dyDescent="0.25">
      <c r="A33" s="104">
        <v>56</v>
      </c>
      <c r="B33" s="105">
        <v>23.63</v>
      </c>
      <c r="C33" s="105">
        <v>23.63</v>
      </c>
    </row>
    <row r="34" spans="1:3" x14ac:dyDescent="0.25">
      <c r="A34" s="104">
        <v>57</v>
      </c>
      <c r="B34" s="105">
        <v>23.04</v>
      </c>
      <c r="C34" s="105">
        <v>23.04</v>
      </c>
    </row>
    <row r="35" spans="1:3" x14ac:dyDescent="0.25">
      <c r="A35" s="104">
        <v>58</v>
      </c>
      <c r="B35" s="105">
        <v>22.44</v>
      </c>
      <c r="C35" s="105">
        <v>22.44</v>
      </c>
    </row>
    <row r="36" spans="1:3" x14ac:dyDescent="0.25">
      <c r="A36" s="104">
        <v>59</v>
      </c>
      <c r="B36" s="105">
        <v>21.83</v>
      </c>
      <c r="C36" s="105">
        <v>21.83</v>
      </c>
    </row>
    <row r="37" spans="1:3" x14ac:dyDescent="0.25">
      <c r="A37" s="104">
        <v>60</v>
      </c>
      <c r="B37" s="105">
        <v>21.22</v>
      </c>
      <c r="C37" s="105">
        <v>21.22</v>
      </c>
    </row>
    <row r="38" spans="1:3" x14ac:dyDescent="0.25">
      <c r="A38" s="104">
        <v>61</v>
      </c>
      <c r="B38" s="105">
        <v>20.61</v>
      </c>
      <c r="C38" s="105">
        <v>20.61</v>
      </c>
    </row>
    <row r="39" spans="1:3" x14ac:dyDescent="0.25">
      <c r="A39" s="104">
        <v>62</v>
      </c>
      <c r="B39" s="105">
        <v>19.989999999999998</v>
      </c>
      <c r="C39" s="105">
        <v>19.989999999999998</v>
      </c>
    </row>
    <row r="40" spans="1:3" x14ac:dyDescent="0.25">
      <c r="A40" s="104">
        <v>63</v>
      </c>
      <c r="B40" s="105">
        <v>19.37</v>
      </c>
      <c r="C40" s="105">
        <v>19.37</v>
      </c>
    </row>
    <row r="41" spans="1:3" x14ac:dyDescent="0.25">
      <c r="A41" s="104">
        <v>64</v>
      </c>
      <c r="B41" s="105">
        <v>18.75</v>
      </c>
      <c r="C41" s="105">
        <v>18.75</v>
      </c>
    </row>
    <row r="42" spans="1:3" x14ac:dyDescent="0.25">
      <c r="A42" s="104">
        <v>65</v>
      </c>
      <c r="B42" s="105">
        <v>18.11</v>
      </c>
      <c r="C42" s="105">
        <v>18.11</v>
      </c>
    </row>
    <row r="43" spans="1:3" x14ac:dyDescent="0.25">
      <c r="A43" s="104">
        <v>66</v>
      </c>
      <c r="B43" s="105">
        <v>17.45</v>
      </c>
      <c r="C43" s="105">
        <v>17.45</v>
      </c>
    </row>
    <row r="44" spans="1:3" x14ac:dyDescent="0.25">
      <c r="A44" s="104">
        <v>67</v>
      </c>
      <c r="B44" s="105">
        <v>16.79</v>
      </c>
      <c r="C44" s="105">
        <v>16.79</v>
      </c>
    </row>
    <row r="45" spans="1:3" x14ac:dyDescent="0.25">
      <c r="A45" s="104">
        <v>68</v>
      </c>
      <c r="B45" s="105">
        <v>16.13</v>
      </c>
      <c r="C45" s="105">
        <v>16.13</v>
      </c>
    </row>
    <row r="46" spans="1:3" x14ac:dyDescent="0.25">
      <c r="A46" s="104">
        <v>69</v>
      </c>
      <c r="B46" s="105">
        <v>15.48</v>
      </c>
      <c r="C46" s="105">
        <v>15.48</v>
      </c>
    </row>
    <row r="47" spans="1:3" x14ac:dyDescent="0.25">
      <c r="A47" s="104">
        <v>70</v>
      </c>
      <c r="B47" s="105">
        <v>14.84</v>
      </c>
      <c r="C47" s="105">
        <v>14.84</v>
      </c>
    </row>
    <row r="48" spans="1:3" x14ac:dyDescent="0.25">
      <c r="A48" s="104">
        <v>71</v>
      </c>
      <c r="B48" s="105">
        <v>14.2</v>
      </c>
      <c r="C48" s="105">
        <v>14.2</v>
      </c>
    </row>
    <row r="49" spans="1:3" x14ac:dyDescent="0.25">
      <c r="A49" s="104">
        <v>72</v>
      </c>
      <c r="B49" s="105">
        <v>13.57</v>
      </c>
      <c r="C49" s="105">
        <v>13.57</v>
      </c>
    </row>
    <row r="50" spans="1:3" x14ac:dyDescent="0.25">
      <c r="A50" s="104">
        <v>73</v>
      </c>
      <c r="B50" s="105">
        <v>12.94</v>
      </c>
      <c r="C50" s="105">
        <v>12.94</v>
      </c>
    </row>
    <row r="51" spans="1:3" x14ac:dyDescent="0.25">
      <c r="A51" s="104">
        <v>74</v>
      </c>
      <c r="B51" s="105">
        <v>12.31</v>
      </c>
      <c r="C51" s="105">
        <v>12.31</v>
      </c>
    </row>
    <row r="52" spans="1:3" x14ac:dyDescent="0.25">
      <c r="A52" s="104">
        <v>75</v>
      </c>
      <c r="B52" s="105">
        <v>11.69</v>
      </c>
      <c r="C52" s="105">
        <v>11.69</v>
      </c>
    </row>
  </sheetData>
  <sheetProtection algorithmName="SHA-512" hashValue="JE/b57+R3240Rc3rCiTF4Cx9bCY4Sdx8UG3M5dsCUFdg0l+O6z3bVNCMibqvxNylwiL55aHIzHVvw0jLZOu/Pw==" saltValue="yJk0ienFDvDFISXqqtWO5g==" spinCount="100000" sheet="1" objects="1" scenarios="1"/>
  <conditionalFormatting sqref="A6:A21">
    <cfRule type="expression" dxfId="729" priority="1" stopIfTrue="1">
      <formula>MOD(ROW(),2)=0</formula>
    </cfRule>
    <cfRule type="expression" dxfId="728" priority="2" stopIfTrue="1">
      <formula>MOD(ROW(),2)&lt;&gt;0</formula>
    </cfRule>
  </conditionalFormatting>
  <conditionalFormatting sqref="A26:A52">
    <cfRule type="expression" dxfId="727" priority="5" stopIfTrue="1">
      <formula>MOD(ROW(),2)=0</formula>
    </cfRule>
    <cfRule type="expression" dxfId="726" priority="6" stopIfTrue="1">
      <formula>MOD(ROW(),2)&lt;&gt;0</formula>
    </cfRule>
  </conditionalFormatting>
  <conditionalFormatting sqref="B17:B21">
    <cfRule type="expression" dxfId="725" priority="13" stopIfTrue="1">
      <formula>MOD(ROW(),2)=0</formula>
    </cfRule>
    <cfRule type="expression" dxfId="724" priority="14" stopIfTrue="1">
      <formula>MOD(ROW(),2)&lt;&gt;0</formula>
    </cfRule>
  </conditionalFormatting>
  <conditionalFormatting sqref="B6:C6 C7 B8:C16 C17:C21">
    <cfRule type="expression" dxfId="723" priority="29" stopIfTrue="1">
      <formula>MOD(ROW(),2)=0</formula>
    </cfRule>
    <cfRule type="expression" dxfId="722" priority="30" stopIfTrue="1">
      <formula>MOD(ROW(),2)&lt;&gt;0</formula>
    </cfRule>
  </conditionalFormatting>
  <conditionalFormatting sqref="B6:C21">
    <cfRule type="expression" dxfId="721" priority="19" stopIfTrue="1">
      <formula>MOD(ROW(),2)=0</formula>
    </cfRule>
    <cfRule type="expression" dxfId="720" priority="20" stopIfTrue="1">
      <formula>MOD(ROW(),2)&lt;&gt;0</formula>
    </cfRule>
  </conditionalFormatting>
  <conditionalFormatting sqref="B26:C52">
    <cfRule type="expression" dxfId="719" priority="7" stopIfTrue="1">
      <formula>MOD(ROW(),2)=0</formula>
    </cfRule>
    <cfRule type="expression" dxfId="718" priority="8" stopIfTrue="1">
      <formula>MOD(ROW(),2)&lt;&gt;0</formula>
    </cfRule>
  </conditionalFormatting>
  <hyperlinks>
    <hyperlink ref="B24" location="Sheet1!A1" display="Assumptions" xr:uid="{2233A400-9355-478F-B1A4-5953C48A98A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3"/>
  <dimension ref="A1:I82"/>
  <sheetViews>
    <sheetView showGridLines="0" zoomScale="85" zoomScaleNormal="85" workbookViewId="0">
      <selection activeCell="A4" sqref="A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Scheme pays AA - x-609</v>
      </c>
      <c r="B3" s="42"/>
      <c r="C3" s="42"/>
      <c r="D3" s="42"/>
      <c r="E3" s="42"/>
      <c r="F3" s="42"/>
      <c r="G3" s="42"/>
      <c r="H3" s="42"/>
      <c r="I3" s="42"/>
    </row>
    <row r="4" spans="1:9" x14ac:dyDescent="0.25">
      <c r="A4" s="44"/>
    </row>
    <row r="6" spans="1:9" x14ac:dyDescent="0.25">
      <c r="A6" s="87" t="s">
        <v>290</v>
      </c>
      <c r="B6" s="185" t="s">
        <v>291</v>
      </c>
      <c r="C6" s="185"/>
    </row>
    <row r="7" spans="1:9" x14ac:dyDescent="0.25">
      <c r="A7" s="81" t="s">
        <v>804</v>
      </c>
      <c r="B7" s="185" t="s">
        <v>345</v>
      </c>
      <c r="C7" s="185"/>
    </row>
    <row r="8" spans="1:9" x14ac:dyDescent="0.25">
      <c r="A8" s="81" t="s">
        <v>805</v>
      </c>
      <c r="B8" s="185" t="s">
        <v>396</v>
      </c>
      <c r="C8" s="185"/>
    </row>
    <row r="9" spans="1:9" x14ac:dyDescent="0.25">
      <c r="A9" s="81" t="s">
        <v>296</v>
      </c>
      <c r="B9" s="185" t="s">
        <v>514</v>
      </c>
      <c r="C9" s="185"/>
    </row>
    <row r="10" spans="1:9" x14ac:dyDescent="0.25">
      <c r="A10" s="81" t="s">
        <v>6</v>
      </c>
      <c r="B10" s="185" t="s">
        <v>543</v>
      </c>
      <c r="C10" s="185"/>
    </row>
    <row r="11" spans="1:9" x14ac:dyDescent="0.25">
      <c r="A11" s="81" t="s">
        <v>299</v>
      </c>
      <c r="B11" s="185" t="s">
        <v>327</v>
      </c>
      <c r="C11" s="185"/>
    </row>
    <row r="12" spans="1:9" x14ac:dyDescent="0.25">
      <c r="A12" s="81" t="s">
        <v>301</v>
      </c>
      <c r="B12" s="185" t="s">
        <v>328</v>
      </c>
      <c r="C12" s="185"/>
    </row>
    <row r="13" spans="1:9" x14ac:dyDescent="0.25">
      <c r="A13" s="81" t="s">
        <v>806</v>
      </c>
      <c r="B13" s="185">
        <v>1</v>
      </c>
      <c r="C13" s="185"/>
    </row>
    <row r="14" spans="1:9" x14ac:dyDescent="0.25">
      <c r="A14" s="81" t="s">
        <v>305</v>
      </c>
      <c r="B14" s="185">
        <v>609</v>
      </c>
      <c r="C14" s="185"/>
    </row>
    <row r="15" spans="1:9" x14ac:dyDescent="0.25">
      <c r="A15" s="81" t="s">
        <v>307</v>
      </c>
      <c r="B15" s="185" t="s">
        <v>544</v>
      </c>
      <c r="C15" s="185"/>
    </row>
    <row r="16" spans="1:9" x14ac:dyDescent="0.25">
      <c r="A16" s="81" t="s">
        <v>825</v>
      </c>
      <c r="B16" s="185" t="s">
        <v>523</v>
      </c>
      <c r="C16" s="185"/>
    </row>
    <row r="17" spans="1:3" ht="75.599999999999994" customHeight="1" x14ac:dyDescent="0.25">
      <c r="A17" s="81" t="s">
        <v>803</v>
      </c>
      <c r="B17" s="185"/>
      <c r="C17" s="185"/>
    </row>
    <row r="18" spans="1:3" x14ac:dyDescent="0.25">
      <c r="A18" s="81" t="s">
        <v>313</v>
      </c>
      <c r="B18" s="188">
        <v>45071</v>
      </c>
      <c r="C18" s="185"/>
    </row>
    <row r="19" spans="1:3" x14ac:dyDescent="0.25">
      <c r="A19" s="81" t="s">
        <v>315</v>
      </c>
      <c r="B19" s="188"/>
      <c r="C19" s="185"/>
    </row>
    <row r="20" spans="1:3" x14ac:dyDescent="0.25">
      <c r="A20" s="81" t="s">
        <v>317</v>
      </c>
      <c r="B20" s="185" t="s">
        <v>331</v>
      </c>
      <c r="C20" s="185"/>
    </row>
    <row r="21" spans="1:3" x14ac:dyDescent="0.25">
      <c r="A21" s="77" t="s">
        <v>323</v>
      </c>
      <c r="B21" s="185" t="s">
        <v>332</v>
      </c>
      <c r="C21" s="185"/>
    </row>
    <row r="23" spans="1:3" x14ac:dyDescent="0.25">
      <c r="B23" s="102" t="str">
        <f>HYPERLINK("#'Factor List'!A1","Back to Factor List")</f>
        <v>Back to Factor List</v>
      </c>
    </row>
    <row r="24" spans="1:3" x14ac:dyDescent="0.25">
      <c r="B24" s="102" t="s">
        <v>13</v>
      </c>
    </row>
    <row r="25" spans="1:3" x14ac:dyDescent="0.25">
      <c r="B25" s="102"/>
    </row>
    <row r="26" spans="1:3" x14ac:dyDescent="0.25">
      <c r="A26" s="103" t="s">
        <v>373</v>
      </c>
      <c r="B26" s="103" t="s">
        <v>954</v>
      </c>
      <c r="C26" s="103" t="s">
        <v>955</v>
      </c>
    </row>
    <row r="27" spans="1:3" x14ac:dyDescent="0.25">
      <c r="A27" s="104">
        <v>20</v>
      </c>
      <c r="B27" s="105">
        <v>40.31</v>
      </c>
      <c r="C27" s="105">
        <v>40.31</v>
      </c>
    </row>
    <row r="28" spans="1:3" x14ac:dyDescent="0.25">
      <c r="A28" s="104">
        <v>21</v>
      </c>
      <c r="B28" s="105">
        <v>39.96</v>
      </c>
      <c r="C28" s="105">
        <v>39.96</v>
      </c>
    </row>
    <row r="29" spans="1:3" x14ac:dyDescent="0.25">
      <c r="A29" s="104">
        <v>22</v>
      </c>
      <c r="B29" s="105">
        <v>39.61</v>
      </c>
      <c r="C29" s="105">
        <v>39.61</v>
      </c>
    </row>
    <row r="30" spans="1:3" x14ac:dyDescent="0.25">
      <c r="A30" s="104">
        <v>23</v>
      </c>
      <c r="B30" s="105">
        <v>39.25</v>
      </c>
      <c r="C30" s="105">
        <v>39.25</v>
      </c>
    </row>
    <row r="31" spans="1:3" x14ac:dyDescent="0.25">
      <c r="A31" s="104">
        <v>24</v>
      </c>
      <c r="B31" s="105">
        <v>38.89</v>
      </c>
      <c r="C31" s="105">
        <v>38.89</v>
      </c>
    </row>
    <row r="32" spans="1:3" x14ac:dyDescent="0.25">
      <c r="A32" s="104">
        <v>25</v>
      </c>
      <c r="B32" s="105">
        <v>38.520000000000003</v>
      </c>
      <c r="C32" s="105">
        <v>38.520000000000003</v>
      </c>
    </row>
    <row r="33" spans="1:3" x14ac:dyDescent="0.25">
      <c r="A33" s="104">
        <v>26</v>
      </c>
      <c r="B33" s="105">
        <v>38.14</v>
      </c>
      <c r="C33" s="105">
        <v>38.14</v>
      </c>
    </row>
    <row r="34" spans="1:3" x14ac:dyDescent="0.25">
      <c r="A34" s="104">
        <v>27</v>
      </c>
      <c r="B34" s="105">
        <v>37.76</v>
      </c>
      <c r="C34" s="105">
        <v>37.76</v>
      </c>
    </row>
    <row r="35" spans="1:3" x14ac:dyDescent="0.25">
      <c r="A35" s="104">
        <v>28</v>
      </c>
      <c r="B35" s="105">
        <v>37.369999999999997</v>
      </c>
      <c r="C35" s="105">
        <v>37.369999999999997</v>
      </c>
    </row>
    <row r="36" spans="1:3" x14ac:dyDescent="0.25">
      <c r="A36" s="104">
        <v>29</v>
      </c>
      <c r="B36" s="105">
        <v>36.97</v>
      </c>
      <c r="C36" s="105">
        <v>36.97</v>
      </c>
    </row>
    <row r="37" spans="1:3" x14ac:dyDescent="0.25">
      <c r="A37" s="104">
        <v>30</v>
      </c>
      <c r="B37" s="105">
        <v>36.57</v>
      </c>
      <c r="C37" s="105">
        <v>36.57</v>
      </c>
    </row>
    <row r="38" spans="1:3" x14ac:dyDescent="0.25">
      <c r="A38" s="104">
        <v>31</v>
      </c>
      <c r="B38" s="105">
        <v>36.159999999999997</v>
      </c>
      <c r="C38" s="105">
        <v>36.159999999999997</v>
      </c>
    </row>
    <row r="39" spans="1:3" x14ac:dyDescent="0.25">
      <c r="A39" s="104">
        <v>32</v>
      </c>
      <c r="B39" s="105">
        <v>35.74</v>
      </c>
      <c r="C39" s="105">
        <v>35.74</v>
      </c>
    </row>
    <row r="40" spans="1:3" x14ac:dyDescent="0.25">
      <c r="A40" s="104">
        <v>33</v>
      </c>
      <c r="B40" s="105">
        <v>35.32</v>
      </c>
      <c r="C40" s="105">
        <v>35.32</v>
      </c>
    </row>
    <row r="41" spans="1:3" x14ac:dyDescent="0.25">
      <c r="A41" s="104">
        <v>34</v>
      </c>
      <c r="B41" s="105">
        <v>34.89</v>
      </c>
      <c r="C41" s="105">
        <v>34.89</v>
      </c>
    </row>
    <row r="42" spans="1:3" x14ac:dyDescent="0.25">
      <c r="A42" s="104">
        <v>35</v>
      </c>
      <c r="B42" s="105">
        <v>34.46</v>
      </c>
      <c r="C42" s="105">
        <v>34.46</v>
      </c>
    </row>
    <row r="43" spans="1:3" x14ac:dyDescent="0.25">
      <c r="A43" s="104">
        <v>36</v>
      </c>
      <c r="B43" s="105">
        <v>34.01</v>
      </c>
      <c r="C43" s="105">
        <v>34.01</v>
      </c>
    </row>
    <row r="44" spans="1:3" x14ac:dyDescent="0.25">
      <c r="A44" s="104">
        <v>37</v>
      </c>
      <c r="B44" s="105">
        <v>33.56</v>
      </c>
      <c r="C44" s="105">
        <v>33.56</v>
      </c>
    </row>
    <row r="45" spans="1:3" x14ac:dyDescent="0.25">
      <c r="A45" s="104">
        <v>38</v>
      </c>
      <c r="B45" s="105">
        <v>33.11</v>
      </c>
      <c r="C45" s="105">
        <v>33.11</v>
      </c>
    </row>
    <row r="46" spans="1:3" x14ac:dyDescent="0.25">
      <c r="A46" s="104">
        <v>39</v>
      </c>
      <c r="B46" s="105">
        <v>32.64</v>
      </c>
      <c r="C46" s="105">
        <v>32.64</v>
      </c>
    </row>
    <row r="47" spans="1:3" x14ac:dyDescent="0.25">
      <c r="A47" s="104">
        <v>40</v>
      </c>
      <c r="B47" s="105">
        <v>32.17</v>
      </c>
      <c r="C47" s="105">
        <v>32.17</v>
      </c>
    </row>
    <row r="48" spans="1:3" x14ac:dyDescent="0.25">
      <c r="A48" s="104">
        <v>41</v>
      </c>
      <c r="B48" s="105">
        <v>31.69</v>
      </c>
      <c r="C48" s="105">
        <v>31.69</v>
      </c>
    </row>
    <row r="49" spans="1:3" x14ac:dyDescent="0.25">
      <c r="A49" s="104">
        <v>42</v>
      </c>
      <c r="B49" s="105">
        <v>31.2</v>
      </c>
      <c r="C49" s="105">
        <v>31.2</v>
      </c>
    </row>
    <row r="50" spans="1:3" x14ac:dyDescent="0.25">
      <c r="A50" s="104">
        <v>43</v>
      </c>
      <c r="B50" s="105">
        <v>30.71</v>
      </c>
      <c r="C50" s="105">
        <v>30.71</v>
      </c>
    </row>
    <row r="51" spans="1:3" x14ac:dyDescent="0.25">
      <c r="A51" s="104">
        <v>44</v>
      </c>
      <c r="B51" s="105">
        <v>30.21</v>
      </c>
      <c r="C51" s="105">
        <v>30.21</v>
      </c>
    </row>
    <row r="52" spans="1:3" x14ac:dyDescent="0.25">
      <c r="A52" s="104">
        <v>45</v>
      </c>
      <c r="B52" s="105">
        <v>29.7</v>
      </c>
      <c r="C52" s="105">
        <v>29.7</v>
      </c>
    </row>
    <row r="53" spans="1:3" x14ac:dyDescent="0.25">
      <c r="A53" s="104">
        <v>46</v>
      </c>
      <c r="B53" s="105">
        <v>29.19</v>
      </c>
      <c r="C53" s="105">
        <v>29.19</v>
      </c>
    </row>
    <row r="54" spans="1:3" x14ac:dyDescent="0.25">
      <c r="A54" s="104">
        <v>47</v>
      </c>
      <c r="B54" s="105">
        <v>28.66</v>
      </c>
      <c r="C54" s="105">
        <v>28.66</v>
      </c>
    </row>
    <row r="55" spans="1:3" x14ac:dyDescent="0.25">
      <c r="A55" s="104">
        <v>48</v>
      </c>
      <c r="B55" s="105">
        <v>28.13</v>
      </c>
      <c r="C55" s="105">
        <v>28.13</v>
      </c>
    </row>
    <row r="56" spans="1:3" x14ac:dyDescent="0.25">
      <c r="A56" s="104">
        <v>49</v>
      </c>
      <c r="B56" s="105">
        <v>27.6</v>
      </c>
      <c r="C56" s="105">
        <v>27.6</v>
      </c>
    </row>
    <row r="57" spans="1:3" x14ac:dyDescent="0.25">
      <c r="A57" s="104">
        <v>50</v>
      </c>
      <c r="B57" s="105">
        <v>27.05</v>
      </c>
      <c r="C57" s="105">
        <v>27.05</v>
      </c>
    </row>
    <row r="58" spans="1:3" x14ac:dyDescent="0.25">
      <c r="A58" s="104">
        <v>51</v>
      </c>
      <c r="B58" s="105">
        <v>26.5</v>
      </c>
      <c r="C58" s="105">
        <v>26.5</v>
      </c>
    </row>
    <row r="59" spans="1:3" x14ac:dyDescent="0.25">
      <c r="A59" s="104">
        <v>52</v>
      </c>
      <c r="B59" s="105">
        <v>25.94</v>
      </c>
      <c r="C59" s="105">
        <v>25.94</v>
      </c>
    </row>
    <row r="60" spans="1:3" x14ac:dyDescent="0.25">
      <c r="A60" s="104">
        <v>53</v>
      </c>
      <c r="B60" s="105">
        <v>25.37</v>
      </c>
      <c r="C60" s="105">
        <v>25.37</v>
      </c>
    </row>
    <row r="61" spans="1:3" x14ac:dyDescent="0.25">
      <c r="A61" s="104">
        <v>54</v>
      </c>
      <c r="B61" s="105">
        <v>24.8</v>
      </c>
      <c r="C61" s="105">
        <v>24.8</v>
      </c>
    </row>
    <row r="62" spans="1:3" x14ac:dyDescent="0.25">
      <c r="A62" s="104">
        <v>55</v>
      </c>
      <c r="B62" s="105">
        <v>24.22</v>
      </c>
      <c r="C62" s="105">
        <v>24.22</v>
      </c>
    </row>
    <row r="63" spans="1:3" x14ac:dyDescent="0.25">
      <c r="A63" s="104">
        <v>56</v>
      </c>
      <c r="B63" s="105">
        <v>23.63</v>
      </c>
      <c r="C63" s="105">
        <v>23.63</v>
      </c>
    </row>
    <row r="64" spans="1:3" x14ac:dyDescent="0.25">
      <c r="A64" s="104">
        <v>57</v>
      </c>
      <c r="B64" s="105">
        <v>23.04</v>
      </c>
      <c r="C64" s="105">
        <v>23.04</v>
      </c>
    </row>
    <row r="65" spans="1:3" x14ac:dyDescent="0.25">
      <c r="A65" s="104">
        <v>58</v>
      </c>
      <c r="B65" s="105">
        <v>22.44</v>
      </c>
      <c r="C65" s="105">
        <v>22.44</v>
      </c>
    </row>
    <row r="66" spans="1:3" x14ac:dyDescent="0.25">
      <c r="A66" s="104">
        <v>59</v>
      </c>
      <c r="B66" s="105">
        <v>21.83</v>
      </c>
      <c r="C66" s="105">
        <v>21.83</v>
      </c>
    </row>
    <row r="67" spans="1:3" x14ac:dyDescent="0.25">
      <c r="A67" s="104">
        <v>60</v>
      </c>
      <c r="B67" s="105">
        <v>21.22</v>
      </c>
      <c r="C67" s="105">
        <v>21.22</v>
      </c>
    </row>
    <row r="68" spans="1:3" x14ac:dyDescent="0.25">
      <c r="A68" s="104">
        <v>61</v>
      </c>
      <c r="B68" s="105">
        <v>20.61</v>
      </c>
      <c r="C68" s="105">
        <v>20.61</v>
      </c>
    </row>
    <row r="69" spans="1:3" x14ac:dyDescent="0.25">
      <c r="A69" s="104">
        <v>62</v>
      </c>
      <c r="B69" s="105">
        <v>19.989999999999998</v>
      </c>
      <c r="C69" s="105">
        <v>19.989999999999998</v>
      </c>
    </row>
    <row r="70" spans="1:3" x14ac:dyDescent="0.25">
      <c r="A70" s="104">
        <v>63</v>
      </c>
      <c r="B70" s="105">
        <v>19.37</v>
      </c>
      <c r="C70" s="105">
        <v>19.37</v>
      </c>
    </row>
    <row r="71" spans="1:3" x14ac:dyDescent="0.25">
      <c r="A71" s="104">
        <v>64</v>
      </c>
      <c r="B71" s="105">
        <v>18.75</v>
      </c>
      <c r="C71" s="105">
        <v>18.75</v>
      </c>
    </row>
    <row r="72" spans="1:3" x14ac:dyDescent="0.25">
      <c r="A72" s="104">
        <v>65</v>
      </c>
      <c r="B72" s="105">
        <v>18.11</v>
      </c>
      <c r="C72" s="105">
        <v>18.11</v>
      </c>
    </row>
    <row r="73" spans="1:3" x14ac:dyDescent="0.25">
      <c r="A73" s="104">
        <v>66</v>
      </c>
      <c r="B73" s="105">
        <v>17.45</v>
      </c>
      <c r="C73" s="105">
        <v>17.45</v>
      </c>
    </row>
    <row r="74" spans="1:3" x14ac:dyDescent="0.25">
      <c r="A74" s="104">
        <v>67</v>
      </c>
      <c r="B74" s="105">
        <v>16.79</v>
      </c>
      <c r="C74" s="105">
        <v>16.79</v>
      </c>
    </row>
    <row r="75" spans="1:3" x14ac:dyDescent="0.25">
      <c r="A75" s="104">
        <v>68</v>
      </c>
      <c r="B75" s="105">
        <v>16.13</v>
      </c>
      <c r="C75" s="105">
        <v>16.13</v>
      </c>
    </row>
    <row r="76" spans="1:3" x14ac:dyDescent="0.25">
      <c r="A76" s="104">
        <v>69</v>
      </c>
      <c r="B76" s="105">
        <v>15.48</v>
      </c>
      <c r="C76" s="105">
        <v>15.48</v>
      </c>
    </row>
    <row r="77" spans="1:3" x14ac:dyDescent="0.25">
      <c r="A77" s="104">
        <v>70</v>
      </c>
      <c r="B77" s="105">
        <v>14.84</v>
      </c>
      <c r="C77" s="105">
        <v>14.84</v>
      </c>
    </row>
    <row r="78" spans="1:3" x14ac:dyDescent="0.25">
      <c r="A78" s="104">
        <v>71</v>
      </c>
      <c r="B78" s="105">
        <v>14.2</v>
      </c>
      <c r="C78" s="105">
        <v>14.2</v>
      </c>
    </row>
    <row r="79" spans="1:3" x14ac:dyDescent="0.25">
      <c r="A79" s="104">
        <v>72</v>
      </c>
      <c r="B79" s="105">
        <v>13.57</v>
      </c>
      <c r="C79" s="105">
        <v>13.57</v>
      </c>
    </row>
    <row r="80" spans="1:3" x14ac:dyDescent="0.25">
      <c r="A80" s="104">
        <v>73</v>
      </c>
      <c r="B80" s="105">
        <v>12.94</v>
      </c>
      <c r="C80" s="105">
        <v>12.94</v>
      </c>
    </row>
    <row r="81" spans="1:3" x14ac:dyDescent="0.25">
      <c r="A81" s="104">
        <v>74</v>
      </c>
      <c r="B81" s="105">
        <v>12.31</v>
      </c>
      <c r="C81" s="105">
        <v>12.31</v>
      </c>
    </row>
    <row r="82" spans="1:3" x14ac:dyDescent="0.25">
      <c r="A82" s="104">
        <v>75</v>
      </c>
      <c r="B82" s="105">
        <v>11.69</v>
      </c>
      <c r="C82" s="105">
        <v>11.69</v>
      </c>
    </row>
  </sheetData>
  <sheetProtection algorithmName="SHA-512" hashValue="8UoVCYAbKW/4YCPaEbKhOjQOcvJnJESHxAvCqfuhWaQKm+L3jp8DuIu2g6bdpcshHBEMav5a40LQg8eLq0+Dug==" saltValue="PkDqL5S7qP23ahKmDkRpDg==" spinCount="100000" sheet="1" objects="1" scenarios="1"/>
  <conditionalFormatting sqref="A6:A21">
    <cfRule type="expression" dxfId="717" priority="1" stopIfTrue="1">
      <formula>MOD(ROW(),2)=0</formula>
    </cfRule>
    <cfRule type="expression" dxfId="716" priority="2" stopIfTrue="1">
      <formula>MOD(ROW(),2)&lt;&gt;0</formula>
    </cfRule>
  </conditionalFormatting>
  <conditionalFormatting sqref="A26:A82">
    <cfRule type="expression" dxfId="715" priority="5" stopIfTrue="1">
      <formula>MOD(ROW(),2)=0</formula>
    </cfRule>
    <cfRule type="expression" dxfId="714" priority="6" stopIfTrue="1">
      <formula>MOD(ROW(),2)&lt;&gt;0</formula>
    </cfRule>
  </conditionalFormatting>
  <conditionalFormatting sqref="B17:B21">
    <cfRule type="expression" dxfId="713" priority="13" stopIfTrue="1">
      <formula>MOD(ROW(),2)=0</formula>
    </cfRule>
    <cfRule type="expression" dxfId="712" priority="14" stopIfTrue="1">
      <formula>MOD(ROW(),2)&lt;&gt;0</formula>
    </cfRule>
  </conditionalFormatting>
  <conditionalFormatting sqref="B6:C6 C7 B8:C16 C17:C21">
    <cfRule type="expression" dxfId="711" priority="29" stopIfTrue="1">
      <formula>MOD(ROW(),2)=0</formula>
    </cfRule>
    <cfRule type="expression" dxfId="710" priority="30" stopIfTrue="1">
      <formula>MOD(ROW(),2)&lt;&gt;0</formula>
    </cfRule>
  </conditionalFormatting>
  <conditionalFormatting sqref="B6:C21">
    <cfRule type="expression" dxfId="709" priority="19" stopIfTrue="1">
      <formula>MOD(ROW(),2)=0</formula>
    </cfRule>
    <cfRule type="expression" dxfId="708" priority="20" stopIfTrue="1">
      <formula>MOD(ROW(),2)&lt;&gt;0</formula>
    </cfRule>
  </conditionalFormatting>
  <conditionalFormatting sqref="B26:C82">
    <cfRule type="expression" dxfId="707" priority="7" stopIfTrue="1">
      <formula>MOD(ROW(),2)=0</formula>
    </cfRule>
    <cfRule type="expression" dxfId="706" priority="8" stopIfTrue="1">
      <formula>MOD(ROW(),2)&lt;&gt;0</formula>
    </cfRule>
  </conditionalFormatting>
  <hyperlinks>
    <hyperlink ref="B24" location="Sheet1!A1" display="Assumptions" xr:uid="{BAC0E54C-72B2-4413-A270-31FB4420F08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4"/>
  <dimension ref="A1:I77"/>
  <sheetViews>
    <sheetView showGridLines="0" zoomScale="85" zoomScaleNormal="85" workbookViewId="0">
      <selection activeCell="A4" sqref="A4"/>
    </sheetView>
  </sheetViews>
  <sheetFormatPr defaultColWidth="10" defaultRowHeight="13.2" x14ac:dyDescent="0.25"/>
  <cols>
    <col min="1" max="1" width="31.5546875" style="27" customWidth="1"/>
    <col min="2" max="9" width="22.5546875" style="27" customWidth="1"/>
    <col min="10" max="10" width="10" style="27"/>
    <col min="11" max="11" width="31.5546875" style="27" customWidth="1"/>
    <col min="12" max="13" width="22.5546875" style="27" customWidth="1"/>
    <col min="14" max="15" width="10" style="27"/>
    <col min="16" max="16" width="31.5546875" style="27" customWidth="1"/>
    <col min="17" max="18" width="22.5546875" style="27" customWidth="1"/>
    <col min="19"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Scheme pays AA - x-610</v>
      </c>
      <c r="B3" s="42"/>
      <c r="C3" s="42"/>
      <c r="D3" s="42"/>
      <c r="E3" s="42"/>
      <c r="F3" s="42"/>
      <c r="G3" s="42"/>
      <c r="H3" s="42"/>
      <c r="I3" s="42"/>
    </row>
    <row r="4" spans="1:9" x14ac:dyDescent="0.25">
      <c r="A4" s="44"/>
    </row>
    <row r="6" spans="1:9" x14ac:dyDescent="0.25">
      <c r="A6" s="87" t="s">
        <v>290</v>
      </c>
      <c r="B6" s="185" t="s">
        <v>291</v>
      </c>
      <c r="C6" s="185"/>
      <c r="D6" s="185"/>
      <c r="E6" s="185"/>
      <c r="F6" s="185"/>
      <c r="G6" s="185"/>
      <c r="H6" s="185"/>
      <c r="I6" s="185"/>
    </row>
    <row r="7" spans="1:9" x14ac:dyDescent="0.25">
      <c r="A7" s="81" t="s">
        <v>804</v>
      </c>
      <c r="B7" s="185" t="s">
        <v>324</v>
      </c>
      <c r="C7" s="185"/>
      <c r="D7" s="185"/>
      <c r="E7" s="185"/>
      <c r="F7" s="185"/>
      <c r="G7" s="185"/>
      <c r="H7" s="185"/>
      <c r="I7" s="185"/>
    </row>
    <row r="8" spans="1:9" x14ac:dyDescent="0.25">
      <c r="A8" s="81" t="s">
        <v>805</v>
      </c>
      <c r="B8" s="185" t="s">
        <v>85</v>
      </c>
      <c r="C8" s="185"/>
      <c r="D8" s="185"/>
      <c r="E8" s="185"/>
      <c r="F8" s="185"/>
      <c r="G8" s="185"/>
      <c r="H8" s="185"/>
      <c r="I8" s="185"/>
    </row>
    <row r="9" spans="1:9" x14ac:dyDescent="0.25">
      <c r="A9" s="81" t="s">
        <v>296</v>
      </c>
      <c r="B9" s="185" t="s">
        <v>514</v>
      </c>
      <c r="C9" s="185"/>
      <c r="D9" s="185"/>
      <c r="E9" s="185"/>
      <c r="F9" s="185"/>
      <c r="G9" s="185"/>
      <c r="H9" s="185"/>
      <c r="I9" s="185"/>
    </row>
    <row r="10" spans="1:9" x14ac:dyDescent="0.25">
      <c r="A10" s="81" t="s">
        <v>6</v>
      </c>
      <c r="B10" s="185" t="s">
        <v>545</v>
      </c>
      <c r="C10" s="185"/>
      <c r="D10" s="185"/>
      <c r="E10" s="185"/>
      <c r="F10" s="185"/>
      <c r="G10" s="185"/>
      <c r="H10" s="185"/>
      <c r="I10" s="185"/>
    </row>
    <row r="11" spans="1:9" x14ac:dyDescent="0.25">
      <c r="A11" s="81" t="s">
        <v>299</v>
      </c>
      <c r="B11" s="185" t="s">
        <v>327</v>
      </c>
      <c r="C11" s="185"/>
      <c r="D11" s="185"/>
      <c r="E11" s="185"/>
      <c r="F11" s="185"/>
      <c r="G11" s="185"/>
      <c r="H11" s="185"/>
      <c r="I11" s="185"/>
    </row>
    <row r="12" spans="1:9" x14ac:dyDescent="0.25">
      <c r="A12" s="81" t="s">
        <v>301</v>
      </c>
      <c r="B12" s="185" t="s">
        <v>536</v>
      </c>
      <c r="C12" s="185"/>
      <c r="D12" s="185"/>
      <c r="E12" s="185"/>
      <c r="F12" s="185"/>
      <c r="G12" s="185"/>
      <c r="H12" s="185"/>
      <c r="I12" s="185"/>
    </row>
    <row r="13" spans="1:9" x14ac:dyDescent="0.25">
      <c r="A13" s="81" t="s">
        <v>806</v>
      </c>
      <c r="B13" s="185">
        <v>0</v>
      </c>
      <c r="C13" s="185"/>
      <c r="D13" s="185"/>
      <c r="E13" s="185"/>
      <c r="F13" s="185"/>
      <c r="G13" s="185"/>
      <c r="H13" s="185"/>
      <c r="I13" s="185"/>
    </row>
    <row r="14" spans="1:9" x14ac:dyDescent="0.25">
      <c r="A14" s="81" t="s">
        <v>305</v>
      </c>
      <c r="B14" s="185">
        <v>610</v>
      </c>
      <c r="C14" s="185"/>
      <c r="D14" s="185"/>
      <c r="E14" s="185"/>
      <c r="F14" s="185"/>
      <c r="G14" s="185"/>
      <c r="H14" s="185"/>
      <c r="I14" s="185"/>
    </row>
    <row r="15" spans="1:9" x14ac:dyDescent="0.25">
      <c r="A15" s="81" t="s">
        <v>307</v>
      </c>
      <c r="B15" s="185" t="s">
        <v>546</v>
      </c>
      <c r="C15" s="185"/>
      <c r="D15" s="185"/>
      <c r="E15" s="185"/>
      <c r="F15" s="185"/>
      <c r="G15" s="185"/>
      <c r="H15" s="185"/>
      <c r="I15" s="185"/>
    </row>
    <row r="16" spans="1:9" x14ac:dyDescent="0.25">
      <c r="A16" s="81" t="s">
        <v>825</v>
      </c>
      <c r="B16" s="185" t="s">
        <v>533</v>
      </c>
      <c r="C16" s="185"/>
      <c r="D16" s="185"/>
      <c r="E16" s="185"/>
      <c r="F16" s="185"/>
      <c r="G16" s="185"/>
      <c r="H16" s="185"/>
      <c r="I16" s="185"/>
    </row>
    <row r="17" spans="1:9" x14ac:dyDescent="0.25">
      <c r="A17" s="81" t="s">
        <v>803</v>
      </c>
      <c r="B17" s="185"/>
      <c r="C17" s="185"/>
      <c r="D17" s="185"/>
      <c r="E17" s="185"/>
      <c r="F17" s="185"/>
      <c r="G17" s="185"/>
      <c r="H17" s="185"/>
      <c r="I17" s="185"/>
    </row>
    <row r="18" spans="1:9" x14ac:dyDescent="0.25">
      <c r="A18" s="81" t="s">
        <v>313</v>
      </c>
      <c r="B18" s="188">
        <v>45071</v>
      </c>
      <c r="C18" s="185"/>
      <c r="D18" s="185"/>
      <c r="E18" s="185"/>
      <c r="F18" s="185"/>
      <c r="G18" s="185"/>
      <c r="H18" s="185"/>
      <c r="I18" s="185"/>
    </row>
    <row r="19" spans="1:9" x14ac:dyDescent="0.25">
      <c r="A19" s="81" t="s">
        <v>315</v>
      </c>
      <c r="B19" s="188"/>
      <c r="C19" s="185"/>
      <c r="D19" s="185"/>
      <c r="E19" s="185"/>
      <c r="F19" s="185"/>
      <c r="G19" s="185"/>
      <c r="H19" s="185"/>
      <c r="I19" s="185"/>
    </row>
    <row r="20" spans="1:9" x14ac:dyDescent="0.25">
      <c r="A20" s="81" t="s">
        <v>317</v>
      </c>
      <c r="B20" s="185" t="s">
        <v>331</v>
      </c>
      <c r="C20" s="185"/>
      <c r="D20" s="185"/>
      <c r="E20" s="185"/>
      <c r="F20" s="185"/>
      <c r="G20" s="185"/>
      <c r="H20" s="185"/>
      <c r="I20" s="185"/>
    </row>
    <row r="21" spans="1:9" x14ac:dyDescent="0.25">
      <c r="A21" s="77" t="s">
        <v>323</v>
      </c>
      <c r="B21" s="185" t="s">
        <v>332</v>
      </c>
      <c r="C21" s="185"/>
      <c r="D21" s="185"/>
      <c r="E21" s="185"/>
      <c r="F21" s="185"/>
      <c r="G21" s="185"/>
      <c r="H21" s="185"/>
      <c r="I21" s="185"/>
    </row>
    <row r="23" spans="1:9" x14ac:dyDescent="0.25">
      <c r="B23" s="102" t="str">
        <f>HYPERLINK("#'Factor List'!A1","Back to Factor List")</f>
        <v>Back to Factor List</v>
      </c>
    </row>
    <row r="24" spans="1:9" x14ac:dyDescent="0.25">
      <c r="B24" s="102" t="s">
        <v>13</v>
      </c>
    </row>
    <row r="25" spans="1:9" x14ac:dyDescent="0.25">
      <c r="B25" s="102"/>
    </row>
    <row r="26" spans="1:9" x14ac:dyDescent="0.25">
      <c r="A26" s="125" t="s">
        <v>948</v>
      </c>
      <c r="B26" s="125" t="s">
        <v>932</v>
      </c>
      <c r="C26" s="125" t="s">
        <v>934</v>
      </c>
      <c r="D26" s="125" t="s">
        <v>936</v>
      </c>
      <c r="E26" s="125" t="s">
        <v>938</v>
      </c>
      <c r="F26" s="125" t="s">
        <v>933</v>
      </c>
      <c r="G26" s="125" t="s">
        <v>935</v>
      </c>
      <c r="H26" s="125" t="s">
        <v>937</v>
      </c>
      <c r="I26" s="125" t="s">
        <v>939</v>
      </c>
    </row>
    <row r="27" spans="1:9" x14ac:dyDescent="0.25">
      <c r="A27" s="126">
        <v>0</v>
      </c>
      <c r="B27" s="127">
        <v>1</v>
      </c>
      <c r="C27" s="127">
        <v>1</v>
      </c>
      <c r="D27" s="127">
        <v>1</v>
      </c>
      <c r="E27" s="127">
        <v>1</v>
      </c>
      <c r="F27" s="127">
        <v>1</v>
      </c>
      <c r="G27" s="127">
        <v>1</v>
      </c>
      <c r="H27" s="127">
        <v>1</v>
      </c>
      <c r="I27" s="127">
        <v>1</v>
      </c>
    </row>
    <row r="28" spans="1:9" x14ac:dyDescent="0.25">
      <c r="A28" s="126">
        <v>1</v>
      </c>
      <c r="B28" s="127">
        <v>0.94799999999999995</v>
      </c>
      <c r="C28" s="127">
        <v>0.94699999999999995</v>
      </c>
      <c r="D28" s="127">
        <v>0.94499999999999995</v>
      </c>
      <c r="E28" s="127">
        <v>0.94299999999999995</v>
      </c>
      <c r="F28" s="127">
        <v>0.94799999999999995</v>
      </c>
      <c r="G28" s="127">
        <v>0.94699999999999995</v>
      </c>
      <c r="H28" s="127">
        <v>0.94499999999999995</v>
      </c>
      <c r="I28" s="127">
        <v>0.94299999999999995</v>
      </c>
    </row>
    <row r="29" spans="1:9" x14ac:dyDescent="0.25">
      <c r="A29" s="126">
        <v>2</v>
      </c>
      <c r="B29" s="127">
        <v>0.90100000000000002</v>
      </c>
      <c r="C29" s="127">
        <v>0.89800000000000002</v>
      </c>
      <c r="D29" s="127">
        <v>0.89500000000000002</v>
      </c>
      <c r="E29" s="127">
        <v>0.89100000000000001</v>
      </c>
      <c r="F29" s="127">
        <v>0.90100000000000002</v>
      </c>
      <c r="G29" s="127">
        <v>0.89800000000000002</v>
      </c>
      <c r="H29" s="127">
        <v>0.89500000000000002</v>
      </c>
      <c r="I29" s="127">
        <v>0.89100000000000001</v>
      </c>
    </row>
    <row r="30" spans="1:9" x14ac:dyDescent="0.25">
      <c r="A30" s="126">
        <v>3</v>
      </c>
      <c r="B30" s="127">
        <v>0.85799999999999998</v>
      </c>
      <c r="C30" s="127">
        <v>0.85299999999999998</v>
      </c>
      <c r="D30" s="127">
        <v>0.84899999999999998</v>
      </c>
      <c r="E30" s="127">
        <v>0.84399999999999997</v>
      </c>
      <c r="F30" s="127">
        <v>0.85799999999999998</v>
      </c>
      <c r="G30" s="127">
        <v>0.85299999999999998</v>
      </c>
      <c r="H30" s="127">
        <v>0.84899999999999998</v>
      </c>
      <c r="I30" s="127">
        <v>0.84399999999999997</v>
      </c>
    </row>
    <row r="31" spans="1:9" x14ac:dyDescent="0.25">
      <c r="A31" s="126">
        <v>4</v>
      </c>
      <c r="B31" s="127">
        <v>0.81799999999999995</v>
      </c>
      <c r="C31" s="127">
        <v>0.81200000000000006</v>
      </c>
      <c r="D31" s="127">
        <v>0.80700000000000005</v>
      </c>
      <c r="E31" s="127">
        <v>0.80100000000000005</v>
      </c>
      <c r="F31" s="127">
        <v>0.81799999999999995</v>
      </c>
      <c r="G31" s="127">
        <v>0.81200000000000006</v>
      </c>
      <c r="H31" s="127">
        <v>0.80700000000000005</v>
      </c>
      <c r="I31" s="127">
        <v>0.80100000000000005</v>
      </c>
    </row>
    <row r="32" spans="1:9" x14ac:dyDescent="0.25">
      <c r="A32" s="126">
        <v>5</v>
      </c>
      <c r="B32" s="127">
        <v>0.78100000000000003</v>
      </c>
      <c r="C32" s="127">
        <v>0.77400000000000002</v>
      </c>
      <c r="D32" s="127">
        <v>0.76800000000000002</v>
      </c>
      <c r="E32" s="127">
        <v>0.76100000000000001</v>
      </c>
      <c r="F32" s="127">
        <v>0.78100000000000003</v>
      </c>
      <c r="G32" s="127">
        <v>0.77400000000000002</v>
      </c>
      <c r="H32" s="127">
        <v>0.76800000000000002</v>
      </c>
      <c r="I32" s="127">
        <v>0.76100000000000001</v>
      </c>
    </row>
    <row r="33" spans="1:9" x14ac:dyDescent="0.25">
      <c r="A33" s="126">
        <v>6</v>
      </c>
      <c r="B33" s="127">
        <v>0.746</v>
      </c>
      <c r="C33" s="127">
        <v>0.74</v>
      </c>
      <c r="D33" s="127">
        <v>0.73199999999999998</v>
      </c>
      <c r="E33" s="127">
        <v>0.72499999999999998</v>
      </c>
      <c r="F33" s="127">
        <v>0.746</v>
      </c>
      <c r="G33" s="127">
        <v>0.74</v>
      </c>
      <c r="H33" s="127">
        <v>0.73199999999999998</v>
      </c>
      <c r="I33" s="127">
        <v>0.72499999999999998</v>
      </c>
    </row>
    <row r="34" spans="1:9" x14ac:dyDescent="0.25">
      <c r="A34" s="126">
        <v>7</v>
      </c>
      <c r="B34" s="127">
        <v>0.71399999999999997</v>
      </c>
      <c r="C34" s="127">
        <v>0.70699999999999996</v>
      </c>
      <c r="D34" s="127">
        <v>0.69899999999999995</v>
      </c>
      <c r="E34" s="127">
        <v>0.69099999999999995</v>
      </c>
      <c r="F34" s="127">
        <v>0.71399999999999997</v>
      </c>
      <c r="G34" s="127">
        <v>0.70699999999999996</v>
      </c>
      <c r="H34" s="127">
        <v>0.69899999999999995</v>
      </c>
      <c r="I34" s="127">
        <v>0.69099999999999995</v>
      </c>
    </row>
    <row r="35" spans="1:9" x14ac:dyDescent="0.25">
      <c r="A35" s="126">
        <v>8</v>
      </c>
      <c r="B35" s="127">
        <v>0.68500000000000005</v>
      </c>
      <c r="C35" s="127">
        <v>0.67700000000000005</v>
      </c>
      <c r="D35" s="127">
        <v>0.66900000000000004</v>
      </c>
      <c r="E35" s="127">
        <v>0.66</v>
      </c>
      <c r="F35" s="127">
        <v>0.68500000000000005</v>
      </c>
      <c r="G35" s="127">
        <v>0.67700000000000005</v>
      </c>
      <c r="H35" s="127">
        <v>0.66900000000000004</v>
      </c>
      <c r="I35" s="127">
        <v>0.66</v>
      </c>
    </row>
    <row r="36" spans="1:9" x14ac:dyDescent="0.25">
      <c r="A36" s="126">
        <v>9</v>
      </c>
      <c r="B36" s="127">
        <v>0.65700000000000003</v>
      </c>
      <c r="C36" s="127">
        <v>0.64900000000000002</v>
      </c>
      <c r="D36" s="127">
        <v>0.64100000000000001</v>
      </c>
      <c r="E36" s="127">
        <v>0.63200000000000001</v>
      </c>
      <c r="F36" s="127">
        <v>0.65700000000000003</v>
      </c>
      <c r="G36" s="127">
        <v>0.64900000000000002</v>
      </c>
      <c r="H36" s="127">
        <v>0.64100000000000001</v>
      </c>
      <c r="I36" s="127">
        <v>0.63200000000000001</v>
      </c>
    </row>
    <row r="37" spans="1:9" x14ac:dyDescent="0.25">
      <c r="A37" s="126">
        <v>10</v>
      </c>
      <c r="B37" s="127">
        <v>0.63100000000000001</v>
      </c>
      <c r="C37" s="127">
        <v>0.623</v>
      </c>
      <c r="D37" s="127">
        <v>0.61399999999999999</v>
      </c>
      <c r="E37" s="127">
        <v>0.60499999999999998</v>
      </c>
      <c r="F37" s="127">
        <v>0.63100000000000001</v>
      </c>
      <c r="G37" s="127">
        <v>0.623</v>
      </c>
      <c r="H37" s="127">
        <v>0.61399999999999999</v>
      </c>
      <c r="I37" s="127">
        <v>0.60499999999999998</v>
      </c>
    </row>
    <row r="38" spans="1:9" x14ac:dyDescent="0.25">
      <c r="A38" s="126">
        <v>11</v>
      </c>
      <c r="B38" s="127">
        <v>0.60699999999999998</v>
      </c>
      <c r="C38" s="127">
        <v>0.59899999999999998</v>
      </c>
      <c r="D38" s="127">
        <v>0.59</v>
      </c>
      <c r="E38" s="127">
        <v>0.57999999999999996</v>
      </c>
      <c r="F38" s="127">
        <v>0.60699999999999998</v>
      </c>
      <c r="G38" s="127">
        <v>0.59899999999999998</v>
      </c>
      <c r="H38" s="127">
        <v>0.59</v>
      </c>
      <c r="I38" s="127">
        <v>0.57999999999999996</v>
      </c>
    </row>
    <row r="39" spans="1:9" x14ac:dyDescent="0.25">
      <c r="A39" s="126">
        <v>12</v>
      </c>
      <c r="B39" s="127">
        <v>0.58399999999999996</v>
      </c>
      <c r="C39" s="127">
        <v>0.57599999999999996</v>
      </c>
      <c r="D39" s="127">
        <v>0.56699999999999995</v>
      </c>
      <c r="E39" s="127">
        <v>0.55700000000000005</v>
      </c>
      <c r="F39" s="127">
        <v>0.58399999999999996</v>
      </c>
      <c r="G39" s="127">
        <v>0.57599999999999996</v>
      </c>
      <c r="H39" s="127">
        <v>0.56699999999999995</v>
      </c>
      <c r="I39" s="127">
        <v>0.55700000000000005</v>
      </c>
    </row>
    <row r="40" spans="1:9" x14ac:dyDescent="0.25">
      <c r="A40" s="126">
        <v>13</v>
      </c>
      <c r="B40" s="127">
        <v>0.56299999999999994</v>
      </c>
      <c r="C40" s="127">
        <v>0.55400000000000005</v>
      </c>
      <c r="D40" s="127">
        <v>0.54500000000000004</v>
      </c>
      <c r="E40" s="127">
        <v>0.53500000000000003</v>
      </c>
      <c r="F40" s="127">
        <v>0.56299999999999994</v>
      </c>
      <c r="G40" s="127">
        <v>0.55400000000000005</v>
      </c>
      <c r="H40" s="127">
        <v>0.54500000000000004</v>
      </c>
      <c r="I40" s="127">
        <v>0.53500000000000003</v>
      </c>
    </row>
    <row r="41" spans="1:9" x14ac:dyDescent="0.25">
      <c r="A41" s="126">
        <v>14</v>
      </c>
      <c r="B41" s="127">
        <v>0.54300000000000004</v>
      </c>
      <c r="C41" s="127">
        <v>0.53400000000000003</v>
      </c>
      <c r="D41" s="127">
        <v>0.52500000000000002</v>
      </c>
      <c r="E41" s="127">
        <v>0.51500000000000001</v>
      </c>
      <c r="F41" s="127">
        <v>0.54300000000000004</v>
      </c>
      <c r="G41" s="127">
        <v>0.53400000000000003</v>
      </c>
      <c r="H41" s="127">
        <v>0.52500000000000002</v>
      </c>
      <c r="I41" s="127">
        <v>0.51500000000000001</v>
      </c>
    </row>
    <row r="42" spans="1:9" x14ac:dyDescent="0.25">
      <c r="A42" s="126">
        <v>15</v>
      </c>
      <c r="B42" s="127">
        <v>0.52400000000000002</v>
      </c>
      <c r="C42" s="127">
        <v>0.51500000000000001</v>
      </c>
      <c r="D42" s="127">
        <v>0.50600000000000001</v>
      </c>
      <c r="E42" s="127">
        <v>0.496</v>
      </c>
      <c r="F42" s="127">
        <v>0.52400000000000002</v>
      </c>
      <c r="G42" s="127">
        <v>0.51500000000000001</v>
      </c>
      <c r="H42" s="127">
        <v>0.50600000000000001</v>
      </c>
      <c r="I42" s="127">
        <v>0.496</v>
      </c>
    </row>
    <row r="43" spans="1:9" x14ac:dyDescent="0.25">
      <c r="A43" s="126">
        <v>16</v>
      </c>
      <c r="B43" s="127">
        <v>0.50600000000000001</v>
      </c>
      <c r="C43" s="127">
        <v>0.497</v>
      </c>
      <c r="D43" s="127">
        <v>0.48799999999999999</v>
      </c>
      <c r="E43" s="127">
        <v>0.47799999999999998</v>
      </c>
      <c r="F43" s="127">
        <v>0.50600000000000001</v>
      </c>
      <c r="G43" s="127">
        <v>0.497</v>
      </c>
      <c r="H43" s="127">
        <v>0.48799999999999999</v>
      </c>
      <c r="I43" s="127">
        <v>0.47799999999999998</v>
      </c>
    </row>
    <row r="44" spans="1:9" x14ac:dyDescent="0.25">
      <c r="A44" s="126">
        <v>17</v>
      </c>
      <c r="B44" s="127">
        <v>0.48899999999999999</v>
      </c>
      <c r="C44" s="127">
        <v>0.48</v>
      </c>
      <c r="D44" s="127">
        <v>0.47099999999999997</v>
      </c>
      <c r="E44" s="127">
        <v>0.46100000000000002</v>
      </c>
      <c r="F44" s="127">
        <v>0.48899999999999999</v>
      </c>
      <c r="G44" s="127">
        <v>0.48</v>
      </c>
      <c r="H44" s="127">
        <v>0.47099999999999997</v>
      </c>
      <c r="I44" s="127">
        <v>0.46100000000000002</v>
      </c>
    </row>
    <row r="45" spans="1:9" x14ac:dyDescent="0.25">
      <c r="A45" s="126">
        <v>18</v>
      </c>
      <c r="B45" s="127">
        <v>0.47299999999999998</v>
      </c>
      <c r="C45" s="127">
        <v>0.46400000000000002</v>
      </c>
      <c r="D45" s="127">
        <v>0.45500000000000002</v>
      </c>
      <c r="E45" s="127">
        <v>0.44600000000000001</v>
      </c>
      <c r="F45" s="127">
        <v>0.47299999999999998</v>
      </c>
      <c r="G45" s="127">
        <v>0.46400000000000002</v>
      </c>
      <c r="H45" s="127">
        <v>0.45500000000000002</v>
      </c>
      <c r="I45" s="127">
        <v>0.44600000000000001</v>
      </c>
    </row>
    <row r="46" spans="1:9" x14ac:dyDescent="0.25">
      <c r="A46" s="126">
        <v>19</v>
      </c>
      <c r="B46" s="127">
        <v>0.45800000000000002</v>
      </c>
      <c r="C46" s="127">
        <v>0.44900000000000001</v>
      </c>
      <c r="D46" s="127">
        <v>0.44</v>
      </c>
      <c r="E46" s="127">
        <v>0.43099999999999999</v>
      </c>
      <c r="F46" s="127">
        <v>0.45800000000000002</v>
      </c>
      <c r="G46" s="127">
        <v>0.44900000000000001</v>
      </c>
      <c r="H46" s="127">
        <v>0.44</v>
      </c>
      <c r="I46" s="127">
        <v>0.43099999999999999</v>
      </c>
    </row>
    <row r="47" spans="1:9" x14ac:dyDescent="0.25">
      <c r="A47" s="126">
        <v>20</v>
      </c>
      <c r="B47" s="127">
        <v>0.44400000000000001</v>
      </c>
      <c r="C47" s="127">
        <v>0.435</v>
      </c>
      <c r="D47" s="127">
        <v>0.42599999999999999</v>
      </c>
      <c r="E47" s="127">
        <v>0.41599999999999998</v>
      </c>
      <c r="F47" s="127">
        <v>0.44400000000000001</v>
      </c>
      <c r="G47" s="127">
        <v>0.435</v>
      </c>
      <c r="H47" s="127">
        <v>0.42599999999999999</v>
      </c>
      <c r="I47" s="127">
        <v>0.41599999999999998</v>
      </c>
    </row>
    <row r="48" spans="1:9" x14ac:dyDescent="0.25">
      <c r="A48" s="126">
        <v>21</v>
      </c>
      <c r="B48" s="127">
        <v>0.43</v>
      </c>
      <c r="C48" s="127">
        <v>0.42099999999999999</v>
      </c>
      <c r="D48" s="127">
        <v>0.41199999999999998</v>
      </c>
      <c r="E48" s="127">
        <v>0.40300000000000002</v>
      </c>
      <c r="F48" s="127">
        <v>0.43</v>
      </c>
      <c r="G48" s="127">
        <v>0.42099999999999999</v>
      </c>
      <c r="H48" s="127">
        <v>0.41199999999999998</v>
      </c>
      <c r="I48" s="127">
        <v>0.40300000000000002</v>
      </c>
    </row>
    <row r="49" spans="1:9" x14ac:dyDescent="0.25">
      <c r="A49" s="126">
        <v>22</v>
      </c>
      <c r="B49" s="127">
        <v>0.41699999999999998</v>
      </c>
      <c r="C49" s="127">
        <v>0.40799999999999997</v>
      </c>
      <c r="D49" s="127">
        <v>0.4</v>
      </c>
      <c r="E49" s="127">
        <v>0.39</v>
      </c>
      <c r="F49" s="127">
        <v>0.41699999999999998</v>
      </c>
      <c r="G49" s="127">
        <v>0.40799999999999997</v>
      </c>
      <c r="H49" s="127">
        <v>0.4</v>
      </c>
      <c r="I49" s="127">
        <v>0.39</v>
      </c>
    </row>
    <row r="50" spans="1:9" x14ac:dyDescent="0.25">
      <c r="A50" s="126">
        <v>23</v>
      </c>
      <c r="B50" s="127">
        <v>0.40500000000000003</v>
      </c>
      <c r="C50" s="127">
        <v>0.39600000000000002</v>
      </c>
      <c r="D50" s="127">
        <v>0.38700000000000001</v>
      </c>
      <c r="E50" s="127">
        <v>0.378</v>
      </c>
      <c r="F50" s="127">
        <v>0.40500000000000003</v>
      </c>
      <c r="G50" s="127">
        <v>0.39600000000000002</v>
      </c>
      <c r="H50" s="127">
        <v>0.38700000000000001</v>
      </c>
      <c r="I50" s="127">
        <v>0.378</v>
      </c>
    </row>
    <row r="51" spans="1:9" x14ac:dyDescent="0.25">
      <c r="A51" s="126">
        <v>24</v>
      </c>
      <c r="B51" s="127">
        <v>0.39300000000000002</v>
      </c>
      <c r="C51" s="127">
        <v>0.38400000000000001</v>
      </c>
      <c r="D51" s="127">
        <v>0.376</v>
      </c>
      <c r="E51" s="127">
        <v>0.36699999999999999</v>
      </c>
      <c r="F51" s="127">
        <v>0.39300000000000002</v>
      </c>
      <c r="G51" s="127">
        <v>0.38400000000000001</v>
      </c>
      <c r="H51" s="127">
        <v>0.376</v>
      </c>
      <c r="I51" s="127">
        <v>0.36699999999999999</v>
      </c>
    </row>
    <row r="52" spans="1:9" x14ac:dyDescent="0.25">
      <c r="A52" s="126">
        <v>25</v>
      </c>
      <c r="B52" s="127">
        <v>0.38200000000000001</v>
      </c>
      <c r="C52" s="127">
        <v>0.373</v>
      </c>
      <c r="D52" s="127">
        <v>0.36499999999999999</v>
      </c>
      <c r="E52" s="127">
        <v>0.35599999999999998</v>
      </c>
      <c r="F52" s="127">
        <v>0.38200000000000001</v>
      </c>
      <c r="G52" s="127">
        <v>0.373</v>
      </c>
      <c r="H52" s="127">
        <v>0.36499999999999999</v>
      </c>
      <c r="I52" s="127">
        <v>0.35599999999999998</v>
      </c>
    </row>
    <row r="53" spans="1:9" x14ac:dyDescent="0.25">
      <c r="A53" s="126">
        <v>26</v>
      </c>
      <c r="B53" s="127">
        <v>0.371</v>
      </c>
      <c r="C53" s="127">
        <v>0.36299999999999999</v>
      </c>
      <c r="D53" s="127">
        <v>0.35399999999999998</v>
      </c>
      <c r="E53" s="127">
        <v>0.34499999999999997</v>
      </c>
      <c r="F53" s="127">
        <v>0.371</v>
      </c>
      <c r="G53" s="127">
        <v>0.36299999999999999</v>
      </c>
      <c r="H53" s="127">
        <v>0.35399999999999998</v>
      </c>
      <c r="I53" s="127">
        <v>0.34499999999999997</v>
      </c>
    </row>
    <row r="54" spans="1:9" x14ac:dyDescent="0.25">
      <c r="A54" s="126">
        <v>27</v>
      </c>
      <c r="B54" s="127">
        <v>0.36</v>
      </c>
      <c r="C54" s="127">
        <v>0.35199999999999998</v>
      </c>
      <c r="D54" s="127">
        <v>0.34399999999999997</v>
      </c>
      <c r="E54" s="127">
        <v>0.33500000000000002</v>
      </c>
      <c r="F54" s="127">
        <v>0.36</v>
      </c>
      <c r="G54" s="127">
        <v>0.35199999999999998</v>
      </c>
      <c r="H54" s="127">
        <v>0.34399999999999997</v>
      </c>
      <c r="I54" s="127">
        <v>0.33500000000000002</v>
      </c>
    </row>
    <row r="55" spans="1:9" x14ac:dyDescent="0.25">
      <c r="A55" s="126">
        <v>28</v>
      </c>
      <c r="B55" s="127">
        <v>0.35099999999999998</v>
      </c>
      <c r="C55" s="127">
        <v>0.34300000000000003</v>
      </c>
      <c r="D55" s="127">
        <v>0.33400000000000002</v>
      </c>
      <c r="E55" s="127">
        <v>0.32600000000000001</v>
      </c>
      <c r="F55" s="127">
        <v>0.35099999999999998</v>
      </c>
      <c r="G55" s="127">
        <v>0.34300000000000003</v>
      </c>
      <c r="H55" s="127">
        <v>0.33400000000000002</v>
      </c>
      <c r="I55" s="127">
        <v>0.32600000000000001</v>
      </c>
    </row>
    <row r="56" spans="1:9" x14ac:dyDescent="0.25">
      <c r="A56" s="126">
        <v>29</v>
      </c>
      <c r="B56" s="127">
        <v>0.34100000000000003</v>
      </c>
      <c r="C56" s="127">
        <v>0.33300000000000002</v>
      </c>
      <c r="D56" s="127">
        <v>0.32500000000000001</v>
      </c>
      <c r="E56" s="127">
        <v>0.317</v>
      </c>
      <c r="F56" s="127">
        <v>0.34100000000000003</v>
      </c>
      <c r="G56" s="127">
        <v>0.33300000000000002</v>
      </c>
      <c r="H56" s="127">
        <v>0.32500000000000001</v>
      </c>
      <c r="I56" s="127">
        <v>0.317</v>
      </c>
    </row>
    <row r="57" spans="1:9" x14ac:dyDescent="0.25">
      <c r="A57" s="126">
        <v>30</v>
      </c>
      <c r="B57" s="127">
        <v>0.33200000000000002</v>
      </c>
      <c r="C57" s="127">
        <v>0.32400000000000001</v>
      </c>
      <c r="D57" s="127">
        <v>0.316</v>
      </c>
      <c r="E57" s="127">
        <v>0.308</v>
      </c>
      <c r="F57" s="127">
        <v>0.33200000000000002</v>
      </c>
      <c r="G57" s="127">
        <v>0.32400000000000001</v>
      </c>
      <c r="H57" s="127">
        <v>0.316</v>
      </c>
      <c r="I57" s="127">
        <v>0.308</v>
      </c>
    </row>
    <row r="58" spans="1:9" x14ac:dyDescent="0.25">
      <c r="A58" s="126">
        <v>31</v>
      </c>
      <c r="B58" s="127">
        <v>0.32300000000000001</v>
      </c>
      <c r="C58" s="127">
        <v>0.316</v>
      </c>
      <c r="D58" s="127">
        <v>0.308</v>
      </c>
      <c r="E58" s="127">
        <v>0.3</v>
      </c>
      <c r="F58" s="127">
        <v>0.32300000000000001</v>
      </c>
      <c r="G58" s="127">
        <v>0.316</v>
      </c>
      <c r="H58" s="127">
        <v>0.308</v>
      </c>
      <c r="I58" s="127">
        <v>0.3</v>
      </c>
    </row>
    <row r="59" spans="1:9" x14ac:dyDescent="0.25">
      <c r="A59" s="126">
        <v>32</v>
      </c>
      <c r="B59" s="127">
        <v>0.315</v>
      </c>
      <c r="C59" s="127">
        <v>0.307</v>
      </c>
      <c r="D59" s="127">
        <v>0.3</v>
      </c>
      <c r="E59" s="127">
        <v>0.29199999999999998</v>
      </c>
      <c r="F59" s="127">
        <v>0.315</v>
      </c>
      <c r="G59" s="127">
        <v>0.307</v>
      </c>
      <c r="H59" s="127">
        <v>0.3</v>
      </c>
      <c r="I59" s="127">
        <v>0.29199999999999998</v>
      </c>
    </row>
    <row r="60" spans="1:9" x14ac:dyDescent="0.25">
      <c r="A60" s="126">
        <v>33</v>
      </c>
      <c r="B60" s="127">
        <v>0.307</v>
      </c>
      <c r="C60" s="127">
        <v>0.3</v>
      </c>
      <c r="D60" s="127">
        <v>0.29199999999999998</v>
      </c>
      <c r="E60" s="127">
        <v>0.28399999999999997</v>
      </c>
      <c r="F60" s="127">
        <v>0.307</v>
      </c>
      <c r="G60" s="127">
        <v>0.3</v>
      </c>
      <c r="H60" s="127">
        <v>0.29199999999999998</v>
      </c>
      <c r="I60" s="127">
        <v>0.28399999999999997</v>
      </c>
    </row>
    <row r="61" spans="1:9" x14ac:dyDescent="0.25">
      <c r="A61" s="126">
        <v>34</v>
      </c>
      <c r="B61" s="127">
        <v>0.29899999999999999</v>
      </c>
      <c r="C61" s="127">
        <v>0.29199999999999998</v>
      </c>
      <c r="D61" s="127">
        <v>0.28499999999999998</v>
      </c>
      <c r="E61" s="127">
        <v>0.27700000000000002</v>
      </c>
      <c r="F61" s="127">
        <v>0.29899999999999999</v>
      </c>
      <c r="G61" s="127">
        <v>0.29199999999999998</v>
      </c>
      <c r="H61" s="127">
        <v>0.28499999999999998</v>
      </c>
      <c r="I61" s="127">
        <v>0.27700000000000002</v>
      </c>
    </row>
    <row r="62" spans="1:9" x14ac:dyDescent="0.25">
      <c r="A62" s="126">
        <v>35</v>
      </c>
      <c r="B62" s="127">
        <v>0.29199999999999998</v>
      </c>
      <c r="C62" s="127">
        <v>0.28499999999999998</v>
      </c>
      <c r="D62" s="127">
        <v>0.27700000000000002</v>
      </c>
      <c r="E62" s="127">
        <v>0.27</v>
      </c>
      <c r="F62" s="127">
        <v>0.29199999999999998</v>
      </c>
      <c r="G62" s="127">
        <v>0.28499999999999998</v>
      </c>
      <c r="H62" s="127">
        <v>0.27700000000000002</v>
      </c>
      <c r="I62" s="127">
        <v>0.27</v>
      </c>
    </row>
    <row r="63" spans="1:9" x14ac:dyDescent="0.25">
      <c r="A63" s="126">
        <v>36</v>
      </c>
      <c r="B63" s="127">
        <v>0.28499999999999998</v>
      </c>
      <c r="C63" s="127">
        <v>0.27800000000000002</v>
      </c>
      <c r="D63" s="127">
        <v>0.27</v>
      </c>
      <c r="E63" s="127">
        <v>0.26300000000000001</v>
      </c>
      <c r="F63" s="127">
        <v>0.28499999999999998</v>
      </c>
      <c r="G63" s="127">
        <v>0.27800000000000002</v>
      </c>
      <c r="H63" s="127">
        <v>0.27</v>
      </c>
      <c r="I63" s="127">
        <v>0.26300000000000001</v>
      </c>
    </row>
    <row r="64" spans="1:9" x14ac:dyDescent="0.25">
      <c r="A64" s="126">
        <v>37</v>
      </c>
      <c r="B64" s="127">
        <v>0.27800000000000002</v>
      </c>
      <c r="C64" s="127">
        <v>0.27100000000000002</v>
      </c>
      <c r="D64" s="127">
        <v>0.26400000000000001</v>
      </c>
      <c r="E64" s="127">
        <v>0.25600000000000001</v>
      </c>
      <c r="F64" s="127">
        <v>0.27800000000000002</v>
      </c>
      <c r="G64" s="127">
        <v>0.27100000000000002</v>
      </c>
      <c r="H64" s="127">
        <v>0.26400000000000001</v>
      </c>
      <c r="I64" s="127">
        <v>0.25600000000000001</v>
      </c>
    </row>
    <row r="65" spans="1:9" x14ac:dyDescent="0.25">
      <c r="A65" s="126">
        <v>38</v>
      </c>
      <c r="B65" s="127">
        <v>0.27100000000000002</v>
      </c>
      <c r="C65" s="127">
        <v>0.26400000000000001</v>
      </c>
      <c r="D65" s="127">
        <v>0.25700000000000001</v>
      </c>
      <c r="E65" s="127">
        <v>0.25</v>
      </c>
      <c r="F65" s="127">
        <v>0.27100000000000002</v>
      </c>
      <c r="G65" s="127">
        <v>0.26400000000000001</v>
      </c>
      <c r="H65" s="127">
        <v>0.25700000000000001</v>
      </c>
      <c r="I65" s="127">
        <v>0.25</v>
      </c>
    </row>
    <row r="66" spans="1:9" x14ac:dyDescent="0.25">
      <c r="A66" s="126">
        <v>39</v>
      </c>
      <c r="B66" s="127">
        <v>0.26400000000000001</v>
      </c>
      <c r="C66" s="127">
        <v>0.25800000000000001</v>
      </c>
      <c r="D66" s="127">
        <v>0.251</v>
      </c>
      <c r="E66" s="127">
        <v>0.24399999999999999</v>
      </c>
      <c r="F66" s="127">
        <v>0.26400000000000001</v>
      </c>
      <c r="G66" s="127">
        <v>0.25800000000000001</v>
      </c>
      <c r="H66" s="127">
        <v>0.251</v>
      </c>
      <c r="I66" s="127">
        <v>0.24399999999999999</v>
      </c>
    </row>
    <row r="67" spans="1:9" x14ac:dyDescent="0.25">
      <c r="A67" s="126">
        <v>40</v>
      </c>
      <c r="B67" s="127">
        <v>0.25800000000000001</v>
      </c>
      <c r="C67" s="127">
        <v>0.252</v>
      </c>
      <c r="D67" s="127">
        <v>0.245</v>
      </c>
      <c r="E67" s="127">
        <v>0.23799999999999999</v>
      </c>
      <c r="F67" s="127">
        <v>0.25800000000000001</v>
      </c>
      <c r="G67" s="127">
        <v>0.252</v>
      </c>
      <c r="H67" s="127">
        <v>0.245</v>
      </c>
      <c r="I67" s="127">
        <v>0.23799999999999999</v>
      </c>
    </row>
    <row r="68" spans="1:9" x14ac:dyDescent="0.25">
      <c r="A68" s="126">
        <v>41</v>
      </c>
      <c r="B68" s="127">
        <v>0.252</v>
      </c>
      <c r="C68" s="127">
        <v>0.246</v>
      </c>
      <c r="D68" s="127">
        <v>0.23899999999999999</v>
      </c>
      <c r="E68" s="127">
        <v>0.23300000000000001</v>
      </c>
      <c r="F68" s="127">
        <v>0.252</v>
      </c>
      <c r="G68" s="127">
        <v>0.246</v>
      </c>
      <c r="H68" s="127">
        <v>0.23899999999999999</v>
      </c>
      <c r="I68" s="127">
        <v>0.23300000000000001</v>
      </c>
    </row>
    <row r="69" spans="1:9" x14ac:dyDescent="0.25">
      <c r="A69" s="126">
        <v>42</v>
      </c>
      <c r="B69" s="127">
        <v>0.246</v>
      </c>
      <c r="C69" s="127">
        <v>0.24</v>
      </c>
      <c r="D69" s="127">
        <v>0.23400000000000001</v>
      </c>
      <c r="E69" s="127">
        <v>0.22700000000000001</v>
      </c>
      <c r="F69" s="127">
        <v>0.246</v>
      </c>
      <c r="G69" s="127">
        <v>0.24</v>
      </c>
      <c r="H69" s="127">
        <v>0.23400000000000001</v>
      </c>
      <c r="I69" s="127">
        <v>0.22700000000000001</v>
      </c>
    </row>
    <row r="70" spans="1:9" x14ac:dyDescent="0.25">
      <c r="A70" s="126">
        <v>43</v>
      </c>
      <c r="B70" s="127">
        <v>0.24099999999999999</v>
      </c>
      <c r="C70" s="127">
        <v>0.23499999999999999</v>
      </c>
      <c r="D70" s="127">
        <v>0.22800000000000001</v>
      </c>
      <c r="E70" s="127">
        <v>0.222</v>
      </c>
      <c r="F70" s="127">
        <v>0.24099999999999999</v>
      </c>
      <c r="G70" s="127">
        <v>0.23499999999999999</v>
      </c>
      <c r="H70" s="127">
        <v>0.22800000000000001</v>
      </c>
      <c r="I70" s="127">
        <v>0.222</v>
      </c>
    </row>
    <row r="71" spans="1:9" x14ac:dyDescent="0.25">
      <c r="A71" s="126">
        <v>44</v>
      </c>
      <c r="B71" s="127">
        <v>0.23499999999999999</v>
      </c>
      <c r="C71" s="127">
        <v>0.22900000000000001</v>
      </c>
      <c r="D71" s="127">
        <v>0.223</v>
      </c>
      <c r="E71" s="127">
        <v>0.217</v>
      </c>
      <c r="F71" s="127">
        <v>0.23499999999999999</v>
      </c>
      <c r="G71" s="127">
        <v>0.22900000000000001</v>
      </c>
      <c r="H71" s="127">
        <v>0.223</v>
      </c>
      <c r="I71" s="127">
        <v>0.217</v>
      </c>
    </row>
    <row r="72" spans="1:9" x14ac:dyDescent="0.25">
      <c r="A72" s="126">
        <v>45</v>
      </c>
      <c r="B72" s="127">
        <v>0.23</v>
      </c>
      <c r="C72" s="127">
        <v>0.224</v>
      </c>
      <c r="D72" s="127">
        <v>0.218</v>
      </c>
      <c r="E72" s="127">
        <v>0.21199999999999999</v>
      </c>
      <c r="F72" s="127">
        <v>0.23</v>
      </c>
      <c r="G72" s="127">
        <v>0.224</v>
      </c>
      <c r="H72" s="127">
        <v>0.218</v>
      </c>
      <c r="I72" s="127">
        <v>0.21199999999999999</v>
      </c>
    </row>
    <row r="73" spans="1:9" x14ac:dyDescent="0.25">
      <c r="A73" s="126">
        <v>46</v>
      </c>
      <c r="B73" s="127">
        <v>0.22500000000000001</v>
      </c>
      <c r="C73" s="127">
        <v>0.219</v>
      </c>
      <c r="D73" s="127">
        <v>0.21299999999999999</v>
      </c>
      <c r="E73" s="127">
        <v>0.20699999999999999</v>
      </c>
      <c r="F73" s="127">
        <v>0.22500000000000001</v>
      </c>
      <c r="G73" s="127">
        <v>0.219</v>
      </c>
      <c r="H73" s="127">
        <v>0.21299999999999999</v>
      </c>
      <c r="I73" s="127">
        <v>0.20699999999999999</v>
      </c>
    </row>
    <row r="74" spans="1:9" x14ac:dyDescent="0.25">
      <c r="A74" s="126">
        <v>47</v>
      </c>
      <c r="B74" s="127">
        <v>0.22</v>
      </c>
      <c r="C74" s="127">
        <v>0.214</v>
      </c>
      <c r="D74" s="127">
        <v>0.20899999999999999</v>
      </c>
      <c r="E74" s="127">
        <v>0.20300000000000001</v>
      </c>
      <c r="F74" s="127">
        <v>0.22</v>
      </c>
      <c r="G74" s="127">
        <v>0.214</v>
      </c>
      <c r="H74" s="127">
        <v>0.20899999999999999</v>
      </c>
      <c r="I74" s="127">
        <v>0.20300000000000001</v>
      </c>
    </row>
    <row r="75" spans="1:9" x14ac:dyDescent="0.25">
      <c r="A75" s="126">
        <v>48</v>
      </c>
      <c r="B75" s="127">
        <v>0.215</v>
      </c>
      <c r="C75" s="127">
        <v>0.21</v>
      </c>
      <c r="D75" s="127">
        <v>0.20399999999999999</v>
      </c>
      <c r="E75" s="127">
        <v>0.19800000000000001</v>
      </c>
      <c r="F75" s="127">
        <v>0.215</v>
      </c>
      <c r="G75" s="127">
        <v>0.21</v>
      </c>
      <c r="H75" s="127">
        <v>0.20399999999999999</v>
      </c>
      <c r="I75" s="127">
        <v>0.19800000000000001</v>
      </c>
    </row>
    <row r="76" spans="1:9" x14ac:dyDescent="0.25">
      <c r="A76" s="126">
        <v>49</v>
      </c>
      <c r="B76" s="127">
        <v>0.21099999999999999</v>
      </c>
      <c r="C76" s="127">
        <v>0.20499999999999999</v>
      </c>
      <c r="D76" s="127">
        <v>0.2</v>
      </c>
      <c r="E76" s="127">
        <v>0.19400000000000001</v>
      </c>
      <c r="F76" s="127">
        <v>0.21099999999999999</v>
      </c>
      <c r="G76" s="127">
        <v>0.20499999999999999</v>
      </c>
      <c r="H76" s="127">
        <v>0.2</v>
      </c>
      <c r="I76" s="127">
        <v>0.19400000000000001</v>
      </c>
    </row>
    <row r="77" spans="1:9" x14ac:dyDescent="0.25">
      <c r="A77" s="126">
        <v>50</v>
      </c>
      <c r="B77" s="127">
        <v>0.20707441860465114</v>
      </c>
      <c r="C77" s="127">
        <v>0.20100000000000001</v>
      </c>
      <c r="D77" s="127">
        <v>0.19500000000000001</v>
      </c>
      <c r="E77" s="127">
        <v>0.19</v>
      </c>
      <c r="F77" s="127">
        <v>0.20707441860465114</v>
      </c>
      <c r="G77" s="127">
        <v>0.20100000000000001</v>
      </c>
      <c r="H77" s="127">
        <v>0.19500000000000001</v>
      </c>
      <c r="I77" s="127">
        <v>0.19</v>
      </c>
    </row>
  </sheetData>
  <sheetProtection algorithmName="SHA-512" hashValue="gsoLSP7KfuNYPTIIStlYGrn88bCA/KNmtZL/EcvCdtXWrOd9jB3zX6h8+/taYC9kgPbBdP2zcEPtAQh+VUKY/g==" saltValue="7vS5FAm3C68bkoP/qMbf3w==" spinCount="100000" sheet="1" objects="1" scenarios="1"/>
  <conditionalFormatting sqref="A6:A21">
    <cfRule type="expression" dxfId="705" priority="1" stopIfTrue="1">
      <formula>MOD(ROW(),2)=0</formula>
    </cfRule>
    <cfRule type="expression" dxfId="704" priority="2" stopIfTrue="1">
      <formula>MOD(ROW(),2)&lt;&gt;0</formula>
    </cfRule>
  </conditionalFormatting>
  <conditionalFormatting sqref="A26:A77">
    <cfRule type="expression" dxfId="703" priority="5" stopIfTrue="1">
      <formula>MOD(ROW(),2)=0</formula>
    </cfRule>
    <cfRule type="expression" dxfId="702" priority="6" stopIfTrue="1">
      <formula>MOD(ROW(),2)&lt;&gt;0</formula>
    </cfRule>
  </conditionalFormatting>
  <conditionalFormatting sqref="B17:B21">
    <cfRule type="expression" dxfId="701" priority="13" stopIfTrue="1">
      <formula>MOD(ROW(),2)=0</formula>
    </cfRule>
    <cfRule type="expression" dxfId="700" priority="14" stopIfTrue="1">
      <formula>MOD(ROW(),2)&lt;&gt;0</formula>
    </cfRule>
  </conditionalFormatting>
  <conditionalFormatting sqref="B6:I21">
    <cfRule type="expression" dxfId="699" priority="23" stopIfTrue="1">
      <formula>MOD(ROW(),2)=0</formula>
    </cfRule>
    <cfRule type="expression" dxfId="698" priority="24" stopIfTrue="1">
      <formula>MOD(ROW(),2)&lt;&gt;0</formula>
    </cfRule>
  </conditionalFormatting>
  <conditionalFormatting sqref="B26:I77">
    <cfRule type="expression" dxfId="697" priority="7" stopIfTrue="1">
      <formula>MOD(ROW(),2)=0</formula>
    </cfRule>
    <cfRule type="expression" dxfId="696" priority="8" stopIfTrue="1">
      <formula>MOD(ROW(),2)&lt;&gt;0</formula>
    </cfRule>
  </conditionalFormatting>
  <conditionalFormatting sqref="F17:I17">
    <cfRule type="expression" dxfId="695" priority="27" stopIfTrue="1">
      <formula>MOD(ROW(),2)=0</formula>
    </cfRule>
    <cfRule type="expression" dxfId="694" priority="28" stopIfTrue="1">
      <formula>MOD(ROW(),2)&lt;&gt;0</formula>
    </cfRule>
  </conditionalFormatting>
  <hyperlinks>
    <hyperlink ref="B24" location="Sheet1!A1" display="Assumptions" xr:uid="{67CDB990-9F32-42B2-8A5E-AEFF69B1A00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5"/>
  <dimension ref="A1:I46"/>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Scheme pays AA LRF - x-611</v>
      </c>
      <c r="B3" s="42"/>
      <c r="C3" s="42"/>
      <c r="D3" s="42"/>
      <c r="E3" s="42"/>
      <c r="F3" s="42"/>
      <c r="G3" s="42"/>
      <c r="H3" s="42"/>
      <c r="I3" s="42"/>
    </row>
    <row r="4" spans="1:9" x14ac:dyDescent="0.25">
      <c r="A4" s="44"/>
    </row>
    <row r="6" spans="1:9" x14ac:dyDescent="0.25">
      <c r="A6" s="87" t="s">
        <v>290</v>
      </c>
      <c r="B6" s="185" t="s">
        <v>291</v>
      </c>
    </row>
    <row r="7" spans="1:9" ht="30.6" customHeight="1" x14ac:dyDescent="0.25">
      <c r="A7" s="81" t="s">
        <v>804</v>
      </c>
      <c r="B7" s="185" t="s">
        <v>324</v>
      </c>
    </row>
    <row r="8" spans="1:9" x14ac:dyDescent="0.25">
      <c r="A8" s="81" t="s">
        <v>805</v>
      </c>
      <c r="B8" s="185" t="s">
        <v>85</v>
      </c>
    </row>
    <row r="9" spans="1:9" x14ac:dyDescent="0.25">
      <c r="A9" s="81" t="s">
        <v>296</v>
      </c>
      <c r="B9" s="185" t="s">
        <v>534</v>
      </c>
    </row>
    <row r="10" spans="1:9" x14ac:dyDescent="0.25">
      <c r="A10" s="81" t="s">
        <v>6</v>
      </c>
      <c r="B10" s="185" t="s">
        <v>547</v>
      </c>
    </row>
    <row r="11" spans="1:9" x14ac:dyDescent="0.25">
      <c r="A11" s="81" t="s">
        <v>299</v>
      </c>
      <c r="B11" s="185" t="s">
        <v>364</v>
      </c>
    </row>
    <row r="12" spans="1:9" x14ac:dyDescent="0.25">
      <c r="A12" s="81" t="s">
        <v>301</v>
      </c>
      <c r="B12" s="185" t="s">
        <v>536</v>
      </c>
    </row>
    <row r="13" spans="1:9" x14ac:dyDescent="0.25">
      <c r="A13" s="81" t="s">
        <v>806</v>
      </c>
      <c r="B13" s="185">
        <v>0</v>
      </c>
    </row>
    <row r="14" spans="1:9" x14ac:dyDescent="0.25">
      <c r="A14" s="81" t="s">
        <v>305</v>
      </c>
      <c r="B14" s="185">
        <v>611</v>
      </c>
    </row>
    <row r="15" spans="1:9" x14ac:dyDescent="0.25">
      <c r="A15" s="81" t="s">
        <v>307</v>
      </c>
      <c r="B15" s="185" t="s">
        <v>548</v>
      </c>
    </row>
    <row r="16" spans="1:9" x14ac:dyDescent="0.25">
      <c r="A16" s="81" t="s">
        <v>825</v>
      </c>
      <c r="B16" s="185" t="s">
        <v>538</v>
      </c>
    </row>
    <row r="17" spans="1:2" ht="107.1" customHeight="1" x14ac:dyDescent="0.25">
      <c r="A17" s="81" t="s">
        <v>803</v>
      </c>
      <c r="B17" s="185"/>
    </row>
    <row r="18" spans="1:2" x14ac:dyDescent="0.25">
      <c r="A18" s="81" t="s">
        <v>313</v>
      </c>
      <c r="B18" s="188">
        <v>45071</v>
      </c>
    </row>
    <row r="19" spans="1:2" x14ac:dyDescent="0.25">
      <c r="A19" s="81" t="s">
        <v>315</v>
      </c>
      <c r="B19" s="188"/>
    </row>
    <row r="20" spans="1:2" x14ac:dyDescent="0.25">
      <c r="A20" s="81" t="s">
        <v>317</v>
      </c>
      <c r="B20" s="185" t="s">
        <v>331</v>
      </c>
    </row>
    <row r="21" spans="1:2" x14ac:dyDescent="0.25">
      <c r="A21" s="77" t="s">
        <v>323</v>
      </c>
      <c r="B21" s="185" t="s">
        <v>332</v>
      </c>
    </row>
    <row r="23" spans="1:2" x14ac:dyDescent="0.25">
      <c r="B23" s="102" t="str">
        <f>HYPERLINK("#'Factor List'!A1","Back to Factor List")</f>
        <v>Back to Factor List</v>
      </c>
    </row>
    <row r="24" spans="1:2" x14ac:dyDescent="0.25">
      <c r="B24" s="102" t="s">
        <v>13</v>
      </c>
    </row>
    <row r="25" spans="1:2" x14ac:dyDescent="0.25">
      <c r="B25" s="102"/>
    </row>
    <row r="26" spans="1:2" x14ac:dyDescent="0.25">
      <c r="A26" s="103" t="s">
        <v>949</v>
      </c>
      <c r="B26" s="103" t="s">
        <v>824</v>
      </c>
    </row>
    <row r="27" spans="1:2" x14ac:dyDescent="0.25">
      <c r="A27" s="104">
        <v>0</v>
      </c>
      <c r="B27" s="128">
        <v>1</v>
      </c>
    </row>
    <row r="28" spans="1:2" x14ac:dyDescent="0.25">
      <c r="A28" s="104">
        <v>1</v>
      </c>
      <c r="B28" s="128">
        <v>1.0549999999999999</v>
      </c>
    </row>
    <row r="29" spans="1:2" x14ac:dyDescent="0.25">
      <c r="A29" s="104">
        <v>2</v>
      </c>
      <c r="B29" s="128">
        <v>1.115</v>
      </c>
    </row>
    <row r="30" spans="1:2" x14ac:dyDescent="0.25">
      <c r="A30" s="104">
        <v>3</v>
      </c>
      <c r="B30" s="128">
        <v>1.18</v>
      </c>
    </row>
    <row r="31" spans="1:2" x14ac:dyDescent="0.25">
      <c r="A31" s="104">
        <v>4</v>
      </c>
      <c r="B31" s="128">
        <v>1.252</v>
      </c>
    </row>
    <row r="32" spans="1:2" x14ac:dyDescent="0.25">
      <c r="A32" s="104">
        <v>5</v>
      </c>
      <c r="B32" s="128">
        <v>1.3320000000000001</v>
      </c>
    </row>
    <row r="33" spans="1:2" x14ac:dyDescent="0.25">
      <c r="A33" s="104">
        <v>6</v>
      </c>
      <c r="B33" s="128">
        <v>1.419</v>
      </c>
    </row>
    <row r="34" spans="1:2" x14ac:dyDescent="0.25">
      <c r="A34" s="104">
        <v>7</v>
      </c>
      <c r="B34" s="128">
        <v>1.516</v>
      </c>
    </row>
    <row r="35" spans="1:2" x14ac:dyDescent="0.25">
      <c r="A35" s="104">
        <v>8</v>
      </c>
      <c r="B35" s="128">
        <v>1.6220000000000001</v>
      </c>
    </row>
    <row r="36" spans="1:2" x14ac:dyDescent="0.25">
      <c r="A36" s="104">
        <v>9</v>
      </c>
      <c r="B36" s="128">
        <v>1.738</v>
      </c>
    </row>
    <row r="37" spans="1:2" x14ac:dyDescent="0.25">
      <c r="A37" s="104">
        <v>10</v>
      </c>
      <c r="B37" s="128">
        <v>1.867</v>
      </c>
    </row>
    <row r="38" spans="1:2" x14ac:dyDescent="0.25">
      <c r="A38" s="104">
        <v>11</v>
      </c>
      <c r="B38" s="128">
        <v>2.0089999999999999</v>
      </c>
    </row>
    <row r="39" spans="1:2" x14ac:dyDescent="0.25">
      <c r="A39" s="104">
        <v>12</v>
      </c>
      <c r="B39" s="128">
        <v>2.1659999999999999</v>
      </c>
    </row>
    <row r="40" spans="1:2" x14ac:dyDescent="0.25">
      <c r="A40" s="104">
        <v>13</v>
      </c>
      <c r="B40" s="128">
        <v>2.3380000000000001</v>
      </c>
    </row>
    <row r="41" spans="1:2" x14ac:dyDescent="0.25">
      <c r="A41" s="104">
        <v>14</v>
      </c>
      <c r="B41" s="128">
        <v>2.5289999999999999</v>
      </c>
    </row>
    <row r="42" spans="1:2" x14ac:dyDescent="0.25">
      <c r="A42" s="104">
        <v>15</v>
      </c>
      <c r="B42" s="128">
        <v>2.7389999999999999</v>
      </c>
    </row>
    <row r="44" spans="1:2" ht="39.6" customHeight="1" x14ac:dyDescent="0.25"/>
    <row r="46" spans="1:2" ht="27.6" customHeight="1" x14ac:dyDescent="0.25"/>
  </sheetData>
  <sheetProtection algorithmName="SHA-512" hashValue="7sUhXO5/glaS3GXO+qDW+6f6oG0NcNm+4HFjgiO2wplJOqOqVUynoD+AgnO0PSs8T1rRjM8KEq2bhRVQPvYzUQ==" saltValue="jgEOy6rW2GPyxttVk+9kxQ==" spinCount="100000" sheet="1" objects="1" scenarios="1"/>
  <conditionalFormatting sqref="A6:A21">
    <cfRule type="expression" dxfId="693" priority="1" stopIfTrue="1">
      <formula>MOD(ROW(),2)=0</formula>
    </cfRule>
    <cfRule type="expression" dxfId="692" priority="2" stopIfTrue="1">
      <formula>MOD(ROW(),2)&lt;&gt;0</formula>
    </cfRule>
  </conditionalFormatting>
  <conditionalFormatting sqref="A26:A42">
    <cfRule type="expression" dxfId="691" priority="5" stopIfTrue="1">
      <formula>MOD(ROW(),2)=0</formula>
    </cfRule>
    <cfRule type="expression" dxfId="690" priority="6" stopIfTrue="1">
      <formula>MOD(ROW(),2)&lt;&gt;0</formula>
    </cfRule>
  </conditionalFormatting>
  <conditionalFormatting sqref="B6:B21">
    <cfRule type="expression" dxfId="689" priority="27" stopIfTrue="1">
      <formula>MOD(ROW(),2)=0</formula>
    </cfRule>
    <cfRule type="expression" dxfId="688" priority="28" stopIfTrue="1">
      <formula>MOD(ROW(),2)&lt;&gt;0</formula>
    </cfRule>
  </conditionalFormatting>
  <conditionalFormatting sqref="B17:B21">
    <cfRule type="expression" dxfId="687" priority="3" stopIfTrue="1">
      <formula>MOD(ROW(),2)=0</formula>
    </cfRule>
    <cfRule type="expression" dxfId="686" priority="4" stopIfTrue="1">
      <formula>MOD(ROW(),2)&lt;&gt;0</formula>
    </cfRule>
  </conditionalFormatting>
  <conditionalFormatting sqref="B26:B42">
    <cfRule type="expression" dxfId="685" priority="7" stopIfTrue="1">
      <formula>MOD(ROW(),2)=0</formula>
    </cfRule>
    <cfRule type="expression" dxfId="684" priority="8" stopIfTrue="1">
      <formula>MOD(ROW(),2)&lt;&gt;0</formula>
    </cfRule>
  </conditionalFormatting>
  <hyperlinks>
    <hyperlink ref="B24" location="Sheet1!A1" display="Assumptions" xr:uid="{E1BF3DA3-ED68-4EB7-9114-AA00BF968AB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W999"/>
  <sheetViews>
    <sheetView showGridLines="0" tabSelected="1" zoomScale="85" zoomScaleNormal="85" workbookViewId="0"/>
  </sheetViews>
  <sheetFormatPr defaultRowHeight="13.2" x14ac:dyDescent="0.25"/>
  <cols>
    <col min="1" max="4" width="17.21875" customWidth="1"/>
    <col min="5" max="5" width="50.6640625" customWidth="1"/>
    <col min="6" max="6" width="17.21875" customWidth="1"/>
    <col min="7" max="7" width="50.6640625" customWidth="1"/>
    <col min="8" max="10" width="17.21875" customWidth="1"/>
    <col min="11" max="11" width="30.6640625" customWidth="1"/>
    <col min="12" max="12" width="17.21875" style="80" customWidth="1"/>
    <col min="13" max="16" width="17.21875" customWidth="1"/>
    <col min="17" max="17" width="15.44140625" style="72" hidden="1" customWidth="1"/>
  </cols>
  <sheetData>
    <row r="1" spans="1:23" ht="21" x14ac:dyDescent="0.4">
      <c r="A1" s="4" t="s">
        <v>0</v>
      </c>
      <c r="B1" s="10"/>
      <c r="C1" s="10"/>
      <c r="D1" s="10"/>
      <c r="E1" s="10"/>
      <c r="F1" s="10"/>
      <c r="G1" s="10"/>
      <c r="H1" s="10"/>
      <c r="I1" s="10"/>
      <c r="J1" s="10"/>
      <c r="K1" s="10"/>
      <c r="L1" s="123"/>
      <c r="M1" s="10"/>
      <c r="N1" s="10"/>
      <c r="O1" s="10"/>
      <c r="P1" s="10"/>
      <c r="Q1"/>
    </row>
    <row r="2" spans="1:23" ht="15.6" x14ac:dyDescent="0.3">
      <c r="A2" s="11" t="str">
        <f>IF(title="&gt; Enter workbook title here","Enter workbook title in Cover sheet",title)</f>
        <v>Civil Service Pension Schemes - Consolidated Factor Spreadsheet</v>
      </c>
      <c r="B2" s="9"/>
      <c r="C2" s="9"/>
      <c r="D2" s="9"/>
      <c r="E2" s="9"/>
      <c r="F2" s="9"/>
      <c r="G2" s="9"/>
      <c r="H2" s="9"/>
      <c r="I2" s="9"/>
      <c r="J2" s="9"/>
      <c r="K2" s="9"/>
      <c r="L2" s="124"/>
      <c r="M2" s="9"/>
      <c r="N2" s="9"/>
      <c r="O2" s="9"/>
      <c r="P2" s="9"/>
      <c r="Q2"/>
    </row>
    <row r="3" spans="1:23" ht="15.6" x14ac:dyDescent="0.3">
      <c r="A3" s="6" t="s">
        <v>11</v>
      </c>
      <c r="B3" s="9"/>
      <c r="C3" s="9"/>
      <c r="D3" s="9"/>
      <c r="E3" s="9"/>
      <c r="F3" s="9"/>
      <c r="G3" s="9"/>
      <c r="H3" s="9"/>
      <c r="I3" s="9"/>
      <c r="J3" s="9"/>
      <c r="K3" s="9"/>
      <c r="L3" s="124"/>
      <c r="M3" s="9"/>
      <c r="N3" s="9"/>
      <c r="O3" s="9"/>
      <c r="P3" s="9"/>
      <c r="Q3"/>
    </row>
    <row r="4" spans="1:23" x14ac:dyDescent="0.25">
      <c r="A4" s="7"/>
      <c r="Q4"/>
    </row>
    <row r="5" spans="1:23" ht="12" customHeight="1" x14ac:dyDescent="0.25">
      <c r="L5"/>
      <c r="Q5"/>
    </row>
    <row r="6" spans="1:23" x14ac:dyDescent="0.25">
      <c r="L6"/>
      <c r="Q6"/>
    </row>
    <row r="7" spans="1:23" s="26" customFormat="1" ht="92.4" x14ac:dyDescent="0.25">
      <c r="A7" s="106" t="s">
        <v>320</v>
      </c>
      <c r="B7" s="106" t="s">
        <v>292</v>
      </c>
      <c r="C7" s="106" t="s">
        <v>294</v>
      </c>
      <c r="D7" s="106" t="s">
        <v>296</v>
      </c>
      <c r="E7" s="106" t="s">
        <v>6</v>
      </c>
      <c r="F7" s="106" t="s">
        <v>299</v>
      </c>
      <c r="G7" s="106" t="s">
        <v>301</v>
      </c>
      <c r="H7" s="106" t="s">
        <v>321</v>
      </c>
      <c r="I7" s="106" t="s">
        <v>305</v>
      </c>
      <c r="J7" s="106" t="s">
        <v>322</v>
      </c>
      <c r="K7" s="106" t="s">
        <v>309</v>
      </c>
      <c r="L7" s="106" t="s">
        <v>311</v>
      </c>
      <c r="M7" s="106" t="s">
        <v>313</v>
      </c>
      <c r="N7" s="106" t="s">
        <v>315</v>
      </c>
      <c r="O7" s="106" t="s">
        <v>317</v>
      </c>
      <c r="P7" s="106" t="s">
        <v>323</v>
      </c>
      <c r="Q7"/>
      <c r="R7"/>
      <c r="S7"/>
      <c r="T7"/>
      <c r="U7"/>
      <c r="V7"/>
      <c r="W7"/>
    </row>
    <row r="8" spans="1:23" ht="39.6" customHeight="1" x14ac:dyDescent="0.25">
      <c r="A8" s="189" t="str">
        <f ca="1">HYPERLINK(MID(CELL("filename",A1),FIND("[",CELL("filename",A1)),FIND("]",CELL("filename",A1)) - FIND("[",CELL("filename",A1)) + 1) &amp; "'x-201'!TABLE_CLIENT_1","x-201")</f>
        <v>x-201</v>
      </c>
      <c r="B8" s="121" t="s">
        <v>324</v>
      </c>
      <c r="C8" s="121" t="s">
        <v>85</v>
      </c>
      <c r="D8" s="121" t="s">
        <v>325</v>
      </c>
      <c r="E8" s="121" t="s">
        <v>326</v>
      </c>
      <c r="F8" s="121" t="s">
        <v>327</v>
      </c>
      <c r="G8" s="121" t="s">
        <v>328</v>
      </c>
      <c r="H8" s="121">
        <v>0</v>
      </c>
      <c r="I8" s="77">
        <v>201</v>
      </c>
      <c r="J8" t="s">
        <v>329</v>
      </c>
      <c r="K8" s="190" t="s">
        <v>330</v>
      </c>
      <c r="L8" s="190"/>
      <c r="M8" s="191">
        <v>45071</v>
      </c>
      <c r="N8" s="191"/>
      <c r="O8" s="121" t="s">
        <v>331</v>
      </c>
      <c r="P8" s="191" t="s">
        <v>332</v>
      </c>
      <c r="Q8"/>
    </row>
    <row r="9" spans="1:23" ht="39.6" customHeight="1" x14ac:dyDescent="0.25">
      <c r="A9" s="189" t="str">
        <f ca="1">HYPERLINK(MID(CELL("filename",A1),FIND("[",CELL("filename",A1)),FIND("]",CELL("filename",A1)) - FIND("[",CELL("filename",A1)) + 1) &amp; "'x-202'!TABLE_CLIENT_1","x-202")</f>
        <v>x-202</v>
      </c>
      <c r="B9" s="121" t="s">
        <v>324</v>
      </c>
      <c r="C9" s="121" t="s">
        <v>85</v>
      </c>
      <c r="D9" s="121" t="s">
        <v>325</v>
      </c>
      <c r="E9" s="121" t="s">
        <v>333</v>
      </c>
      <c r="F9" s="121" t="s">
        <v>327</v>
      </c>
      <c r="G9" s="121" t="s">
        <v>328</v>
      </c>
      <c r="H9" s="121">
        <v>0</v>
      </c>
      <c r="I9" s="77">
        <v>202</v>
      </c>
      <c r="J9" t="s">
        <v>334</v>
      </c>
      <c r="K9" s="190" t="s">
        <v>335</v>
      </c>
      <c r="L9" s="190"/>
      <c r="M9" s="191">
        <v>45071</v>
      </c>
      <c r="N9" s="191"/>
      <c r="O9" s="121" t="s">
        <v>331</v>
      </c>
      <c r="P9" s="191" t="s">
        <v>332</v>
      </c>
      <c r="Q9"/>
    </row>
    <row r="10" spans="1:23" ht="39.6" customHeight="1" x14ac:dyDescent="0.25">
      <c r="A10" s="189" t="str">
        <f ca="1">HYPERLINK(MID(CELL("filename",A1),FIND("[",CELL("filename",A1)),FIND("]",CELL("filename",A1)) - FIND("[",CELL("filename",A1)) + 1) &amp; "'x-203'!TABLE_CLIENT_1","x-203")</f>
        <v>x-203</v>
      </c>
      <c r="B10" s="121" t="s">
        <v>324</v>
      </c>
      <c r="C10" s="121" t="s">
        <v>85</v>
      </c>
      <c r="D10" s="121" t="s">
        <v>325</v>
      </c>
      <c r="E10" s="121" t="s">
        <v>336</v>
      </c>
      <c r="F10" s="121" t="s">
        <v>327</v>
      </c>
      <c r="G10" s="121" t="s">
        <v>328</v>
      </c>
      <c r="H10" s="121">
        <v>0</v>
      </c>
      <c r="I10" s="77">
        <v>203</v>
      </c>
      <c r="J10" t="s">
        <v>337</v>
      </c>
      <c r="K10" s="190" t="s">
        <v>338</v>
      </c>
      <c r="L10" s="190"/>
      <c r="M10" s="191">
        <v>45071</v>
      </c>
      <c r="N10" s="191"/>
      <c r="O10" s="121" t="s">
        <v>331</v>
      </c>
      <c r="P10" s="191" t="s">
        <v>332</v>
      </c>
      <c r="Q10"/>
    </row>
    <row r="11" spans="1:23" ht="39.6" customHeight="1" x14ac:dyDescent="0.25">
      <c r="A11" s="189" t="str">
        <f ca="1">HYPERLINK(MID(CELL("filename",A1),FIND("[",CELL("filename",A1)),FIND("]",CELL("filename",A1)) - FIND("[",CELL("filename",A1)) + 1) &amp; "'x-204'!TABLE_CLIENT_1","x-204")</f>
        <v>x-204</v>
      </c>
      <c r="B11" s="121" t="s">
        <v>324</v>
      </c>
      <c r="C11" s="121" t="s">
        <v>85</v>
      </c>
      <c r="D11" s="121" t="s">
        <v>325</v>
      </c>
      <c r="E11" s="121" t="s">
        <v>339</v>
      </c>
      <c r="F11" s="121" t="s">
        <v>327</v>
      </c>
      <c r="G11" s="121" t="s">
        <v>328</v>
      </c>
      <c r="H11" s="121">
        <v>0</v>
      </c>
      <c r="I11" s="77">
        <v>204</v>
      </c>
      <c r="J11" t="s">
        <v>340</v>
      </c>
      <c r="K11" s="190" t="s">
        <v>341</v>
      </c>
      <c r="L11" s="190"/>
      <c r="M11" s="191">
        <v>45071</v>
      </c>
      <c r="N11" s="191"/>
      <c r="O11" s="121" t="s">
        <v>331</v>
      </c>
      <c r="P11" s="191" t="s">
        <v>332</v>
      </c>
      <c r="Q11"/>
    </row>
    <row r="12" spans="1:23" ht="39.6" customHeight="1" x14ac:dyDescent="0.25">
      <c r="A12" s="189" t="str">
        <f ca="1">HYPERLINK(MID(CELL("filename",A1),FIND("[",CELL("filename",A1)),FIND("]",CELL("filename",A1)) - FIND("[",CELL("filename",A1)) + 1) &amp; "'x-205'!TABLE_CLIENT_1","x-205")</f>
        <v>x-205</v>
      </c>
      <c r="B12" s="121" t="s">
        <v>324</v>
      </c>
      <c r="C12" s="121" t="s">
        <v>85</v>
      </c>
      <c r="D12" s="121" t="s">
        <v>325</v>
      </c>
      <c r="E12" s="121" t="s">
        <v>342</v>
      </c>
      <c r="F12" s="121" t="s">
        <v>327</v>
      </c>
      <c r="G12" s="121" t="s">
        <v>328</v>
      </c>
      <c r="H12" s="121">
        <v>0</v>
      </c>
      <c r="I12" s="77">
        <v>205</v>
      </c>
      <c r="J12" t="s">
        <v>343</v>
      </c>
      <c r="K12" s="190" t="s">
        <v>344</v>
      </c>
      <c r="L12" s="190"/>
      <c r="M12" s="191">
        <v>45071</v>
      </c>
      <c r="N12" s="191"/>
      <c r="O12" s="121" t="s">
        <v>331</v>
      </c>
      <c r="P12" s="191" t="s">
        <v>332</v>
      </c>
      <c r="Q12"/>
    </row>
    <row r="13" spans="1:23" ht="39.6" customHeight="1" x14ac:dyDescent="0.25">
      <c r="A13" s="189" t="str">
        <f ca="1">HYPERLINK(MID(CELL("filename",A1),FIND("[",CELL("filename",A1)),FIND("]",CELL("filename",A1)) - FIND("[",CELL("filename",A1)) + 1) &amp; "'x-207'!TABLE_CLIENT_1","x-207")</f>
        <v>x-207</v>
      </c>
      <c r="B13" s="121" t="s">
        <v>345</v>
      </c>
      <c r="C13" s="121" t="s">
        <v>346</v>
      </c>
      <c r="D13" s="121" t="s">
        <v>325</v>
      </c>
      <c r="E13" s="121" t="s">
        <v>347</v>
      </c>
      <c r="F13" s="121" t="s">
        <v>327</v>
      </c>
      <c r="G13" s="121" t="s">
        <v>328</v>
      </c>
      <c r="H13" s="121">
        <v>1</v>
      </c>
      <c r="I13" s="77">
        <v>207</v>
      </c>
      <c r="J13" t="s">
        <v>348</v>
      </c>
      <c r="K13" s="190" t="s">
        <v>349</v>
      </c>
      <c r="L13" s="190"/>
      <c r="M13" s="191">
        <v>45071</v>
      </c>
      <c r="N13" s="191"/>
      <c r="O13" s="121" t="s">
        <v>331</v>
      </c>
      <c r="P13" s="191" t="s">
        <v>332</v>
      </c>
      <c r="Q13"/>
    </row>
    <row r="14" spans="1:23" ht="39.6" customHeight="1" x14ac:dyDescent="0.25">
      <c r="A14" s="189" t="str">
        <f ca="1">HYPERLINK(MID(CELL("filename",A1),FIND("[",CELL("filename",A1)),FIND("]",CELL("filename",A1)) - FIND("[",CELL("filename",A1)) + 1) &amp; "'x-208'!TABLE_CLIENT_1","x-208")</f>
        <v>x-208</v>
      </c>
      <c r="B14" s="121" t="s">
        <v>345</v>
      </c>
      <c r="C14" s="121" t="s">
        <v>346</v>
      </c>
      <c r="D14" s="121" t="s">
        <v>325</v>
      </c>
      <c r="E14" s="121" t="s">
        <v>350</v>
      </c>
      <c r="F14" s="121" t="s">
        <v>327</v>
      </c>
      <c r="G14" s="121" t="s">
        <v>328</v>
      </c>
      <c r="H14" s="121">
        <v>1</v>
      </c>
      <c r="I14" s="77">
        <v>208</v>
      </c>
      <c r="J14" t="s">
        <v>351</v>
      </c>
      <c r="K14" s="190" t="s">
        <v>352</v>
      </c>
      <c r="L14" s="190"/>
      <c r="M14" s="191">
        <v>45071</v>
      </c>
      <c r="N14" s="191"/>
      <c r="O14" s="121" t="s">
        <v>331</v>
      </c>
      <c r="P14" s="191" t="s">
        <v>332</v>
      </c>
      <c r="Q14"/>
    </row>
    <row r="15" spans="1:23" ht="39.6" customHeight="1" x14ac:dyDescent="0.25">
      <c r="A15" s="189" t="str">
        <f ca="1">HYPERLINK(MID(CELL("filename",A1),FIND("[",CELL("filename",A1)),FIND("]",CELL("filename",A1)) - FIND("[",CELL("filename",A1)) + 1) &amp; "'x-209'!TABLE_CLIENT_1","x-209")</f>
        <v>x-209</v>
      </c>
      <c r="B15" s="121" t="s">
        <v>345</v>
      </c>
      <c r="C15" s="121" t="s">
        <v>89</v>
      </c>
      <c r="D15" s="121" t="s">
        <v>325</v>
      </c>
      <c r="E15" s="121" t="s">
        <v>353</v>
      </c>
      <c r="F15" s="121" t="s">
        <v>327</v>
      </c>
      <c r="G15" s="121" t="s">
        <v>328</v>
      </c>
      <c r="H15" s="121">
        <v>1</v>
      </c>
      <c r="I15" s="77">
        <v>209</v>
      </c>
      <c r="J15" t="s">
        <v>354</v>
      </c>
      <c r="K15" s="190" t="s">
        <v>355</v>
      </c>
      <c r="L15" s="190"/>
      <c r="M15" s="191">
        <v>45071</v>
      </c>
      <c r="N15" s="191"/>
      <c r="O15" s="121" t="s">
        <v>331</v>
      </c>
      <c r="P15" s="191" t="s">
        <v>332</v>
      </c>
      <c r="Q15"/>
    </row>
    <row r="16" spans="1:23" ht="39.6" customHeight="1" x14ac:dyDescent="0.25">
      <c r="A16" s="189" t="str">
        <f ca="1">HYPERLINK(MID(CELL("filename",A1),FIND("[",CELL("filename",A1)),FIND("]",CELL("filename",A1)) - FIND("[",CELL("filename",A1)) + 1) &amp; "'x-211'!TABLE_CLIENT_1","x-211")</f>
        <v>x-211</v>
      </c>
      <c r="B16" s="121" t="s">
        <v>345</v>
      </c>
      <c r="C16" s="121" t="s">
        <v>86</v>
      </c>
      <c r="D16" s="121" t="s">
        <v>325</v>
      </c>
      <c r="E16" s="121" t="s">
        <v>356</v>
      </c>
      <c r="F16" s="121" t="s">
        <v>327</v>
      </c>
      <c r="G16" s="121" t="s">
        <v>328</v>
      </c>
      <c r="H16" s="121">
        <v>1</v>
      </c>
      <c r="I16" s="77">
        <v>211</v>
      </c>
      <c r="J16" t="s">
        <v>357</v>
      </c>
      <c r="K16" s="190" t="s">
        <v>358</v>
      </c>
      <c r="L16" s="190"/>
      <c r="M16" s="191">
        <v>45071</v>
      </c>
      <c r="N16" s="191"/>
      <c r="O16" s="121" t="s">
        <v>331</v>
      </c>
      <c r="P16" s="191" t="s">
        <v>332</v>
      </c>
      <c r="Q16"/>
    </row>
    <row r="17" spans="1:17" ht="39.6" customHeight="1" x14ac:dyDescent="0.25">
      <c r="A17" s="189" t="str">
        <f ca="1">HYPERLINK(MID(CELL("filename",A1),FIND("[",CELL("filename",A1)),FIND("]",CELL("filename",A1)) - FIND("[",CELL("filename",A1)) + 1) &amp; "'x-212'!TABLE_CLIENT_1","x-212")</f>
        <v>x-212</v>
      </c>
      <c r="B17" s="121" t="s">
        <v>345</v>
      </c>
      <c r="C17" s="121" t="s">
        <v>359</v>
      </c>
      <c r="D17" s="121" t="s">
        <v>325</v>
      </c>
      <c r="E17" s="121" t="s">
        <v>360</v>
      </c>
      <c r="F17" s="121" t="s">
        <v>327</v>
      </c>
      <c r="G17" s="121" t="s">
        <v>328</v>
      </c>
      <c r="H17" s="121">
        <v>1</v>
      </c>
      <c r="I17" s="77">
        <v>212</v>
      </c>
      <c r="J17" t="s">
        <v>361</v>
      </c>
      <c r="K17" s="190" t="s">
        <v>362</v>
      </c>
      <c r="L17" s="190"/>
      <c r="M17" s="191">
        <v>45071</v>
      </c>
      <c r="N17" s="191"/>
      <c r="O17" s="121" t="s">
        <v>331</v>
      </c>
      <c r="P17" s="191" t="s">
        <v>332</v>
      </c>
      <c r="Q17"/>
    </row>
    <row r="18" spans="1:17" ht="39.6" customHeight="1" x14ac:dyDescent="0.25">
      <c r="A18" s="189" t="str">
        <f ca="1">HYPERLINK(MID(CELL("filename",A1),FIND("[",CELL("filename",A1)),FIND("]",CELL("filename",A1)) - FIND("[",CELL("filename",A1)) + 1) &amp; "'x-213'!TABLE_CLIENT_1","x-213")</f>
        <v>x-213</v>
      </c>
      <c r="B18" s="121" t="s">
        <v>324</v>
      </c>
      <c r="C18" s="121" t="s">
        <v>85</v>
      </c>
      <c r="D18" s="121" t="s">
        <v>325</v>
      </c>
      <c r="E18" s="121" t="s">
        <v>363</v>
      </c>
      <c r="F18" s="121" t="s">
        <v>364</v>
      </c>
      <c r="G18" s="121" t="s">
        <v>365</v>
      </c>
      <c r="H18" s="121">
        <v>0</v>
      </c>
      <c r="I18" s="77">
        <v>213</v>
      </c>
      <c r="J18" t="s">
        <v>366</v>
      </c>
      <c r="K18" s="190" t="s">
        <v>367</v>
      </c>
      <c r="L18" s="190"/>
      <c r="M18" s="191">
        <v>45071</v>
      </c>
      <c r="N18" s="191"/>
      <c r="O18" s="121" t="s">
        <v>331</v>
      </c>
      <c r="P18" s="191" t="s">
        <v>332</v>
      </c>
      <c r="Q18"/>
    </row>
    <row r="19" spans="1:17" ht="39.6" customHeight="1" x14ac:dyDescent="0.25">
      <c r="A19" s="189" t="str">
        <f ca="1">HYPERLINK(MID(CELL("filename",A1),FIND("[",CELL("filename",A1)),FIND("]",CELL("filename",A1)) - FIND("[",CELL("filename",A1)) + 1) &amp; "'x-214'!TABLE_CLIENT_1","x-214")</f>
        <v>x-214</v>
      </c>
      <c r="B19" s="121" t="s">
        <v>345</v>
      </c>
      <c r="C19" s="121" t="s">
        <v>89</v>
      </c>
      <c r="D19" s="121" t="s">
        <v>325</v>
      </c>
      <c r="E19" s="121" t="s">
        <v>368</v>
      </c>
      <c r="F19" s="121" t="s">
        <v>364</v>
      </c>
      <c r="G19" s="121" t="s">
        <v>365</v>
      </c>
      <c r="H19" s="121">
        <v>1</v>
      </c>
      <c r="I19" s="77">
        <v>214</v>
      </c>
      <c r="J19" t="s">
        <v>369</v>
      </c>
      <c r="K19" s="190" t="s">
        <v>370</v>
      </c>
      <c r="L19" s="190"/>
      <c r="M19" s="191">
        <v>45071</v>
      </c>
      <c r="N19" s="191"/>
      <c r="O19" s="121" t="s">
        <v>331</v>
      </c>
      <c r="P19" s="191" t="s">
        <v>332</v>
      </c>
      <c r="Q19"/>
    </row>
    <row r="20" spans="1:17" ht="39.6" customHeight="1" x14ac:dyDescent="0.25">
      <c r="A20" s="189" t="str">
        <f ca="1">HYPERLINK(MID(CELL("filename",A1),FIND("[",CELL("filename",A1)),FIND("]",CELL("filename",A1)) - FIND("[",CELL("filename",A1)) + 1) &amp; "'x-215'!TABLE_CLIENT_1","x-215")</f>
        <v>x-215</v>
      </c>
      <c r="B20" s="121" t="s">
        <v>324</v>
      </c>
      <c r="C20" s="121" t="s">
        <v>85</v>
      </c>
      <c r="D20" s="121" t="s">
        <v>371</v>
      </c>
      <c r="E20" s="121" t="s">
        <v>372</v>
      </c>
      <c r="F20" s="121" t="s">
        <v>327</v>
      </c>
      <c r="G20" s="121" t="s">
        <v>373</v>
      </c>
      <c r="H20" s="121">
        <v>0</v>
      </c>
      <c r="I20" s="77">
        <v>215</v>
      </c>
      <c r="J20" t="s">
        <v>374</v>
      </c>
      <c r="K20" s="190" t="s">
        <v>375</v>
      </c>
      <c r="L20" s="190"/>
      <c r="M20" s="191">
        <v>45106</v>
      </c>
      <c r="N20" s="191"/>
      <c r="O20" s="121" t="s">
        <v>331</v>
      </c>
      <c r="P20" s="191" t="s">
        <v>332</v>
      </c>
      <c r="Q20"/>
    </row>
    <row r="21" spans="1:17" ht="39.6" customHeight="1" x14ac:dyDescent="0.25">
      <c r="A21" s="189" t="str">
        <f ca="1">HYPERLINK(MID(CELL("filename",A1),FIND("[",CELL("filename",A1)),FIND("]",CELL("filename",A1)) - FIND("[",CELL("filename",A1)) + 1) &amp; "'x-216'!TABLE_CLIENT_1","x-216")</f>
        <v>x-216</v>
      </c>
      <c r="B21" s="121" t="s">
        <v>324</v>
      </c>
      <c r="C21" s="121" t="s">
        <v>85</v>
      </c>
      <c r="D21" s="121" t="s">
        <v>371</v>
      </c>
      <c r="E21" s="121" t="s">
        <v>376</v>
      </c>
      <c r="F21" s="121" t="s">
        <v>327</v>
      </c>
      <c r="G21" s="121" t="s">
        <v>373</v>
      </c>
      <c r="H21" s="121">
        <v>0</v>
      </c>
      <c r="I21" s="77">
        <v>216</v>
      </c>
      <c r="J21" t="s">
        <v>377</v>
      </c>
      <c r="K21" s="190" t="s">
        <v>378</v>
      </c>
      <c r="L21" s="190"/>
      <c r="M21" s="191">
        <v>45106</v>
      </c>
      <c r="N21" s="191"/>
      <c r="O21" s="121" t="s">
        <v>331</v>
      </c>
      <c r="P21" s="191" t="s">
        <v>332</v>
      </c>
      <c r="Q21"/>
    </row>
    <row r="22" spans="1:17" ht="39.6" customHeight="1" x14ac:dyDescent="0.25">
      <c r="A22" s="189" t="str">
        <f ca="1">HYPERLINK(MID(CELL("filename",A1),FIND("[",CELL("filename",A1)),FIND("]",CELL("filename",A1)) - FIND("[",CELL("filename",A1)) + 1) &amp; "'x-217'!TABLE_CLIENT_1","x-217")</f>
        <v>x-217</v>
      </c>
      <c r="B22" s="121" t="s">
        <v>324</v>
      </c>
      <c r="C22" s="121" t="s">
        <v>85</v>
      </c>
      <c r="D22" s="121" t="s">
        <v>371</v>
      </c>
      <c r="E22" s="121" t="s">
        <v>379</v>
      </c>
      <c r="F22" s="121" t="s">
        <v>327</v>
      </c>
      <c r="G22" s="121" t="s">
        <v>373</v>
      </c>
      <c r="H22" s="121">
        <v>0</v>
      </c>
      <c r="I22" s="77">
        <v>217</v>
      </c>
      <c r="J22" t="s">
        <v>380</v>
      </c>
      <c r="K22" s="190" t="s">
        <v>381</v>
      </c>
      <c r="L22" s="190"/>
      <c r="M22" s="191">
        <v>45106</v>
      </c>
      <c r="N22" s="191"/>
      <c r="O22" s="121" t="s">
        <v>331</v>
      </c>
      <c r="P22" s="191" t="s">
        <v>332</v>
      </c>
      <c r="Q22"/>
    </row>
    <row r="23" spans="1:17" ht="39.6" customHeight="1" x14ac:dyDescent="0.25">
      <c r="A23" s="189" t="str">
        <f ca="1">HYPERLINK(MID(CELL("filename",A1),FIND("[",CELL("filename",A1)),FIND("]",CELL("filename",A1)) - FIND("[",CELL("filename",A1)) + 1) &amp; "'x-218'!TABLE_CLIENT_1","x-218")</f>
        <v>x-218</v>
      </c>
      <c r="B23" s="121" t="s">
        <v>324</v>
      </c>
      <c r="C23" s="121" t="s">
        <v>85</v>
      </c>
      <c r="D23" s="121" t="s">
        <v>371</v>
      </c>
      <c r="E23" s="121" t="s">
        <v>382</v>
      </c>
      <c r="F23" s="121" t="s">
        <v>327</v>
      </c>
      <c r="G23" s="121" t="s">
        <v>373</v>
      </c>
      <c r="H23" s="121">
        <v>0</v>
      </c>
      <c r="I23" s="77">
        <v>218</v>
      </c>
      <c r="J23" t="s">
        <v>383</v>
      </c>
      <c r="K23" s="190" t="s">
        <v>384</v>
      </c>
      <c r="L23" s="190"/>
      <c r="M23" s="191">
        <v>45106</v>
      </c>
      <c r="N23" s="191"/>
      <c r="O23" s="121" t="s">
        <v>331</v>
      </c>
      <c r="P23" s="191" t="s">
        <v>332</v>
      </c>
      <c r="Q23"/>
    </row>
    <row r="24" spans="1:17" ht="39.6" customHeight="1" x14ac:dyDescent="0.25">
      <c r="A24" s="189" t="str">
        <f ca="1">HYPERLINK(MID(CELL("filename",A1),FIND("[",CELL("filename",A1)),FIND("]",CELL("filename",A1)) - FIND("[",CELL("filename",A1)) + 1) &amp; "'x-223'!TABLE_CLIENT_1","x-223")</f>
        <v>x-223</v>
      </c>
      <c r="B24" s="121" t="s">
        <v>324</v>
      </c>
      <c r="C24" s="121" t="s">
        <v>85</v>
      </c>
      <c r="D24" s="121" t="s">
        <v>371</v>
      </c>
      <c r="E24" s="121" t="s">
        <v>385</v>
      </c>
      <c r="F24" s="121" t="s">
        <v>364</v>
      </c>
      <c r="G24" s="121" t="s">
        <v>386</v>
      </c>
      <c r="H24" s="121">
        <v>0</v>
      </c>
      <c r="I24" s="77">
        <v>223</v>
      </c>
      <c r="J24" t="s">
        <v>387</v>
      </c>
      <c r="K24" s="190" t="s">
        <v>388</v>
      </c>
      <c r="L24" s="190"/>
      <c r="M24" s="191">
        <v>45106</v>
      </c>
      <c r="N24" s="191"/>
      <c r="O24" s="121" t="s">
        <v>331</v>
      </c>
      <c r="P24" s="191" t="s">
        <v>332</v>
      </c>
      <c r="Q24"/>
    </row>
    <row r="25" spans="1:17" ht="39.6" customHeight="1" x14ac:dyDescent="0.25">
      <c r="A25" s="189" t="str">
        <f ca="1">HYPERLINK(MID(CELL("filename",A1),FIND("[",CELL("filename",A1)),FIND("]",CELL("filename",A1)) - FIND("[",CELL("filename",A1)) + 1) &amp; "'x-301'!TABLE_CLIENT_1","x-301")</f>
        <v>x-301</v>
      </c>
      <c r="B25" s="121" t="s">
        <v>324</v>
      </c>
      <c r="C25" s="121" t="s">
        <v>85</v>
      </c>
      <c r="D25" s="121" t="s">
        <v>389</v>
      </c>
      <c r="E25" s="121" t="s">
        <v>390</v>
      </c>
      <c r="F25" s="121" t="s">
        <v>327</v>
      </c>
      <c r="G25" s="121" t="s">
        <v>328</v>
      </c>
      <c r="H25" s="121">
        <v>0</v>
      </c>
      <c r="I25" s="77">
        <v>301</v>
      </c>
      <c r="J25" t="s">
        <v>391</v>
      </c>
      <c r="K25" s="190" t="s">
        <v>392</v>
      </c>
      <c r="L25" s="190"/>
      <c r="M25" s="191">
        <v>45071</v>
      </c>
      <c r="N25" s="191"/>
      <c r="O25" s="121" t="s">
        <v>331</v>
      </c>
      <c r="P25" s="191" t="s">
        <v>332</v>
      </c>
      <c r="Q25"/>
    </row>
    <row r="26" spans="1:17" ht="39.6" customHeight="1" x14ac:dyDescent="0.25">
      <c r="A26" s="189" t="str">
        <f ca="1">HYPERLINK(MID(CELL("filename",A1),FIND("[",CELL("filename",A1)),FIND("]",CELL("filename",A1)) - FIND("[",CELL("filename",A1)) + 1) &amp; "'x-302'!TABLE_CLIENT_1","x-302")</f>
        <v>x-302</v>
      </c>
      <c r="B26" s="121" t="s">
        <v>324</v>
      </c>
      <c r="C26" s="121" t="s">
        <v>85</v>
      </c>
      <c r="D26" s="121" t="s">
        <v>389</v>
      </c>
      <c r="E26" s="121" t="s">
        <v>393</v>
      </c>
      <c r="F26" s="121" t="s">
        <v>327</v>
      </c>
      <c r="G26" s="121" t="s">
        <v>328</v>
      </c>
      <c r="H26" s="121">
        <v>0</v>
      </c>
      <c r="I26" s="77">
        <v>302</v>
      </c>
      <c r="J26" t="s">
        <v>394</v>
      </c>
      <c r="K26" s="190" t="s">
        <v>395</v>
      </c>
      <c r="L26" s="190"/>
      <c r="M26" s="191">
        <v>45071</v>
      </c>
      <c r="N26" s="191"/>
      <c r="O26" s="121" t="s">
        <v>331</v>
      </c>
      <c r="P26" s="191" t="s">
        <v>332</v>
      </c>
      <c r="Q26"/>
    </row>
    <row r="27" spans="1:17" ht="39.6" customHeight="1" x14ac:dyDescent="0.25">
      <c r="A27" s="189" t="str">
        <f ca="1">HYPERLINK(MID(CELL("filename",A1),FIND("[",CELL("filename",A1)),FIND("]",CELL("filename",A1)) - FIND("[",CELL("filename",A1)) + 1) &amp; "'x-303'!TABLE_CLIENT_1","x-303")</f>
        <v>x-303</v>
      </c>
      <c r="B27" s="121" t="s">
        <v>345</v>
      </c>
      <c r="C27" s="121" t="s">
        <v>396</v>
      </c>
      <c r="D27" s="121" t="s">
        <v>389</v>
      </c>
      <c r="E27" s="121" t="s">
        <v>397</v>
      </c>
      <c r="F27" s="121" t="s">
        <v>327</v>
      </c>
      <c r="G27" s="121" t="s">
        <v>328</v>
      </c>
      <c r="H27" s="121">
        <v>1</v>
      </c>
      <c r="I27" s="77">
        <v>303</v>
      </c>
      <c r="J27" t="s">
        <v>398</v>
      </c>
      <c r="K27" s="190" t="s">
        <v>399</v>
      </c>
      <c r="L27" s="190"/>
      <c r="M27" s="191">
        <v>45071</v>
      </c>
      <c r="N27" s="191"/>
      <c r="O27" s="121" t="s">
        <v>331</v>
      </c>
      <c r="P27" s="191" t="s">
        <v>332</v>
      </c>
      <c r="Q27"/>
    </row>
    <row r="28" spans="1:17" ht="39.6" customHeight="1" x14ac:dyDescent="0.25">
      <c r="A28" s="189" t="str">
        <f ca="1">HYPERLINK(MID(CELL("filename",A1),FIND("[",CELL("filename",A1)),FIND("]",CELL("filename",A1)) - FIND("[",CELL("filename",A1)) + 1) &amp; "'x-304'!TABLE_CLIENT_1","x-304")</f>
        <v>x-304</v>
      </c>
      <c r="B28" s="121" t="s">
        <v>345</v>
      </c>
      <c r="C28" s="121" t="s">
        <v>396</v>
      </c>
      <c r="D28" s="121" t="s">
        <v>389</v>
      </c>
      <c r="E28" s="121" t="s">
        <v>393</v>
      </c>
      <c r="F28" s="121" t="s">
        <v>327</v>
      </c>
      <c r="G28" s="121" t="s">
        <v>328</v>
      </c>
      <c r="H28" s="121">
        <v>1</v>
      </c>
      <c r="I28" s="77">
        <v>304</v>
      </c>
      <c r="J28" t="s">
        <v>400</v>
      </c>
      <c r="K28" s="190" t="s">
        <v>401</v>
      </c>
      <c r="L28" s="190"/>
      <c r="M28" s="191">
        <v>45071</v>
      </c>
      <c r="N28" s="191"/>
      <c r="O28" s="121" t="s">
        <v>331</v>
      </c>
      <c r="P28" s="191" t="s">
        <v>332</v>
      </c>
      <c r="Q28"/>
    </row>
    <row r="29" spans="1:17" ht="39.6" customHeight="1" x14ac:dyDescent="0.25">
      <c r="A29" s="189" t="str">
        <f ca="1">HYPERLINK(MID(CELL("filename",A1),FIND("[",CELL("filename",A1)),FIND("]",CELL("filename",A1)) - FIND("[",CELL("filename",A1)) + 1) &amp; "'x-305'!TABLE_CLIENT_1","x-305")</f>
        <v>x-305</v>
      </c>
      <c r="B29" s="121" t="s">
        <v>324</v>
      </c>
      <c r="C29" s="121" t="s">
        <v>85</v>
      </c>
      <c r="D29" s="121" t="s">
        <v>402</v>
      </c>
      <c r="E29" s="121" t="s">
        <v>403</v>
      </c>
      <c r="F29" s="121" t="s">
        <v>404</v>
      </c>
      <c r="G29" s="121" t="s">
        <v>405</v>
      </c>
      <c r="H29" s="121">
        <v>0</v>
      </c>
      <c r="I29" s="77">
        <v>305</v>
      </c>
      <c r="J29" t="s">
        <v>406</v>
      </c>
      <c r="K29" s="190" t="s">
        <v>407</v>
      </c>
      <c r="L29" s="190"/>
      <c r="M29" s="191">
        <v>45071</v>
      </c>
      <c r="N29" s="191"/>
      <c r="O29" s="121" t="s">
        <v>331</v>
      </c>
      <c r="P29" s="191" t="s">
        <v>332</v>
      </c>
      <c r="Q29"/>
    </row>
    <row r="30" spans="1:17" ht="39.6" customHeight="1" x14ac:dyDescent="0.25">
      <c r="A30" s="189" t="str">
        <f ca="1">HYPERLINK(MID(CELL("filename",A1),FIND("[",CELL("filename",A1)),FIND("]",CELL("filename",A1)) - FIND("[",CELL("filename",A1)) + 1) &amp; "'x-305'!TABLE_CLIENT_2","x-305")</f>
        <v>x-305</v>
      </c>
      <c r="B30" s="121" t="s">
        <v>324</v>
      </c>
      <c r="C30" s="121" t="s">
        <v>85</v>
      </c>
      <c r="D30" s="121" t="s">
        <v>402</v>
      </c>
      <c r="E30" s="121" t="s">
        <v>408</v>
      </c>
      <c r="F30" s="121" t="s">
        <v>409</v>
      </c>
      <c r="G30" s="121" t="s">
        <v>405</v>
      </c>
      <c r="H30" s="121">
        <v>0</v>
      </c>
      <c r="I30" s="77">
        <v>305</v>
      </c>
      <c r="J30" t="s">
        <v>410</v>
      </c>
      <c r="K30" s="190" t="s">
        <v>411</v>
      </c>
      <c r="L30" s="190"/>
      <c r="M30" s="191">
        <v>45071</v>
      </c>
      <c r="N30" s="191"/>
      <c r="O30" s="121" t="s">
        <v>331</v>
      </c>
      <c r="P30" s="191" t="s">
        <v>332</v>
      </c>
      <c r="Q30"/>
    </row>
    <row r="31" spans="1:17" ht="39.6" customHeight="1" x14ac:dyDescent="0.25">
      <c r="A31" s="189" t="str">
        <f ca="1">HYPERLINK(MID(CELL("filename",A1),FIND("[",CELL("filename",A1)),FIND("]",CELL("filename",A1)) - FIND("[",CELL("filename",A1)) + 1) &amp; "'x-306'!TABLE_CLIENT_1","x-306")</f>
        <v>x-306</v>
      </c>
      <c r="B31" s="121" t="s">
        <v>345</v>
      </c>
      <c r="C31" s="121" t="s">
        <v>346</v>
      </c>
      <c r="D31" s="121" t="s">
        <v>402</v>
      </c>
      <c r="E31" s="121" t="s">
        <v>412</v>
      </c>
      <c r="F31" s="121" t="s">
        <v>327</v>
      </c>
      <c r="G31" s="121" t="s">
        <v>405</v>
      </c>
      <c r="H31" s="121">
        <v>1</v>
      </c>
      <c r="I31" s="77">
        <v>306</v>
      </c>
      <c r="J31" t="s">
        <v>413</v>
      </c>
      <c r="K31" s="190" t="s">
        <v>414</v>
      </c>
      <c r="L31" s="190"/>
      <c r="M31" s="191">
        <v>45071</v>
      </c>
      <c r="N31" s="191"/>
      <c r="O31" s="121" t="s">
        <v>331</v>
      </c>
      <c r="P31" s="191" t="s">
        <v>332</v>
      </c>
      <c r="Q31"/>
    </row>
    <row r="32" spans="1:17" ht="39.6" customHeight="1" x14ac:dyDescent="0.25">
      <c r="A32" s="189" t="str">
        <f ca="1">HYPERLINK(MID(CELL("filename",A1),FIND("[",CELL("filename",A1)),FIND("]",CELL("filename",A1)) - FIND("[",CELL("filename",A1)) + 1) &amp; "'x-307'!TABLE_CLIENT_1","x-307")</f>
        <v>x-307</v>
      </c>
      <c r="B32" s="121" t="s">
        <v>345</v>
      </c>
      <c r="C32" s="121" t="s">
        <v>89</v>
      </c>
      <c r="D32" s="121" t="s">
        <v>402</v>
      </c>
      <c r="E32" s="121" t="s">
        <v>415</v>
      </c>
      <c r="F32" s="121" t="s">
        <v>327</v>
      </c>
      <c r="G32" s="121" t="s">
        <v>405</v>
      </c>
      <c r="H32" s="121">
        <v>1</v>
      </c>
      <c r="I32" s="77">
        <v>307</v>
      </c>
      <c r="J32" t="s">
        <v>416</v>
      </c>
      <c r="K32" s="190" t="s">
        <v>417</v>
      </c>
      <c r="L32" s="190"/>
      <c r="M32" s="191">
        <v>45071</v>
      </c>
      <c r="N32" s="191"/>
      <c r="O32" s="121" t="s">
        <v>331</v>
      </c>
      <c r="P32" s="191" t="s">
        <v>332</v>
      </c>
      <c r="Q32"/>
    </row>
    <row r="33" spans="1:17" ht="39.6" customHeight="1" x14ac:dyDescent="0.25">
      <c r="A33" s="189" t="str">
        <f ca="1">HYPERLINK(MID(CELL("filename",A1),FIND("[",CELL("filename",A1)),FIND("]",CELL("filename",A1)) - FIND("[",CELL("filename",A1)) + 1) &amp; "'x-401'!TABLE_CLIENT_1","x-401")</f>
        <v>x-401</v>
      </c>
      <c r="B33" s="121" t="s">
        <v>324</v>
      </c>
      <c r="C33" s="121" t="s">
        <v>85</v>
      </c>
      <c r="D33" s="121" t="s">
        <v>418</v>
      </c>
      <c r="E33" s="121" t="s">
        <v>419</v>
      </c>
      <c r="F33" s="121" t="s">
        <v>364</v>
      </c>
      <c r="G33" s="121" t="s">
        <v>420</v>
      </c>
      <c r="H33" s="121">
        <v>0</v>
      </c>
      <c r="I33" s="77">
        <v>401</v>
      </c>
      <c r="J33" t="s">
        <v>421</v>
      </c>
      <c r="K33" s="190" t="s">
        <v>422</v>
      </c>
      <c r="L33" s="190"/>
      <c r="M33" s="191">
        <v>45106</v>
      </c>
      <c r="N33" s="191"/>
      <c r="O33" s="121" t="s">
        <v>331</v>
      </c>
      <c r="P33" s="191" t="s">
        <v>332</v>
      </c>
      <c r="Q33"/>
    </row>
    <row r="34" spans="1:17" ht="39.6" customHeight="1" x14ac:dyDescent="0.25">
      <c r="A34" s="189" t="str">
        <f ca="1">HYPERLINK(MID(CELL("filename",A1),FIND("[",CELL("filename",A1)),FIND("]",CELL("filename",A1)) - FIND("[",CELL("filename",A1)) + 1) &amp; "'x-402'!TABLE_CLIENT_1","x-402")</f>
        <v>x-402</v>
      </c>
      <c r="B34" s="121" t="s">
        <v>324</v>
      </c>
      <c r="C34" s="121" t="s">
        <v>85</v>
      </c>
      <c r="D34" s="121" t="s">
        <v>418</v>
      </c>
      <c r="E34" s="121" t="s">
        <v>423</v>
      </c>
      <c r="F34" s="121" t="s">
        <v>364</v>
      </c>
      <c r="G34" s="121" t="s">
        <v>420</v>
      </c>
      <c r="H34" s="121">
        <v>0</v>
      </c>
      <c r="I34" s="77">
        <v>402</v>
      </c>
      <c r="J34" t="s">
        <v>424</v>
      </c>
      <c r="K34" s="190" t="s">
        <v>425</v>
      </c>
      <c r="L34" s="190"/>
      <c r="M34" s="191">
        <v>45106</v>
      </c>
      <c r="N34" s="191"/>
      <c r="O34" s="121" t="s">
        <v>331</v>
      </c>
      <c r="P34" s="191" t="s">
        <v>332</v>
      </c>
      <c r="Q34"/>
    </row>
    <row r="35" spans="1:17" ht="39.6" customHeight="1" x14ac:dyDescent="0.25">
      <c r="A35" s="189" t="str">
        <f ca="1">HYPERLINK(MID(CELL("filename",A1),FIND("[",CELL("filename",A1)),FIND("]",CELL("filename",A1)) - FIND("[",CELL("filename",A1)) + 1) &amp; "'x-403'!TABLE_CLIENT_1","x-403")</f>
        <v>x-403</v>
      </c>
      <c r="B35" s="121" t="s">
        <v>324</v>
      </c>
      <c r="C35" s="121" t="s">
        <v>85</v>
      </c>
      <c r="D35" s="121" t="s">
        <v>418</v>
      </c>
      <c r="E35" s="121" t="s">
        <v>426</v>
      </c>
      <c r="F35" s="121" t="s">
        <v>364</v>
      </c>
      <c r="G35" s="121" t="s">
        <v>420</v>
      </c>
      <c r="H35" s="121">
        <v>0</v>
      </c>
      <c r="I35" s="77">
        <v>403</v>
      </c>
      <c r="J35" t="s">
        <v>427</v>
      </c>
      <c r="K35" s="190" t="s">
        <v>428</v>
      </c>
      <c r="L35" s="190"/>
      <c r="M35" s="191">
        <v>45106</v>
      </c>
      <c r="N35" s="191"/>
      <c r="O35" s="121" t="s">
        <v>331</v>
      </c>
      <c r="P35" s="191" t="s">
        <v>332</v>
      </c>
      <c r="Q35"/>
    </row>
    <row r="36" spans="1:17" ht="39.6" customHeight="1" x14ac:dyDescent="0.25">
      <c r="A36" s="189" t="str">
        <f ca="1">HYPERLINK(MID(CELL("filename",A1),FIND("[",CELL("filename",A1)),FIND("]",CELL("filename",A1)) - FIND("[",CELL("filename",A1)) + 1) &amp; "'x-404'!TABLE_CLIENT_1","x-404")</f>
        <v>x-404</v>
      </c>
      <c r="B36" s="121" t="s">
        <v>324</v>
      </c>
      <c r="C36" s="121" t="s">
        <v>85</v>
      </c>
      <c r="D36" s="121" t="s">
        <v>418</v>
      </c>
      <c r="E36" s="121" t="s">
        <v>429</v>
      </c>
      <c r="F36" s="121" t="s">
        <v>364</v>
      </c>
      <c r="G36" s="121" t="s">
        <v>420</v>
      </c>
      <c r="H36" s="121">
        <v>0</v>
      </c>
      <c r="I36" s="77">
        <v>404</v>
      </c>
      <c r="J36" t="s">
        <v>430</v>
      </c>
      <c r="K36" s="190" t="s">
        <v>431</v>
      </c>
      <c r="L36" s="190"/>
      <c r="M36" s="191">
        <v>45106</v>
      </c>
      <c r="N36" s="191"/>
      <c r="O36" s="121" t="s">
        <v>331</v>
      </c>
      <c r="P36" s="191" t="s">
        <v>332</v>
      </c>
      <c r="Q36"/>
    </row>
    <row r="37" spans="1:17" ht="39.6" customHeight="1" x14ac:dyDescent="0.25">
      <c r="A37" s="189" t="str">
        <f ca="1">HYPERLINK(MID(CELL("filename",A1),FIND("[",CELL("filename",A1)),FIND("]",CELL("filename",A1)) - FIND("[",CELL("filename",A1)) + 1) &amp; "'x-405'!TABLE_CLIENT_1","x-405")</f>
        <v>x-405</v>
      </c>
      <c r="B37" s="121" t="s">
        <v>324</v>
      </c>
      <c r="C37" s="121" t="s">
        <v>85</v>
      </c>
      <c r="D37" s="121" t="s">
        <v>418</v>
      </c>
      <c r="E37" s="121" t="s">
        <v>432</v>
      </c>
      <c r="F37" s="121" t="s">
        <v>364</v>
      </c>
      <c r="G37" s="121" t="s">
        <v>420</v>
      </c>
      <c r="H37" s="121">
        <v>0</v>
      </c>
      <c r="I37" s="77">
        <v>405</v>
      </c>
      <c r="J37" t="s">
        <v>433</v>
      </c>
      <c r="K37" s="190" t="s">
        <v>434</v>
      </c>
      <c r="L37" s="190"/>
      <c r="M37" s="191">
        <v>45106</v>
      </c>
      <c r="N37" s="191"/>
      <c r="O37" s="121" t="s">
        <v>331</v>
      </c>
      <c r="P37" s="191" t="s">
        <v>332</v>
      </c>
      <c r="Q37"/>
    </row>
    <row r="38" spans="1:17" ht="39.6" customHeight="1" x14ac:dyDescent="0.25">
      <c r="A38" s="189" t="str">
        <f ca="1">HYPERLINK(MID(CELL("filename",A1),FIND("[",CELL("filename",A1)),FIND("]",CELL("filename",A1)) - FIND("[",CELL("filename",A1)) + 1) &amp; "'x-406'!TABLE_CLIENT_1","x-406")</f>
        <v>x-406</v>
      </c>
      <c r="B38" s="121" t="s">
        <v>345</v>
      </c>
      <c r="C38" s="121" t="s">
        <v>442</v>
      </c>
      <c r="D38" s="121" t="s">
        <v>418</v>
      </c>
      <c r="E38" s="121" t="s">
        <v>435</v>
      </c>
      <c r="F38" s="121" t="s">
        <v>364</v>
      </c>
      <c r="G38" s="121" t="s">
        <v>436</v>
      </c>
      <c r="H38" s="121">
        <v>1</v>
      </c>
      <c r="I38" s="77">
        <v>406</v>
      </c>
      <c r="J38" t="s">
        <v>437</v>
      </c>
      <c r="K38" s="190" t="s">
        <v>438</v>
      </c>
      <c r="L38" s="190"/>
      <c r="M38" s="191">
        <v>45106</v>
      </c>
      <c r="N38" s="191"/>
      <c r="O38" s="121" t="s">
        <v>331</v>
      </c>
      <c r="P38" s="191" t="s">
        <v>332</v>
      </c>
      <c r="Q38"/>
    </row>
    <row r="39" spans="1:17" ht="39.6" customHeight="1" x14ac:dyDescent="0.25">
      <c r="A39" s="189" t="str">
        <f ca="1">HYPERLINK(MID(CELL("filename",A1),FIND("[",CELL("filename",A1)),FIND("]",CELL("filename",A1)) - FIND("[",CELL("filename",A1)) + 1) &amp; "'x-407'!TABLE_CLIENT_1","x-407")</f>
        <v>x-407</v>
      </c>
      <c r="B39" s="121" t="s">
        <v>345</v>
      </c>
      <c r="C39" s="121" t="s">
        <v>86</v>
      </c>
      <c r="D39" s="121" t="s">
        <v>418</v>
      </c>
      <c r="E39" s="121" t="s">
        <v>439</v>
      </c>
      <c r="F39" s="121" t="s">
        <v>364</v>
      </c>
      <c r="G39" s="121" t="s">
        <v>436</v>
      </c>
      <c r="H39" s="121">
        <v>1</v>
      </c>
      <c r="I39" s="77">
        <v>407</v>
      </c>
      <c r="J39" t="s">
        <v>440</v>
      </c>
      <c r="K39" s="190" t="s">
        <v>441</v>
      </c>
      <c r="L39" s="190"/>
      <c r="M39" s="191">
        <v>45106</v>
      </c>
      <c r="N39" s="191"/>
      <c r="O39" s="121" t="s">
        <v>331</v>
      </c>
      <c r="P39" s="191" t="s">
        <v>332</v>
      </c>
      <c r="Q39"/>
    </row>
    <row r="40" spans="1:17" ht="39.6" customHeight="1" x14ac:dyDescent="0.25">
      <c r="A40" s="189" t="str">
        <f ca="1">HYPERLINK(MID(CELL("filename",A1),FIND("[",CELL("filename",A1)),FIND("]",CELL("filename",A1)) - FIND("[",CELL("filename",A1)) + 1) &amp; "'x-408'!TABLE_CLIENT_1","x-408")</f>
        <v>x-408</v>
      </c>
      <c r="B40" s="121" t="s">
        <v>345</v>
      </c>
      <c r="C40" s="121" t="s">
        <v>442</v>
      </c>
      <c r="D40" s="121" t="s">
        <v>418</v>
      </c>
      <c r="E40" s="121" t="s">
        <v>443</v>
      </c>
      <c r="F40" s="121" t="s">
        <v>364</v>
      </c>
      <c r="G40" s="121" t="s">
        <v>436</v>
      </c>
      <c r="H40" s="121">
        <v>1</v>
      </c>
      <c r="I40" s="77">
        <v>408</v>
      </c>
      <c r="J40" t="s">
        <v>444</v>
      </c>
      <c r="K40" s="190" t="s">
        <v>445</v>
      </c>
      <c r="L40" s="190"/>
      <c r="M40" s="191">
        <v>45106</v>
      </c>
      <c r="N40" s="191"/>
      <c r="O40" s="121" t="s">
        <v>331</v>
      </c>
      <c r="P40" s="191" t="s">
        <v>332</v>
      </c>
      <c r="Q40"/>
    </row>
    <row r="41" spans="1:17" ht="39.6" customHeight="1" x14ac:dyDescent="0.25">
      <c r="A41" s="189" t="str">
        <f ca="1">HYPERLINK(MID(CELL("filename",A1),FIND("[",CELL("filename",A1)),FIND("]",CELL("filename",A1)) - FIND("[",CELL("filename",A1)) + 1) &amp; "'x-409'!TABLE_CLIENT_1","x-409")</f>
        <v>x-409</v>
      </c>
      <c r="B41" s="121" t="s">
        <v>345</v>
      </c>
      <c r="C41" s="121" t="s">
        <v>86</v>
      </c>
      <c r="D41" s="121" t="s">
        <v>418</v>
      </c>
      <c r="E41" s="121" t="s">
        <v>446</v>
      </c>
      <c r="F41" s="121" t="s">
        <v>364</v>
      </c>
      <c r="G41" s="121" t="s">
        <v>436</v>
      </c>
      <c r="H41" s="121">
        <v>1</v>
      </c>
      <c r="I41" s="77">
        <v>409</v>
      </c>
      <c r="J41" t="s">
        <v>447</v>
      </c>
      <c r="K41" s="190" t="s">
        <v>448</v>
      </c>
      <c r="L41" s="190"/>
      <c r="M41" s="191">
        <v>45106</v>
      </c>
      <c r="N41" s="191"/>
      <c r="O41" s="121" t="s">
        <v>331</v>
      </c>
      <c r="P41" s="191" t="s">
        <v>332</v>
      </c>
      <c r="Q41"/>
    </row>
    <row r="42" spans="1:17" ht="39.6" customHeight="1" x14ac:dyDescent="0.25">
      <c r="A42" s="189" t="str">
        <f ca="1">HYPERLINK(MID(CELL("filename",A1),FIND("[",CELL("filename",A1)),FIND("]",CELL("filename",A1)) - FIND("[",CELL("filename",A1)) + 1) &amp; "'x-409'!TABLE_CLIENT_2","x-409")</f>
        <v>x-409</v>
      </c>
      <c r="B42" s="121" t="s">
        <v>345</v>
      </c>
      <c r="C42" s="121" t="s">
        <v>86</v>
      </c>
      <c r="D42" s="121" t="s">
        <v>418</v>
      </c>
      <c r="E42" s="121" t="s">
        <v>446</v>
      </c>
      <c r="F42" s="121" t="s">
        <v>364</v>
      </c>
      <c r="G42" s="121" t="s">
        <v>436</v>
      </c>
      <c r="H42" s="121">
        <v>1</v>
      </c>
      <c r="I42" s="77">
        <v>409</v>
      </c>
      <c r="J42" t="s">
        <v>449</v>
      </c>
      <c r="K42" s="190" t="s">
        <v>450</v>
      </c>
      <c r="L42" s="190"/>
      <c r="M42" s="191">
        <v>45106</v>
      </c>
      <c r="N42" s="191"/>
      <c r="O42" s="121" t="s">
        <v>331</v>
      </c>
      <c r="P42" s="191" t="s">
        <v>332</v>
      </c>
      <c r="Q42"/>
    </row>
    <row r="43" spans="1:17" ht="39.6" customHeight="1" x14ac:dyDescent="0.25">
      <c r="A43" s="189" t="str">
        <f ca="1">HYPERLINK(MID(CELL("filename",A1),FIND("[",CELL("filename",A1)),FIND("]",CELL("filename",A1)) - FIND("[",CELL("filename",A1)) + 1) &amp; "'x-410'!TABLE_CLIENT_1","x-410")</f>
        <v>x-410</v>
      </c>
      <c r="B43" s="121" t="s">
        <v>345</v>
      </c>
      <c r="C43" s="121" t="s">
        <v>442</v>
      </c>
      <c r="D43" s="121" t="s">
        <v>418</v>
      </c>
      <c r="E43" s="121" t="s">
        <v>451</v>
      </c>
      <c r="F43" s="121" t="s">
        <v>364</v>
      </c>
      <c r="G43" s="121" t="s">
        <v>436</v>
      </c>
      <c r="H43" s="121">
        <v>1</v>
      </c>
      <c r="I43" s="77">
        <v>410</v>
      </c>
      <c r="J43" t="s">
        <v>452</v>
      </c>
      <c r="K43" s="190" t="s">
        <v>453</v>
      </c>
      <c r="L43" s="190"/>
      <c r="M43" s="191">
        <v>45106</v>
      </c>
      <c r="N43" s="191"/>
      <c r="O43" s="121" t="s">
        <v>331</v>
      </c>
      <c r="P43" s="191" t="s">
        <v>332</v>
      </c>
      <c r="Q43"/>
    </row>
    <row r="44" spans="1:17" ht="39.6" customHeight="1" x14ac:dyDescent="0.25">
      <c r="A44" s="189" t="str">
        <f ca="1">HYPERLINK(MID(CELL("filename",A1),FIND("[",CELL("filename",A1)),FIND("]",CELL("filename",A1)) - FIND("[",CELL("filename",A1)) + 1) &amp; "'x-411'!TABLE_CLIENT_1","x-411")</f>
        <v>x-411</v>
      </c>
      <c r="B44" s="121" t="s">
        <v>345</v>
      </c>
      <c r="C44" s="121" t="s">
        <v>86</v>
      </c>
      <c r="D44" s="121" t="s">
        <v>418</v>
      </c>
      <c r="E44" s="121" t="s">
        <v>454</v>
      </c>
      <c r="F44" s="121" t="s">
        <v>364</v>
      </c>
      <c r="G44" s="121" t="s">
        <v>436</v>
      </c>
      <c r="H44" s="121">
        <v>1</v>
      </c>
      <c r="I44" s="77">
        <v>411</v>
      </c>
      <c r="J44" t="s">
        <v>455</v>
      </c>
      <c r="K44" s="190" t="s">
        <v>456</v>
      </c>
      <c r="L44" s="190"/>
      <c r="M44" s="191">
        <v>45106</v>
      </c>
      <c r="N44" s="191"/>
      <c r="O44" s="121" t="s">
        <v>331</v>
      </c>
      <c r="P44" s="191" t="s">
        <v>332</v>
      </c>
      <c r="Q44"/>
    </row>
    <row r="45" spans="1:17" ht="39.6" customHeight="1" x14ac:dyDescent="0.25">
      <c r="A45" s="189" t="str">
        <f ca="1">HYPERLINK(MID(CELL("filename",A1),FIND("[",CELL("filename",A1)),FIND("]",CELL("filename",A1)) - FIND("[",CELL("filename",A1)) + 1) &amp; "'x-412'!TABLE_CLIENT_1","x-412")</f>
        <v>x-412</v>
      </c>
      <c r="B45" s="121" t="s">
        <v>345</v>
      </c>
      <c r="C45" s="121" t="s">
        <v>442</v>
      </c>
      <c r="D45" s="121" t="s">
        <v>418</v>
      </c>
      <c r="E45" s="121" t="s">
        <v>457</v>
      </c>
      <c r="F45" s="121" t="s">
        <v>364</v>
      </c>
      <c r="G45" s="121" t="s">
        <v>436</v>
      </c>
      <c r="H45" s="121">
        <v>1</v>
      </c>
      <c r="I45" s="77">
        <v>412</v>
      </c>
      <c r="J45" t="s">
        <v>458</v>
      </c>
      <c r="K45" s="190" t="s">
        <v>459</v>
      </c>
      <c r="L45" s="190"/>
      <c r="M45" s="191">
        <v>45106</v>
      </c>
      <c r="N45" s="191"/>
      <c r="O45" s="121" t="s">
        <v>331</v>
      </c>
      <c r="P45" s="191" t="s">
        <v>332</v>
      </c>
      <c r="Q45"/>
    </row>
    <row r="46" spans="1:17" ht="39.6" customHeight="1" x14ac:dyDescent="0.25">
      <c r="A46" s="189" t="str">
        <f ca="1">HYPERLINK(MID(CELL("filename",A1),FIND("[",CELL("filename",A1)),FIND("]",CELL("filename",A1)) - FIND("[",CELL("filename",A1)) + 1) &amp; "'x-413'!TABLE_CLIENT_1","x-413")</f>
        <v>x-413</v>
      </c>
      <c r="B46" s="121" t="s">
        <v>345</v>
      </c>
      <c r="C46" s="121" t="s">
        <v>86</v>
      </c>
      <c r="D46" s="121" t="s">
        <v>418</v>
      </c>
      <c r="E46" s="121" t="s">
        <v>460</v>
      </c>
      <c r="F46" s="121" t="s">
        <v>364</v>
      </c>
      <c r="G46" s="121" t="s">
        <v>436</v>
      </c>
      <c r="H46" s="121">
        <v>1</v>
      </c>
      <c r="I46" s="77">
        <v>413</v>
      </c>
      <c r="J46" t="s">
        <v>461</v>
      </c>
      <c r="K46" s="190" t="s">
        <v>462</v>
      </c>
      <c r="L46" s="190"/>
      <c r="M46" s="191">
        <v>45106</v>
      </c>
      <c r="N46" s="191"/>
      <c r="O46" s="121" t="s">
        <v>331</v>
      </c>
      <c r="P46" s="191" t="s">
        <v>332</v>
      </c>
      <c r="Q46"/>
    </row>
    <row r="47" spans="1:17" ht="39.6" customHeight="1" x14ac:dyDescent="0.25">
      <c r="A47" s="189" t="str">
        <f ca="1">HYPERLINK(MID(CELL("filename",A1),FIND("[",CELL("filename",A1)),FIND("]",CELL("filename",A1)) - FIND("[",CELL("filename",A1)) + 1) &amp; "'x-413'!TABLE_CLIENT_2","x-413")</f>
        <v>x-413</v>
      </c>
      <c r="B47" s="121" t="s">
        <v>345</v>
      </c>
      <c r="C47" s="121" t="s">
        <v>86</v>
      </c>
      <c r="D47" s="121" t="s">
        <v>418</v>
      </c>
      <c r="E47" s="121" t="s">
        <v>460</v>
      </c>
      <c r="F47" s="121" t="s">
        <v>364</v>
      </c>
      <c r="G47" s="121" t="s">
        <v>436</v>
      </c>
      <c r="H47" s="121">
        <v>1</v>
      </c>
      <c r="I47" s="77">
        <v>413</v>
      </c>
      <c r="J47" t="s">
        <v>463</v>
      </c>
      <c r="K47" s="190" t="s">
        <v>464</v>
      </c>
      <c r="L47" s="190"/>
      <c r="M47" s="191">
        <v>45106</v>
      </c>
      <c r="N47" s="191"/>
      <c r="O47" s="121" t="s">
        <v>331</v>
      </c>
      <c r="P47" s="191" t="s">
        <v>332</v>
      </c>
      <c r="Q47"/>
    </row>
    <row r="48" spans="1:17" ht="39.6" customHeight="1" x14ac:dyDescent="0.25">
      <c r="A48" s="189" t="str">
        <f ca="1">HYPERLINK(MID(CELL("filename",A1),FIND("[",CELL("filename",A1)),FIND("]",CELL("filename",A1)) - FIND("[",CELL("filename",A1)) + 1) &amp; "'x-414'!TABLE_CLIENT_1","x-414")</f>
        <v>x-414</v>
      </c>
      <c r="B48" s="121" t="s">
        <v>345</v>
      </c>
      <c r="C48" s="121" t="s">
        <v>89</v>
      </c>
      <c r="D48" s="121" t="s">
        <v>418</v>
      </c>
      <c r="E48" s="121" t="s">
        <v>465</v>
      </c>
      <c r="F48" s="121" t="s">
        <v>364</v>
      </c>
      <c r="G48" s="121" t="s">
        <v>466</v>
      </c>
      <c r="H48" s="121">
        <v>1</v>
      </c>
      <c r="I48" s="77">
        <v>414</v>
      </c>
      <c r="J48" t="s">
        <v>467</v>
      </c>
      <c r="K48" s="190" t="s">
        <v>468</v>
      </c>
      <c r="L48" s="190"/>
      <c r="M48" s="191">
        <v>45106</v>
      </c>
      <c r="N48" s="191"/>
      <c r="O48" s="121" t="s">
        <v>331</v>
      </c>
      <c r="P48" s="191" t="s">
        <v>332</v>
      </c>
      <c r="Q48"/>
    </row>
    <row r="49" spans="1:17" ht="39.6" customHeight="1" x14ac:dyDescent="0.25">
      <c r="A49" s="189" t="str">
        <f ca="1">HYPERLINK(MID(CELL("filename",A1),FIND("[",CELL("filename",A1)),FIND("]",CELL("filename",A1)) - FIND("[",CELL("filename",A1)) + 1) &amp; "'x-415'!TABLE_CLIENT_1","x-415")</f>
        <v>x-415</v>
      </c>
      <c r="B49" s="121" t="s">
        <v>324</v>
      </c>
      <c r="C49" s="121" t="s">
        <v>85</v>
      </c>
      <c r="D49" s="121" t="s">
        <v>469</v>
      </c>
      <c r="E49" s="121" t="s">
        <v>470</v>
      </c>
      <c r="F49" s="121" t="s">
        <v>364</v>
      </c>
      <c r="G49" s="121" t="s">
        <v>471</v>
      </c>
      <c r="H49" s="121">
        <v>0</v>
      </c>
      <c r="I49" s="77">
        <v>415</v>
      </c>
      <c r="J49" t="s">
        <v>472</v>
      </c>
      <c r="K49" s="190" t="s">
        <v>473</v>
      </c>
      <c r="L49" s="190"/>
      <c r="M49" s="191" t="s">
        <v>474</v>
      </c>
      <c r="N49" s="191"/>
      <c r="O49" s="121" t="s">
        <v>331</v>
      </c>
      <c r="P49" s="191" t="s">
        <v>332</v>
      </c>
      <c r="Q49"/>
    </row>
    <row r="50" spans="1:17" ht="39.6" customHeight="1" x14ac:dyDescent="0.25">
      <c r="A50" s="189" t="str">
        <f ca="1">HYPERLINK(MID(CELL("filename",A1),FIND("[",CELL("filename",A1)),FIND("]",CELL("filename",A1)) - FIND("[",CELL("filename",A1)) + 1) &amp; "'x-416'!TABLE_CLIENT_1","x-416")</f>
        <v>x-416</v>
      </c>
      <c r="B50" s="121" t="s">
        <v>324</v>
      </c>
      <c r="C50" s="121" t="s">
        <v>85</v>
      </c>
      <c r="D50" s="121" t="s">
        <v>469</v>
      </c>
      <c r="E50" s="121" t="s">
        <v>475</v>
      </c>
      <c r="F50" s="121" t="s">
        <v>364</v>
      </c>
      <c r="G50" s="121" t="s">
        <v>471</v>
      </c>
      <c r="H50" s="121">
        <v>0</v>
      </c>
      <c r="I50" s="77">
        <v>416</v>
      </c>
      <c r="J50" t="s">
        <v>476</v>
      </c>
      <c r="K50" s="190" t="s">
        <v>477</v>
      </c>
      <c r="L50" s="190"/>
      <c r="M50" s="191" t="s">
        <v>474</v>
      </c>
      <c r="N50" s="191"/>
      <c r="O50" s="121" t="s">
        <v>331</v>
      </c>
      <c r="P50" s="191" t="s">
        <v>332</v>
      </c>
      <c r="Q50"/>
    </row>
    <row r="51" spans="1:17" ht="39.6" customHeight="1" x14ac:dyDescent="0.25">
      <c r="A51" s="189" t="str">
        <f ca="1">HYPERLINK(MID(CELL("filename",A1),FIND("[",CELL("filename",A1)),FIND("]",CELL("filename",A1)) - FIND("[",CELL("filename",A1)) + 1) &amp; "'x-417'!TABLE_CLIENT_1","x-417")</f>
        <v>x-417</v>
      </c>
      <c r="B51" s="121" t="s">
        <v>345</v>
      </c>
      <c r="C51" s="121" t="s">
        <v>89</v>
      </c>
      <c r="D51" s="121" t="s">
        <v>469</v>
      </c>
      <c r="E51" s="121" t="s">
        <v>478</v>
      </c>
      <c r="F51" s="121" t="s">
        <v>364</v>
      </c>
      <c r="G51" s="121" t="s">
        <v>479</v>
      </c>
      <c r="H51" s="121">
        <v>1</v>
      </c>
      <c r="I51" s="77">
        <v>417</v>
      </c>
      <c r="J51" t="s">
        <v>480</v>
      </c>
      <c r="K51" s="190" t="s">
        <v>481</v>
      </c>
      <c r="L51" s="190"/>
      <c r="M51" s="191">
        <v>45106</v>
      </c>
      <c r="N51" s="191"/>
      <c r="O51" s="121" t="s">
        <v>331</v>
      </c>
      <c r="P51" s="191" t="s">
        <v>332</v>
      </c>
      <c r="Q51"/>
    </row>
    <row r="52" spans="1:17" ht="39.6" customHeight="1" x14ac:dyDescent="0.25">
      <c r="A52" s="189" t="str">
        <f ca="1">HYPERLINK(MID(CELL("filename",A1),FIND("[",CELL("filename",A1)),FIND("]",CELL("filename",A1)) - FIND("[",CELL("filename",A1)) + 1) &amp; "'x-418'!TABLE_CLIENT_1","x-418")</f>
        <v>x-418</v>
      </c>
      <c r="B52" s="121" t="s">
        <v>345</v>
      </c>
      <c r="C52" s="121" t="s">
        <v>89</v>
      </c>
      <c r="D52" s="121" t="s">
        <v>469</v>
      </c>
      <c r="E52" s="121" t="s">
        <v>482</v>
      </c>
      <c r="F52" s="121" t="s">
        <v>364</v>
      </c>
      <c r="G52" s="121" t="s">
        <v>483</v>
      </c>
      <c r="H52" s="121">
        <v>1</v>
      </c>
      <c r="I52" s="77">
        <v>418</v>
      </c>
      <c r="J52" t="s">
        <v>484</v>
      </c>
      <c r="K52" s="190" t="s">
        <v>485</v>
      </c>
      <c r="L52" s="190"/>
      <c r="M52" s="191">
        <v>45106</v>
      </c>
      <c r="N52" s="191"/>
      <c r="O52" s="121" t="s">
        <v>331</v>
      </c>
      <c r="P52" s="191" t="s">
        <v>332</v>
      </c>
      <c r="Q52"/>
    </row>
    <row r="53" spans="1:17" ht="39.6" customHeight="1" x14ac:dyDescent="0.25">
      <c r="A53" s="189" t="str">
        <f ca="1">HYPERLINK(MID(CELL("filename",A1),FIND("[",CELL("filename",A1)),FIND("]",CELL("filename",A1)) - FIND("[",CELL("filename",A1)) + 1) &amp; "'x-419'!TABLE_CLIENT_1","x-419")</f>
        <v>x-419</v>
      </c>
      <c r="B53" s="121" t="s">
        <v>324</v>
      </c>
      <c r="C53" s="121" t="s">
        <v>85</v>
      </c>
      <c r="D53" s="121" t="s">
        <v>469</v>
      </c>
      <c r="E53" s="121" t="s">
        <v>486</v>
      </c>
      <c r="F53" s="121" t="s">
        <v>364</v>
      </c>
      <c r="G53" s="121" t="s">
        <v>471</v>
      </c>
      <c r="H53" s="121">
        <v>0</v>
      </c>
      <c r="I53" s="77">
        <v>419</v>
      </c>
      <c r="J53" t="s">
        <v>487</v>
      </c>
      <c r="K53" s="190" t="s">
        <v>488</v>
      </c>
      <c r="L53" s="190"/>
      <c r="M53" s="191">
        <v>45106</v>
      </c>
      <c r="N53" s="191"/>
      <c r="O53" s="121" t="s">
        <v>331</v>
      </c>
      <c r="P53" s="191" t="s">
        <v>332</v>
      </c>
      <c r="Q53"/>
    </row>
    <row r="54" spans="1:17" ht="39.6" customHeight="1" x14ac:dyDescent="0.25">
      <c r="A54" s="189" t="str">
        <f ca="1">HYPERLINK(MID(CELL("filename",A1),FIND("[",CELL("filename",A1)),FIND("]",CELL("filename",A1)) - FIND("[",CELL("filename",A1)) + 1) &amp; "'x-420'!TABLE_CLIENT_1","x-420")</f>
        <v>x-420</v>
      </c>
      <c r="B54" s="121" t="s">
        <v>324</v>
      </c>
      <c r="C54" s="121" t="s">
        <v>85</v>
      </c>
      <c r="D54" s="121" t="s">
        <v>469</v>
      </c>
      <c r="E54" s="121" t="s">
        <v>489</v>
      </c>
      <c r="F54" s="121" t="s">
        <v>364</v>
      </c>
      <c r="G54" s="121" t="s">
        <v>471</v>
      </c>
      <c r="H54" s="121">
        <v>0</v>
      </c>
      <c r="I54" s="77">
        <v>420</v>
      </c>
      <c r="J54" t="s">
        <v>490</v>
      </c>
      <c r="K54" s="190" t="s">
        <v>491</v>
      </c>
      <c r="L54" s="190"/>
      <c r="M54" s="191">
        <v>45106</v>
      </c>
      <c r="N54" s="191"/>
      <c r="O54" s="121" t="s">
        <v>331</v>
      </c>
      <c r="P54" s="191" t="s">
        <v>332</v>
      </c>
      <c r="Q54"/>
    </row>
    <row r="55" spans="1:17" ht="39.6" customHeight="1" x14ac:dyDescent="0.25">
      <c r="A55" s="189" t="str">
        <f ca="1">HYPERLINK(MID(CELL("filename",A1),FIND("[",CELL("filename",A1)),FIND("]",CELL("filename",A1)) - FIND("[",CELL("filename",A1)) + 1) &amp; "'x-421'!TABLE_CLIENT_1","x-421")</f>
        <v>x-421</v>
      </c>
      <c r="B55" s="121" t="s">
        <v>345</v>
      </c>
      <c r="C55" s="121" t="s">
        <v>442</v>
      </c>
      <c r="D55" s="121" t="s">
        <v>418</v>
      </c>
      <c r="E55" s="121" t="s">
        <v>492</v>
      </c>
      <c r="F55" s="121" t="s">
        <v>364</v>
      </c>
      <c r="G55" s="121"/>
      <c r="H55" s="121">
        <v>1</v>
      </c>
      <c r="I55" s="77">
        <v>421</v>
      </c>
      <c r="J55" t="s">
        <v>493</v>
      </c>
      <c r="K55" s="190" t="s">
        <v>494</v>
      </c>
      <c r="L55" s="190"/>
      <c r="M55" s="191">
        <v>45106</v>
      </c>
      <c r="N55" s="191"/>
      <c r="O55" s="121" t="s">
        <v>331</v>
      </c>
      <c r="P55" s="191" t="s">
        <v>332</v>
      </c>
      <c r="Q55"/>
    </row>
    <row r="56" spans="1:17" ht="39.6" customHeight="1" x14ac:dyDescent="0.25">
      <c r="A56" s="189" t="str">
        <f ca="1">HYPERLINK(MID(CELL("filename",A1),FIND("[",CELL("filename",A1)),FIND("]",CELL("filename",A1)) - FIND("[",CELL("filename",A1)) + 1) &amp; "'x-501'!TABLE_CLIENT_1","x-501")</f>
        <v>x-501</v>
      </c>
      <c r="B56" s="121" t="s">
        <v>324</v>
      </c>
      <c r="C56" s="121" t="s">
        <v>85</v>
      </c>
      <c r="D56" s="121" t="s">
        <v>495</v>
      </c>
      <c r="E56" s="121" t="s">
        <v>496</v>
      </c>
      <c r="F56" s="121" t="s">
        <v>364</v>
      </c>
      <c r="G56" s="121" t="s">
        <v>373</v>
      </c>
      <c r="H56" s="121">
        <v>0</v>
      </c>
      <c r="I56" s="77">
        <v>501</v>
      </c>
      <c r="J56" t="s">
        <v>497</v>
      </c>
      <c r="K56" s="190" t="s">
        <v>498</v>
      </c>
      <c r="L56" s="190"/>
      <c r="M56" s="191">
        <v>45135</v>
      </c>
      <c r="N56" s="191"/>
      <c r="O56" s="121" t="s">
        <v>331</v>
      </c>
      <c r="P56" s="191" t="s">
        <v>332</v>
      </c>
      <c r="Q56"/>
    </row>
    <row r="57" spans="1:17" ht="39.6" customHeight="1" x14ac:dyDescent="0.25">
      <c r="A57" s="189" t="str">
        <f ca="1">HYPERLINK(MID(CELL("filename",A1),FIND("[",CELL("filename",A1)),FIND("]",CELL("filename",A1)) - FIND("[",CELL("filename",A1)) + 1) &amp; "'x-502'!TABLE_CLIENT_1","x-502")</f>
        <v>x-502</v>
      </c>
      <c r="B57" s="121" t="s">
        <v>345</v>
      </c>
      <c r="C57" s="121" t="s">
        <v>86</v>
      </c>
      <c r="D57" s="121" t="s">
        <v>495</v>
      </c>
      <c r="E57" s="121" t="s">
        <v>499</v>
      </c>
      <c r="F57" s="121" t="s">
        <v>364</v>
      </c>
      <c r="G57" s="121" t="s">
        <v>373</v>
      </c>
      <c r="H57" s="121">
        <v>1</v>
      </c>
      <c r="I57" s="77">
        <v>502</v>
      </c>
      <c r="J57" t="s">
        <v>500</v>
      </c>
      <c r="K57" s="190" t="s">
        <v>501</v>
      </c>
      <c r="L57" s="190"/>
      <c r="M57" s="191">
        <v>45135</v>
      </c>
      <c r="N57" s="191"/>
      <c r="O57" s="121" t="s">
        <v>331</v>
      </c>
      <c r="P57" s="191" t="s">
        <v>332</v>
      </c>
      <c r="Q57"/>
    </row>
    <row r="58" spans="1:17" ht="39.6" customHeight="1" x14ac:dyDescent="0.25">
      <c r="A58" s="189" t="str">
        <f ca="1">HYPERLINK(MID(CELL("filename",A1),FIND("[",CELL("filename",A1)),FIND("]",CELL("filename",A1)) - FIND("[",CELL("filename",A1)) + 1) &amp; "'x-503'!TABLE_CLIENT_1","x-503")</f>
        <v>x-503</v>
      </c>
      <c r="B58" s="121" t="s">
        <v>345</v>
      </c>
      <c r="C58" s="121" t="s">
        <v>502</v>
      </c>
      <c r="D58" s="121" t="s">
        <v>495</v>
      </c>
      <c r="E58" s="121" t="s">
        <v>503</v>
      </c>
      <c r="F58" s="121" t="s">
        <v>364</v>
      </c>
      <c r="G58" s="121" t="s">
        <v>373</v>
      </c>
      <c r="H58" s="121">
        <v>1</v>
      </c>
      <c r="I58" s="77">
        <v>503</v>
      </c>
      <c r="J58" t="s">
        <v>504</v>
      </c>
      <c r="K58" s="190" t="s">
        <v>505</v>
      </c>
      <c r="L58" s="190"/>
      <c r="M58" s="191">
        <v>45135</v>
      </c>
      <c r="N58" s="191"/>
      <c r="O58" s="121" t="s">
        <v>331</v>
      </c>
      <c r="P58" s="191" t="s">
        <v>332</v>
      </c>
      <c r="Q58"/>
    </row>
    <row r="59" spans="1:17" ht="39.6" customHeight="1" x14ac:dyDescent="0.25">
      <c r="A59" s="189" t="str">
        <f ca="1">HYPERLINK(MID(CELL("filename",A1),FIND("[",CELL("filename",A1)),FIND("]",CELL("filename",A1)) - FIND("[",CELL("filename",A1)) + 1) &amp; "'x-504'!TABLE_CLIENT_1","x-504")</f>
        <v>x-504</v>
      </c>
      <c r="B59" s="121" t="s">
        <v>345</v>
      </c>
      <c r="C59" s="121" t="s">
        <v>86</v>
      </c>
      <c r="D59" s="121" t="s">
        <v>506</v>
      </c>
      <c r="E59" s="121" t="s">
        <v>507</v>
      </c>
      <c r="F59" s="121" t="s">
        <v>327</v>
      </c>
      <c r="G59" s="121" t="s">
        <v>508</v>
      </c>
      <c r="H59" s="121">
        <v>1</v>
      </c>
      <c r="I59" s="77">
        <v>504</v>
      </c>
      <c r="J59" t="s">
        <v>509</v>
      </c>
      <c r="K59" s="190" t="s">
        <v>510</v>
      </c>
      <c r="L59" s="190"/>
      <c r="M59" s="191">
        <v>45135</v>
      </c>
      <c r="N59" s="191"/>
      <c r="O59" s="121" t="s">
        <v>331</v>
      </c>
      <c r="P59" s="191" t="s">
        <v>332</v>
      </c>
      <c r="Q59"/>
    </row>
    <row r="60" spans="1:17" ht="39.6" customHeight="1" x14ac:dyDescent="0.25">
      <c r="A60" s="189" t="str">
        <f ca="1">HYPERLINK(MID(CELL("filename",A1),FIND("[",CELL("filename",A1)),FIND("]",CELL("filename",A1)) - FIND("[",CELL("filename",A1)) + 1) &amp; "'x-505'!TABLE_CLIENT_1","x-505")</f>
        <v>x-505</v>
      </c>
      <c r="B60" s="121" t="s">
        <v>345</v>
      </c>
      <c r="C60" s="121" t="s">
        <v>86</v>
      </c>
      <c r="D60" s="121" t="s">
        <v>506</v>
      </c>
      <c r="E60" s="121" t="s">
        <v>511</v>
      </c>
      <c r="F60" s="121" t="s">
        <v>364</v>
      </c>
      <c r="G60" s="121" t="s">
        <v>508</v>
      </c>
      <c r="H60" s="121">
        <v>1</v>
      </c>
      <c r="I60" s="77">
        <v>505</v>
      </c>
      <c r="J60" t="s">
        <v>512</v>
      </c>
      <c r="K60" s="190" t="s">
        <v>513</v>
      </c>
      <c r="L60" s="190"/>
      <c r="M60" s="191">
        <v>45135</v>
      </c>
      <c r="N60" s="191"/>
      <c r="O60" s="121" t="s">
        <v>331</v>
      </c>
      <c r="P60" s="191" t="s">
        <v>332</v>
      </c>
      <c r="Q60"/>
    </row>
    <row r="61" spans="1:17" ht="39.6" customHeight="1" x14ac:dyDescent="0.25">
      <c r="A61" s="189" t="str">
        <f ca="1">HYPERLINK(MID(CELL("filename",A1),FIND("[",CELL("filename",A1)),FIND("]",CELL("filename",A1)) - FIND("[",CELL("filename",A1)) + 1) &amp; "'x-601'!TABLE_CLIENT_1","x-601")</f>
        <v>x-601</v>
      </c>
      <c r="B61" s="121" t="s">
        <v>324</v>
      </c>
      <c r="C61" s="121" t="s">
        <v>85</v>
      </c>
      <c r="D61" s="121" t="s">
        <v>514</v>
      </c>
      <c r="E61" s="121" t="s">
        <v>515</v>
      </c>
      <c r="F61" s="121" t="s">
        <v>327</v>
      </c>
      <c r="G61" s="121" t="s">
        <v>328</v>
      </c>
      <c r="H61" s="121">
        <v>0</v>
      </c>
      <c r="I61" s="77">
        <v>601</v>
      </c>
      <c r="J61" t="s">
        <v>516</v>
      </c>
      <c r="K61" s="190" t="s">
        <v>517</v>
      </c>
      <c r="L61" s="190"/>
      <c r="M61" s="191">
        <v>45071</v>
      </c>
      <c r="N61" s="191"/>
      <c r="O61" s="121" t="s">
        <v>331</v>
      </c>
      <c r="P61" s="191" t="s">
        <v>332</v>
      </c>
      <c r="Q61"/>
    </row>
    <row r="62" spans="1:17" ht="39.6" customHeight="1" x14ac:dyDescent="0.25">
      <c r="A62" s="189" t="str">
        <f ca="1">HYPERLINK(MID(CELL("filename",A1),FIND("[",CELL("filename",A1)),FIND("]",CELL("filename",A1)) - FIND("[",CELL("filename",A1)) + 1) &amp; "'x-602'!TABLE_CLIENT_1","x-602")</f>
        <v>x-602</v>
      </c>
      <c r="B62" s="121" t="s">
        <v>324</v>
      </c>
      <c r="C62" s="121" t="s">
        <v>85</v>
      </c>
      <c r="D62" s="121" t="s">
        <v>514</v>
      </c>
      <c r="E62" s="121" t="s">
        <v>518</v>
      </c>
      <c r="F62" s="121" t="s">
        <v>327</v>
      </c>
      <c r="G62" s="121" t="s">
        <v>328</v>
      </c>
      <c r="H62" s="121">
        <v>0</v>
      </c>
      <c r="I62" s="77">
        <v>602</v>
      </c>
      <c r="J62" t="s">
        <v>519</v>
      </c>
      <c r="K62" s="190" t="s">
        <v>520</v>
      </c>
      <c r="L62" s="190"/>
      <c r="M62" s="191">
        <v>45071</v>
      </c>
      <c r="N62" s="191"/>
      <c r="O62" s="121" t="s">
        <v>331</v>
      </c>
      <c r="P62" s="191" t="s">
        <v>332</v>
      </c>
      <c r="Q62"/>
    </row>
    <row r="63" spans="1:17" ht="39.6" customHeight="1" x14ac:dyDescent="0.25">
      <c r="A63" s="189" t="str">
        <f ca="1">HYPERLINK(MID(CELL("filename",A1),FIND("[",CELL("filename",A1)),FIND("]",CELL("filename",A1)) - FIND("[",CELL("filename",A1)) + 1) &amp; "'x-603'!TABLE_CLIENT_1","x-603")</f>
        <v>x-603</v>
      </c>
      <c r="B63" s="121" t="s">
        <v>324</v>
      </c>
      <c r="C63" s="121" t="s">
        <v>85</v>
      </c>
      <c r="D63" s="121" t="s">
        <v>514</v>
      </c>
      <c r="E63" s="121" t="s">
        <v>521</v>
      </c>
      <c r="F63" s="121" t="s">
        <v>327</v>
      </c>
      <c r="G63" s="121" t="s">
        <v>328</v>
      </c>
      <c r="H63" s="121">
        <v>0</v>
      </c>
      <c r="I63" s="77">
        <v>603</v>
      </c>
      <c r="J63" t="s">
        <v>522</v>
      </c>
      <c r="K63" s="190" t="s">
        <v>523</v>
      </c>
      <c r="L63" s="190"/>
      <c r="M63" s="191">
        <v>45071</v>
      </c>
      <c r="N63" s="191"/>
      <c r="O63" s="121" t="s">
        <v>331</v>
      </c>
      <c r="P63" s="191" t="s">
        <v>332</v>
      </c>
      <c r="Q63"/>
    </row>
    <row r="64" spans="1:17" ht="39.6" customHeight="1" x14ac:dyDescent="0.25">
      <c r="A64" s="189" t="str">
        <f ca="1">HYPERLINK(MID(CELL("filename",A1),FIND("[",CELL("filename",A1)),FIND("]",CELL("filename",A1)) - FIND("[",CELL("filename",A1)) + 1) &amp; "'x-604'!TABLE_CLIENT_1","x-604")</f>
        <v>x-604</v>
      </c>
      <c r="B64" s="121" t="s">
        <v>345</v>
      </c>
      <c r="C64" s="121" t="s">
        <v>442</v>
      </c>
      <c r="D64" s="121" t="s">
        <v>514</v>
      </c>
      <c r="E64" s="121" t="s">
        <v>524</v>
      </c>
      <c r="F64" s="121" t="s">
        <v>327</v>
      </c>
      <c r="G64" s="121" t="s">
        <v>328</v>
      </c>
      <c r="H64" s="121">
        <v>1</v>
      </c>
      <c r="I64" s="77">
        <v>604</v>
      </c>
      <c r="J64" t="s">
        <v>525</v>
      </c>
      <c r="K64" s="190" t="s">
        <v>526</v>
      </c>
      <c r="L64" s="190"/>
      <c r="M64" s="191">
        <v>45071</v>
      </c>
      <c r="N64" s="191"/>
      <c r="O64" s="121" t="s">
        <v>331</v>
      </c>
      <c r="P64" s="191" t="s">
        <v>332</v>
      </c>
      <c r="Q64"/>
    </row>
    <row r="65" spans="1:17" ht="39.6" customHeight="1" x14ac:dyDescent="0.25">
      <c r="A65" s="189" t="str">
        <f ca="1">HYPERLINK(MID(CELL("filename",A1),FIND("[",CELL("filename",A1)),FIND("]",CELL("filename",A1)) - FIND("[",CELL("filename",A1)) + 1) &amp; "'x-605'!TABLE_CLIENT_1","x-605")</f>
        <v>x-605</v>
      </c>
      <c r="B65" s="121" t="s">
        <v>345</v>
      </c>
      <c r="C65" s="121" t="s">
        <v>89</v>
      </c>
      <c r="D65" s="121" t="s">
        <v>514</v>
      </c>
      <c r="E65" s="121" t="s">
        <v>527</v>
      </c>
      <c r="F65" s="121" t="s">
        <v>327</v>
      </c>
      <c r="G65" s="121" t="s">
        <v>328</v>
      </c>
      <c r="H65" s="121">
        <v>1</v>
      </c>
      <c r="I65" s="77">
        <v>605</v>
      </c>
      <c r="J65" t="s">
        <v>528</v>
      </c>
      <c r="K65" s="190" t="s">
        <v>529</v>
      </c>
      <c r="L65" s="190"/>
      <c r="M65" s="191">
        <v>45071</v>
      </c>
      <c r="N65" s="191"/>
      <c r="O65" s="121" t="s">
        <v>331</v>
      </c>
      <c r="P65" s="191" t="s">
        <v>332</v>
      </c>
      <c r="Q65"/>
    </row>
    <row r="66" spans="1:17" ht="39.6" customHeight="1" x14ac:dyDescent="0.25">
      <c r="A66" s="189" t="str">
        <f ca="1">HYPERLINK(MID(CELL("filename",A1),FIND("[",CELL("filename",A1)),FIND("]",CELL("filename",A1)) - FIND("[",CELL("filename",A1)) + 1) &amp; "'x-606'!TABLE_CLIENT_1","x-606")</f>
        <v>x-606</v>
      </c>
      <c r="B66" s="121" t="s">
        <v>345</v>
      </c>
      <c r="C66" s="121" t="s">
        <v>396</v>
      </c>
      <c r="D66" s="121" t="s">
        <v>514</v>
      </c>
      <c r="E66" s="121" t="s">
        <v>530</v>
      </c>
      <c r="F66" s="121" t="s">
        <v>327</v>
      </c>
      <c r="G66" s="121" t="s">
        <v>531</v>
      </c>
      <c r="H66" s="121">
        <v>1</v>
      </c>
      <c r="I66" s="77">
        <v>606</v>
      </c>
      <c r="J66" t="s">
        <v>532</v>
      </c>
      <c r="K66" s="190" t="s">
        <v>533</v>
      </c>
      <c r="L66" s="190"/>
      <c r="M66" s="191">
        <v>45071</v>
      </c>
      <c r="N66" s="191"/>
      <c r="O66" s="121" t="s">
        <v>331</v>
      </c>
      <c r="P66" s="191" t="s">
        <v>332</v>
      </c>
      <c r="Q66"/>
    </row>
    <row r="67" spans="1:17" ht="39.6" customHeight="1" x14ac:dyDescent="0.25">
      <c r="A67" s="189" t="str">
        <f ca="1">HYPERLINK(MID(CELL("filename",A1),FIND("[",CELL("filename",A1)),FIND("]",CELL("filename",A1)) - FIND("[",CELL("filename",A1)) + 1) &amp; "'x-607'!TABLE_CLIENT_1","x-607")</f>
        <v>x-607</v>
      </c>
      <c r="B67" s="121" t="s">
        <v>345</v>
      </c>
      <c r="C67" s="121" t="s">
        <v>396</v>
      </c>
      <c r="D67" s="121" t="s">
        <v>534</v>
      </c>
      <c r="E67" s="121" t="s">
        <v>535</v>
      </c>
      <c r="F67" s="121" t="s">
        <v>364</v>
      </c>
      <c r="G67" s="121" t="s">
        <v>536</v>
      </c>
      <c r="H67" s="121">
        <v>1</v>
      </c>
      <c r="I67" s="77">
        <v>607</v>
      </c>
      <c r="J67" t="s">
        <v>537</v>
      </c>
      <c r="K67" s="190" t="s">
        <v>538</v>
      </c>
      <c r="L67" s="190"/>
      <c r="M67" s="191">
        <v>45071</v>
      </c>
      <c r="N67" s="191"/>
      <c r="O67" s="121" t="s">
        <v>331</v>
      </c>
      <c r="P67" s="191" t="s">
        <v>332</v>
      </c>
      <c r="Q67"/>
    </row>
    <row r="68" spans="1:17" ht="39.6" customHeight="1" x14ac:dyDescent="0.25">
      <c r="A68" s="189" t="str">
        <f ca="1">HYPERLINK(MID(CELL("filename",A1),FIND("[",CELL("filename",A1)),FIND("]",CELL("filename",A1)) - FIND("[",CELL("filename",A1)) + 1) &amp; "'x-607'!TABLE_CLIENT_2","x-607")</f>
        <v>x-607</v>
      </c>
      <c r="B68" s="121" t="s">
        <v>345</v>
      </c>
      <c r="C68" s="121" t="s">
        <v>396</v>
      </c>
      <c r="D68" s="121" t="s">
        <v>534</v>
      </c>
      <c r="E68" s="121" t="s">
        <v>539</v>
      </c>
      <c r="F68" s="121" t="s">
        <v>364</v>
      </c>
      <c r="G68" s="121" t="s">
        <v>536</v>
      </c>
      <c r="H68" s="121">
        <v>1</v>
      </c>
      <c r="I68" s="77">
        <v>607</v>
      </c>
      <c r="J68" t="s">
        <v>540</v>
      </c>
      <c r="K68" s="190" t="s">
        <v>538</v>
      </c>
      <c r="L68" s="190"/>
      <c r="M68" s="191">
        <v>45071</v>
      </c>
      <c r="N68" s="191"/>
      <c r="O68" s="121" t="s">
        <v>331</v>
      </c>
      <c r="P68" s="191" t="s">
        <v>332</v>
      </c>
      <c r="Q68"/>
    </row>
    <row r="69" spans="1:17" ht="39.6" customHeight="1" x14ac:dyDescent="0.25">
      <c r="A69" s="189" t="str">
        <f ca="1">HYPERLINK(MID(CELL("filename",A1),FIND("[",CELL("filename",A1)),FIND("]",CELL("filename",A1)) - FIND("[",CELL("filename",A1)) + 1) &amp; "'x-608'!TABLE_CLIENT_1","x-608")</f>
        <v>x-608</v>
      </c>
      <c r="B69" s="121" t="s">
        <v>345</v>
      </c>
      <c r="C69" s="121" t="s">
        <v>396</v>
      </c>
      <c r="D69" s="121" t="s">
        <v>514</v>
      </c>
      <c r="E69" s="121" t="s">
        <v>541</v>
      </c>
      <c r="F69" s="121" t="s">
        <v>327</v>
      </c>
      <c r="G69" s="121" t="s">
        <v>328</v>
      </c>
      <c r="H69" s="121">
        <v>1</v>
      </c>
      <c r="I69" s="77">
        <v>608</v>
      </c>
      <c r="J69" t="s">
        <v>542</v>
      </c>
      <c r="K69" s="190" t="s">
        <v>520</v>
      </c>
      <c r="L69" s="190"/>
      <c r="M69" s="191">
        <v>45071</v>
      </c>
      <c r="N69" s="191"/>
      <c r="O69" s="121" t="s">
        <v>331</v>
      </c>
      <c r="P69" s="191" t="s">
        <v>332</v>
      </c>
      <c r="Q69"/>
    </row>
    <row r="70" spans="1:17" ht="39.6" customHeight="1" x14ac:dyDescent="0.25">
      <c r="A70" s="189" t="str">
        <f ca="1">HYPERLINK(MID(CELL("filename",A1),FIND("[",CELL("filename",A1)),FIND("]",CELL("filename",A1)) - FIND("[",CELL("filename",A1)) + 1) &amp; "'x-609'!TABLE_CLIENT_1","x-609")</f>
        <v>x-609</v>
      </c>
      <c r="B70" s="121" t="s">
        <v>345</v>
      </c>
      <c r="C70" s="121" t="s">
        <v>396</v>
      </c>
      <c r="D70" s="121" t="s">
        <v>514</v>
      </c>
      <c r="E70" s="121" t="s">
        <v>543</v>
      </c>
      <c r="F70" s="121" t="s">
        <v>327</v>
      </c>
      <c r="G70" s="121" t="s">
        <v>328</v>
      </c>
      <c r="H70" s="121">
        <v>1</v>
      </c>
      <c r="I70" s="77">
        <v>609</v>
      </c>
      <c r="J70" t="s">
        <v>544</v>
      </c>
      <c r="K70" s="190" t="s">
        <v>523</v>
      </c>
      <c r="L70" s="190"/>
      <c r="M70" s="191">
        <v>45071</v>
      </c>
      <c r="N70" s="191"/>
      <c r="O70" s="121" t="s">
        <v>331</v>
      </c>
      <c r="P70" s="191" t="s">
        <v>332</v>
      </c>
      <c r="Q70"/>
    </row>
    <row r="71" spans="1:17" ht="39.6" customHeight="1" x14ac:dyDescent="0.25">
      <c r="A71" s="189" t="str">
        <f ca="1">HYPERLINK(MID(CELL("filename",A1),FIND("[",CELL("filename",A1)),FIND("]",CELL("filename",A1)) - FIND("[",CELL("filename",A1)) + 1) &amp; "'x-610'!TABLE_CLIENT_1","x-610")</f>
        <v>x-610</v>
      </c>
      <c r="B71" s="121" t="s">
        <v>324</v>
      </c>
      <c r="C71" s="121" t="s">
        <v>85</v>
      </c>
      <c r="D71" s="121" t="s">
        <v>514</v>
      </c>
      <c r="E71" s="121" t="s">
        <v>545</v>
      </c>
      <c r="F71" s="121" t="s">
        <v>327</v>
      </c>
      <c r="G71" s="121" t="s">
        <v>536</v>
      </c>
      <c r="H71" s="121">
        <v>0</v>
      </c>
      <c r="I71" s="77">
        <v>610</v>
      </c>
      <c r="J71" t="s">
        <v>546</v>
      </c>
      <c r="K71" s="190" t="s">
        <v>533</v>
      </c>
      <c r="L71" s="190"/>
      <c r="M71" s="191">
        <v>45071</v>
      </c>
      <c r="N71" s="191"/>
      <c r="O71" s="121" t="s">
        <v>331</v>
      </c>
      <c r="P71" s="191" t="s">
        <v>332</v>
      </c>
      <c r="Q71"/>
    </row>
    <row r="72" spans="1:17" ht="39.6" customHeight="1" x14ac:dyDescent="0.25">
      <c r="A72" s="189" t="str">
        <f ca="1">HYPERLINK(MID(CELL("filename",A1),FIND("[",CELL("filename",A1)),FIND("]",CELL("filename",A1)) - FIND("[",CELL("filename",A1)) + 1) &amp; "'x-611'!TABLE_CLIENT_1","x-611")</f>
        <v>x-611</v>
      </c>
      <c r="B72" s="121" t="s">
        <v>324</v>
      </c>
      <c r="C72" s="121" t="s">
        <v>85</v>
      </c>
      <c r="D72" s="121" t="s">
        <v>534</v>
      </c>
      <c r="E72" s="121" t="s">
        <v>547</v>
      </c>
      <c r="F72" s="121" t="s">
        <v>364</v>
      </c>
      <c r="G72" s="121" t="s">
        <v>536</v>
      </c>
      <c r="H72" s="121">
        <v>0</v>
      </c>
      <c r="I72" s="77">
        <v>611</v>
      </c>
      <c r="J72" t="s">
        <v>548</v>
      </c>
      <c r="K72" s="190" t="s">
        <v>538</v>
      </c>
      <c r="L72" s="190"/>
      <c r="M72" s="191">
        <v>45071</v>
      </c>
      <c r="N72" s="191"/>
      <c r="O72" s="121" t="s">
        <v>331</v>
      </c>
      <c r="P72" s="191" t="s">
        <v>332</v>
      </c>
      <c r="Q72"/>
    </row>
    <row r="73" spans="1:17" ht="39.6" customHeight="1" x14ac:dyDescent="0.25">
      <c r="A73" s="189" t="str">
        <f ca="1">HYPERLINK(MID(CELL("filename",A1),FIND("[",CELL("filename",A1)),FIND("]",CELL("filename",A1)) - FIND("[",CELL("filename",A1)) + 1) &amp; "'x-612'!TABLE_CLIENT_1","x-612")</f>
        <v>x-612</v>
      </c>
      <c r="B73" s="121" t="s">
        <v>324</v>
      </c>
      <c r="C73" s="121" t="s">
        <v>85</v>
      </c>
      <c r="D73" s="121" t="s">
        <v>549</v>
      </c>
      <c r="E73" s="121" t="s">
        <v>550</v>
      </c>
      <c r="F73" s="121" t="s">
        <v>327</v>
      </c>
      <c r="G73" s="121" t="s">
        <v>373</v>
      </c>
      <c r="H73" s="121">
        <v>0</v>
      </c>
      <c r="I73" s="77">
        <v>612</v>
      </c>
      <c r="J73" t="s">
        <v>551</v>
      </c>
      <c r="K73" s="190" t="s">
        <v>552</v>
      </c>
      <c r="L73" s="190"/>
      <c r="M73" s="191">
        <v>45071</v>
      </c>
      <c r="N73" s="191"/>
      <c r="O73" s="121" t="s">
        <v>553</v>
      </c>
      <c r="P73" s="191" t="s">
        <v>332</v>
      </c>
      <c r="Q73"/>
    </row>
    <row r="74" spans="1:17" ht="39.6" customHeight="1" x14ac:dyDescent="0.25">
      <c r="A74" s="189" t="str">
        <f ca="1">HYPERLINK(MID(CELL("filename",A1),FIND("[",CELL("filename",A1)),FIND("]",CELL("filename",A1)) - FIND("[",CELL("filename",A1)) + 1) &amp; "'x-613'!TABLE_CLIENT_1","x-613")</f>
        <v>x-613</v>
      </c>
      <c r="B74" s="121" t="s">
        <v>324</v>
      </c>
      <c r="C74" s="121" t="s">
        <v>85</v>
      </c>
      <c r="D74" s="121" t="s">
        <v>549</v>
      </c>
      <c r="E74" s="121" t="s">
        <v>554</v>
      </c>
      <c r="F74" s="121" t="s">
        <v>327</v>
      </c>
      <c r="G74" s="121" t="s">
        <v>373</v>
      </c>
      <c r="H74" s="121">
        <v>0</v>
      </c>
      <c r="I74" s="77">
        <v>613</v>
      </c>
      <c r="J74" t="s">
        <v>555</v>
      </c>
      <c r="K74" s="190" t="s">
        <v>556</v>
      </c>
      <c r="L74" s="190"/>
      <c r="M74" s="191">
        <v>45071</v>
      </c>
      <c r="N74" s="191"/>
      <c r="O74" s="121" t="s">
        <v>553</v>
      </c>
      <c r="P74" s="191" t="s">
        <v>332</v>
      </c>
      <c r="Q74"/>
    </row>
    <row r="75" spans="1:17" ht="39.6" customHeight="1" x14ac:dyDescent="0.25">
      <c r="A75" s="189" t="str">
        <f ca="1">HYPERLINK(MID(CELL("filename",A1),FIND("[",CELL("filename",A1)),FIND("]",CELL("filename",A1)) - FIND("[",CELL("filename",A1)) + 1) &amp; "'x-614'!TABLE_CLIENT_1","x-614")</f>
        <v>x-614</v>
      </c>
      <c r="B75" s="121" t="s">
        <v>345</v>
      </c>
      <c r="C75" s="121" t="s">
        <v>396</v>
      </c>
      <c r="D75" s="121" t="s">
        <v>549</v>
      </c>
      <c r="E75" s="121" t="s">
        <v>557</v>
      </c>
      <c r="F75" s="121" t="s">
        <v>327</v>
      </c>
      <c r="G75" s="121" t="s">
        <v>373</v>
      </c>
      <c r="H75" s="121">
        <v>1</v>
      </c>
      <c r="I75" s="77">
        <v>614</v>
      </c>
      <c r="J75" t="s">
        <v>558</v>
      </c>
      <c r="K75" s="190" t="s">
        <v>559</v>
      </c>
      <c r="L75" s="190"/>
      <c r="M75" s="191">
        <v>45071</v>
      </c>
      <c r="N75" s="191"/>
      <c r="O75" s="121" t="s">
        <v>553</v>
      </c>
      <c r="P75" s="191" t="s">
        <v>332</v>
      </c>
      <c r="Q75"/>
    </row>
    <row r="76" spans="1:17" ht="39.6" customHeight="1" x14ac:dyDescent="0.25">
      <c r="A76" s="189" t="str">
        <f ca="1">HYPERLINK(MID(CELL("filename",A1),FIND("[",CELL("filename",A1)),FIND("]",CELL("filename",A1)) - FIND("[",CELL("filename",A1)) + 1) &amp; "'x-615'!TABLE_CLIENT_1","x-615")</f>
        <v>x-615</v>
      </c>
      <c r="B76" s="121" t="s">
        <v>345</v>
      </c>
      <c r="C76" s="121" t="s">
        <v>396</v>
      </c>
      <c r="D76" s="121" t="s">
        <v>549</v>
      </c>
      <c r="E76" s="121" t="s">
        <v>554</v>
      </c>
      <c r="F76" s="121" t="s">
        <v>327</v>
      </c>
      <c r="G76" s="121" t="s">
        <v>373</v>
      </c>
      <c r="H76" s="121">
        <v>1</v>
      </c>
      <c r="I76" s="77">
        <v>615</v>
      </c>
      <c r="J76" t="s">
        <v>560</v>
      </c>
      <c r="K76" s="190" t="s">
        <v>561</v>
      </c>
      <c r="L76" s="190"/>
      <c r="M76" s="191">
        <v>45071</v>
      </c>
      <c r="N76" s="191"/>
      <c r="O76" s="121" t="s">
        <v>553</v>
      </c>
      <c r="P76" s="191" t="s">
        <v>332</v>
      </c>
      <c r="Q76"/>
    </row>
    <row r="77" spans="1:17" ht="39.6" customHeight="1" x14ac:dyDescent="0.25">
      <c r="A77" s="189" t="str">
        <f ca="1">HYPERLINK(MID(CELL("filename",A1),FIND("[",CELL("filename",A1)),FIND("]",CELL("filename",A1)) - FIND("[",CELL("filename",A1)) + 1) &amp; "'x-616'!TABLE_CLIENT_1","x-616")</f>
        <v>x-616</v>
      </c>
      <c r="B77" s="121" t="s">
        <v>324</v>
      </c>
      <c r="C77" s="121" t="s">
        <v>85</v>
      </c>
      <c r="D77" s="121" t="s">
        <v>514</v>
      </c>
      <c r="E77" s="121" t="s">
        <v>363</v>
      </c>
      <c r="F77" s="121" t="s">
        <v>364</v>
      </c>
      <c r="G77" s="121" t="s">
        <v>365</v>
      </c>
      <c r="H77" s="121">
        <v>0</v>
      </c>
      <c r="I77" s="77">
        <v>616</v>
      </c>
      <c r="J77" t="s">
        <v>562</v>
      </c>
      <c r="K77" s="190" t="s">
        <v>529</v>
      </c>
      <c r="L77" s="190"/>
      <c r="M77" s="191">
        <v>45071</v>
      </c>
      <c r="N77" s="191"/>
      <c r="O77" s="121" t="s">
        <v>331</v>
      </c>
      <c r="P77" s="191" t="s">
        <v>332</v>
      </c>
      <c r="Q77"/>
    </row>
    <row r="78" spans="1:17" ht="39.6" customHeight="1" x14ac:dyDescent="0.25">
      <c r="A78" s="189" t="str">
        <f ca="1">HYPERLINK(MID(CELL("filename",A1),FIND("[",CELL("filename",A1)),FIND("]",CELL("filename",A1)) - FIND("[",CELL("filename",A1)) + 1) &amp; "'x-617'!TABLE_CLIENT_1","x-617")</f>
        <v>x-617</v>
      </c>
      <c r="B78" s="121" t="s">
        <v>345</v>
      </c>
      <c r="C78" s="121" t="s">
        <v>89</v>
      </c>
      <c r="D78" s="121" t="s">
        <v>514</v>
      </c>
      <c r="E78" s="121" t="s">
        <v>368</v>
      </c>
      <c r="F78" s="121" t="s">
        <v>364</v>
      </c>
      <c r="G78" s="121" t="s">
        <v>365</v>
      </c>
      <c r="H78" s="121">
        <v>1</v>
      </c>
      <c r="I78" s="77">
        <v>617</v>
      </c>
      <c r="J78" t="s">
        <v>563</v>
      </c>
      <c r="K78" s="190" t="s">
        <v>564</v>
      </c>
      <c r="L78" s="190"/>
      <c r="M78" s="191">
        <v>45071</v>
      </c>
      <c r="N78" s="191"/>
      <c r="O78" s="121" t="s">
        <v>331</v>
      </c>
      <c r="P78" s="191" t="s">
        <v>332</v>
      </c>
      <c r="Q78"/>
    </row>
    <row r="79" spans="1:17" ht="39.6" customHeight="1" x14ac:dyDescent="0.25">
      <c r="A79" s="189" t="str">
        <f ca="1">HYPERLINK(MID(CELL("filename",A1),FIND("[",CELL("filename",A1)),FIND("]",CELL("filename",A1)) - FIND("[",CELL("filename",A1)) + 1) &amp; "'x-701'!TABLE_CLIENT_1","x-701")</f>
        <v>x-701</v>
      </c>
      <c r="B79" s="121" t="s">
        <v>324</v>
      </c>
      <c r="C79" s="121" t="s">
        <v>85</v>
      </c>
      <c r="D79" s="121" t="s">
        <v>565</v>
      </c>
      <c r="E79" s="121" t="s">
        <v>566</v>
      </c>
      <c r="F79" s="121" t="s">
        <v>364</v>
      </c>
      <c r="G79" s="121" t="s">
        <v>567</v>
      </c>
      <c r="H79" s="121">
        <v>0</v>
      </c>
      <c r="I79" s="77">
        <v>701</v>
      </c>
      <c r="J79" t="s">
        <v>568</v>
      </c>
      <c r="K79" s="190" t="s">
        <v>569</v>
      </c>
      <c r="L79" s="190"/>
      <c r="M79" s="191">
        <v>45135</v>
      </c>
      <c r="N79" s="191"/>
      <c r="O79" s="121" t="s">
        <v>331</v>
      </c>
      <c r="P79" s="191" t="s">
        <v>332</v>
      </c>
      <c r="Q79"/>
    </row>
    <row r="80" spans="1:17" ht="39.6" customHeight="1" x14ac:dyDescent="0.25">
      <c r="A80" s="189" t="str">
        <f ca="1">HYPERLINK(MID(CELL("filename",A1),FIND("[",CELL("filename",A1)),FIND("]",CELL("filename",A1)) - FIND("[",CELL("filename",A1)) + 1) &amp; "'x-702'!TABLE_CLIENT_1","x-702")</f>
        <v>x-702</v>
      </c>
      <c r="B80" s="121" t="s">
        <v>324</v>
      </c>
      <c r="C80" s="121" t="s">
        <v>85</v>
      </c>
      <c r="D80" s="121" t="s">
        <v>565</v>
      </c>
      <c r="E80" s="121" t="s">
        <v>570</v>
      </c>
      <c r="F80" s="121" t="s">
        <v>364</v>
      </c>
      <c r="G80" s="121" t="s">
        <v>567</v>
      </c>
      <c r="H80" s="121">
        <v>0</v>
      </c>
      <c r="I80" s="77">
        <v>702</v>
      </c>
      <c r="J80" t="s">
        <v>571</v>
      </c>
      <c r="K80" s="190" t="s">
        <v>572</v>
      </c>
      <c r="L80" s="190"/>
      <c r="M80" s="191">
        <v>45135</v>
      </c>
      <c r="N80" s="191"/>
      <c r="O80" s="121" t="s">
        <v>331</v>
      </c>
      <c r="P80" s="191" t="s">
        <v>332</v>
      </c>
      <c r="Q80"/>
    </row>
    <row r="81" spans="1:17" ht="39.6" customHeight="1" x14ac:dyDescent="0.25">
      <c r="A81" s="189" t="str">
        <f ca="1">HYPERLINK(MID(CELL("filename",A1),FIND("[",CELL("filename",A1)),FIND("]",CELL("filename",A1)) - FIND("[",CELL("filename",A1)) + 1) &amp; "'x-703'!TABLE_CLIENT_1","x-703")</f>
        <v>x-703</v>
      </c>
      <c r="B81" s="121" t="s">
        <v>324</v>
      </c>
      <c r="C81" s="121" t="s">
        <v>85</v>
      </c>
      <c r="D81" s="121" t="s">
        <v>565</v>
      </c>
      <c r="E81" s="121" t="s">
        <v>573</v>
      </c>
      <c r="F81" s="121" t="s">
        <v>364</v>
      </c>
      <c r="G81" s="121" t="s">
        <v>567</v>
      </c>
      <c r="H81" s="121">
        <v>0</v>
      </c>
      <c r="I81" s="77">
        <v>703</v>
      </c>
      <c r="J81" t="s">
        <v>574</v>
      </c>
      <c r="K81" s="190" t="s">
        <v>575</v>
      </c>
      <c r="L81" s="190"/>
      <c r="M81" s="191">
        <v>45135</v>
      </c>
      <c r="N81" s="191"/>
      <c r="O81" s="121" t="s">
        <v>331</v>
      </c>
      <c r="P81" s="191" t="s">
        <v>332</v>
      </c>
      <c r="Q81"/>
    </row>
    <row r="82" spans="1:17" ht="39.6" customHeight="1" x14ac:dyDescent="0.25">
      <c r="A82" s="189" t="str">
        <f ca="1">HYPERLINK(MID(CELL("filename",A1),FIND("[",CELL("filename",A1)),FIND("]",CELL("filename",A1)) - FIND("[",CELL("filename",A1)) + 1) &amp; "'x-704'!TABLE_CLIENT_1","x-704")</f>
        <v>x-704</v>
      </c>
      <c r="B82" s="121" t="s">
        <v>324</v>
      </c>
      <c r="C82" s="121" t="s">
        <v>85</v>
      </c>
      <c r="D82" s="121" t="s">
        <v>565</v>
      </c>
      <c r="E82" s="121" t="s">
        <v>576</v>
      </c>
      <c r="F82" s="121" t="s">
        <v>364</v>
      </c>
      <c r="G82" s="121" t="s">
        <v>567</v>
      </c>
      <c r="H82" s="121">
        <v>0</v>
      </c>
      <c r="I82" s="77">
        <v>704</v>
      </c>
      <c r="J82" t="s">
        <v>577</v>
      </c>
      <c r="K82" s="190" t="s">
        <v>578</v>
      </c>
      <c r="L82" s="190"/>
      <c r="M82" s="191">
        <v>45135</v>
      </c>
      <c r="N82" s="191"/>
      <c r="O82" s="121" t="s">
        <v>331</v>
      </c>
      <c r="P82" s="191" t="s">
        <v>332</v>
      </c>
      <c r="Q82"/>
    </row>
    <row r="83" spans="1:17" ht="39.6" customHeight="1" x14ac:dyDescent="0.25">
      <c r="A83" s="189" t="str">
        <f ca="1">HYPERLINK(MID(CELL("filename",A1),FIND("[",CELL("filename",A1)),FIND("]",CELL("filename",A1)) - FIND("[",CELL("filename",A1)) + 1) &amp; "'x-705'!TABLE_CLIENT_1","x-705")</f>
        <v>x-705</v>
      </c>
      <c r="B83" s="121" t="s">
        <v>324</v>
      </c>
      <c r="C83" s="121" t="s">
        <v>85</v>
      </c>
      <c r="D83" s="121" t="s">
        <v>565</v>
      </c>
      <c r="E83" s="121" t="s">
        <v>579</v>
      </c>
      <c r="F83" s="121" t="s">
        <v>364</v>
      </c>
      <c r="G83" s="121" t="s">
        <v>567</v>
      </c>
      <c r="H83" s="121">
        <v>0</v>
      </c>
      <c r="I83" s="77">
        <v>705</v>
      </c>
      <c r="J83" t="s">
        <v>580</v>
      </c>
      <c r="K83" s="190" t="s">
        <v>581</v>
      </c>
      <c r="L83" s="190"/>
      <c r="M83" s="191">
        <v>45135</v>
      </c>
      <c r="N83" s="191"/>
      <c r="O83" s="121" t="s">
        <v>331</v>
      </c>
      <c r="P83" s="191" t="s">
        <v>332</v>
      </c>
      <c r="Q83"/>
    </row>
    <row r="84" spans="1:17" ht="39.6" customHeight="1" x14ac:dyDescent="0.25">
      <c r="A84" s="189" t="str">
        <f ca="1">HYPERLINK(MID(CELL("filename",A1),FIND("[",CELL("filename",A1)),FIND("]",CELL("filename",A1)) - FIND("[",CELL("filename",A1)) + 1) &amp; "'x-706'!TABLE_CLIENT_1","x-706")</f>
        <v>x-706</v>
      </c>
      <c r="B84" s="121" t="s">
        <v>345</v>
      </c>
      <c r="C84" s="121" t="s">
        <v>442</v>
      </c>
      <c r="D84" s="121" t="s">
        <v>565</v>
      </c>
      <c r="E84" s="121" t="s">
        <v>582</v>
      </c>
      <c r="F84" s="121" t="s">
        <v>364</v>
      </c>
      <c r="G84" s="121" t="s">
        <v>567</v>
      </c>
      <c r="H84" s="121">
        <v>1</v>
      </c>
      <c r="I84" s="77">
        <v>706</v>
      </c>
      <c r="J84" t="s">
        <v>583</v>
      </c>
      <c r="K84" s="190" t="s">
        <v>584</v>
      </c>
      <c r="L84" s="190"/>
      <c r="M84" s="191">
        <v>45135</v>
      </c>
      <c r="N84" s="191"/>
      <c r="O84" s="121" t="s">
        <v>331</v>
      </c>
      <c r="P84" s="191" t="s">
        <v>332</v>
      </c>
      <c r="Q84"/>
    </row>
    <row r="85" spans="1:17" ht="39.6" customHeight="1" x14ac:dyDescent="0.25">
      <c r="A85" s="189" t="str">
        <f ca="1">HYPERLINK(MID(CELL("filename",A1),FIND("[",CELL("filename",A1)),FIND("]",CELL("filename",A1)) - FIND("[",CELL("filename",A1)) + 1) &amp; "'x-707'!TABLE_CLIENT_1","x-707")</f>
        <v>x-707</v>
      </c>
      <c r="B85" s="121" t="s">
        <v>345</v>
      </c>
      <c r="C85" s="121" t="s">
        <v>442</v>
      </c>
      <c r="D85" s="121" t="s">
        <v>565</v>
      </c>
      <c r="E85" s="121" t="s">
        <v>585</v>
      </c>
      <c r="F85" s="121" t="s">
        <v>364</v>
      </c>
      <c r="G85" s="121" t="s">
        <v>567</v>
      </c>
      <c r="H85" s="121">
        <v>1</v>
      </c>
      <c r="I85" s="77">
        <v>707</v>
      </c>
      <c r="J85" t="s">
        <v>586</v>
      </c>
      <c r="K85" s="190" t="s">
        <v>587</v>
      </c>
      <c r="L85" s="190"/>
      <c r="M85" s="191">
        <v>45135</v>
      </c>
      <c r="N85" s="191"/>
      <c r="O85" s="121" t="s">
        <v>331</v>
      </c>
      <c r="P85" s="191" t="s">
        <v>332</v>
      </c>
      <c r="Q85"/>
    </row>
    <row r="86" spans="1:17" ht="39.6" customHeight="1" x14ac:dyDescent="0.25">
      <c r="A86" s="189" t="str">
        <f ca="1">HYPERLINK(MID(CELL("filename",A1),FIND("[",CELL("filename",A1)),FIND("]",CELL("filename",A1)) - FIND("[",CELL("filename",A1)) + 1) &amp; "'x-708'!TABLE_CLIENT_1","x-708")</f>
        <v>x-708</v>
      </c>
      <c r="B86" s="121" t="s">
        <v>345</v>
      </c>
      <c r="C86" s="121" t="s">
        <v>89</v>
      </c>
      <c r="D86" s="121" t="s">
        <v>565</v>
      </c>
      <c r="E86" s="121" t="s">
        <v>588</v>
      </c>
      <c r="F86" s="121" t="s">
        <v>364</v>
      </c>
      <c r="G86" s="121" t="s">
        <v>567</v>
      </c>
      <c r="H86" s="121">
        <v>1</v>
      </c>
      <c r="I86" s="77">
        <v>708</v>
      </c>
      <c r="J86" t="s">
        <v>589</v>
      </c>
      <c r="K86" s="190" t="s">
        <v>590</v>
      </c>
      <c r="L86" s="190"/>
      <c r="M86" s="191">
        <v>45135</v>
      </c>
      <c r="N86" s="191"/>
      <c r="O86" s="121" t="s">
        <v>331</v>
      </c>
      <c r="P86" s="191" t="s">
        <v>332</v>
      </c>
      <c r="Q86"/>
    </row>
    <row r="87" spans="1:17" ht="39.6" customHeight="1" x14ac:dyDescent="0.25">
      <c r="A87" s="189" t="str">
        <f ca="1">HYPERLINK(MID(CELL("filename",A1),FIND("[",CELL("filename",A1)),FIND("]",CELL("filename",A1)) - FIND("[",CELL("filename",A1)) + 1) &amp; "'x-709'!TABLE_CLIENT_1","x-709")</f>
        <v>x-709</v>
      </c>
      <c r="B87" s="121" t="s">
        <v>345</v>
      </c>
      <c r="C87" s="121" t="s">
        <v>89</v>
      </c>
      <c r="D87" s="121" t="s">
        <v>565</v>
      </c>
      <c r="E87" s="121" t="s">
        <v>591</v>
      </c>
      <c r="F87" s="121" t="s">
        <v>364</v>
      </c>
      <c r="G87" s="121" t="s">
        <v>567</v>
      </c>
      <c r="H87" s="121">
        <v>1</v>
      </c>
      <c r="I87" s="77">
        <v>709</v>
      </c>
      <c r="J87" t="s">
        <v>592</v>
      </c>
      <c r="K87" s="190" t="s">
        <v>593</v>
      </c>
      <c r="L87" s="190"/>
      <c r="M87" s="191">
        <v>45135</v>
      </c>
      <c r="N87" s="191"/>
      <c r="O87" s="121" t="s">
        <v>331</v>
      </c>
      <c r="P87" s="191" t="s">
        <v>332</v>
      </c>
      <c r="Q87"/>
    </row>
    <row r="88" spans="1:17" ht="39.6" customHeight="1" x14ac:dyDescent="0.25">
      <c r="A88" s="189" t="str">
        <f ca="1">HYPERLINK(MID(CELL("filename",A1),FIND("[",CELL("filename",A1)),FIND("]",CELL("filename",A1)) - FIND("[",CELL("filename",A1)) + 1) &amp; "'x-710'!TABLE_CLIENT_1","x-710")</f>
        <v>x-710</v>
      </c>
      <c r="B88" s="121" t="s">
        <v>345</v>
      </c>
      <c r="C88" s="121" t="s">
        <v>346</v>
      </c>
      <c r="D88" s="121" t="s">
        <v>565</v>
      </c>
      <c r="E88" s="121" t="s">
        <v>594</v>
      </c>
      <c r="F88" s="121" t="s">
        <v>364</v>
      </c>
      <c r="G88" s="121" t="s">
        <v>567</v>
      </c>
      <c r="H88" s="121">
        <v>1</v>
      </c>
      <c r="I88" s="77">
        <v>710</v>
      </c>
      <c r="J88" t="s">
        <v>595</v>
      </c>
      <c r="K88" s="190" t="s">
        <v>596</v>
      </c>
      <c r="L88" s="190"/>
      <c r="M88" s="191">
        <v>45135</v>
      </c>
      <c r="N88" s="191"/>
      <c r="O88" s="121" t="s">
        <v>331</v>
      </c>
      <c r="P88" s="191" t="s">
        <v>332</v>
      </c>
      <c r="Q88"/>
    </row>
    <row r="89" spans="1:17" ht="39.6" customHeight="1" x14ac:dyDescent="0.25">
      <c r="A89" s="189" t="str">
        <f ca="1">HYPERLINK(MID(CELL("filename",A1),FIND("[",CELL("filename",A1)),FIND("]",CELL("filename",A1)) - FIND("[",CELL("filename",A1)) + 1) &amp; "'x-711'!TABLE_CLIENT_1","x-711")</f>
        <v>x-711</v>
      </c>
      <c r="B89" s="121" t="s">
        <v>345</v>
      </c>
      <c r="C89" s="121" t="s">
        <v>346</v>
      </c>
      <c r="D89" s="121" t="s">
        <v>565</v>
      </c>
      <c r="E89" s="121" t="s">
        <v>597</v>
      </c>
      <c r="F89" s="121" t="s">
        <v>364</v>
      </c>
      <c r="G89" s="121" t="s">
        <v>567</v>
      </c>
      <c r="H89" s="121">
        <v>1</v>
      </c>
      <c r="I89" s="77">
        <v>711</v>
      </c>
      <c r="J89" t="s">
        <v>598</v>
      </c>
      <c r="K89" s="190" t="s">
        <v>599</v>
      </c>
      <c r="L89" s="190"/>
      <c r="M89" s="191">
        <v>45135</v>
      </c>
      <c r="N89" s="191"/>
      <c r="O89" s="121" t="s">
        <v>331</v>
      </c>
      <c r="P89" s="191" t="s">
        <v>332</v>
      </c>
      <c r="Q89"/>
    </row>
    <row r="90" spans="1:17" ht="39.6" customHeight="1" x14ac:dyDescent="0.25">
      <c r="A90" s="189" t="str">
        <f ca="1">HYPERLINK(MID(CELL("filename",A1),FIND("[",CELL("filename",A1)),FIND("]",CELL("filename",A1)) - FIND("[",CELL("filename",A1)) + 1) &amp; "'x-712'!TABLE_CLIENT_1","x-712")</f>
        <v>x-712</v>
      </c>
      <c r="B90" s="121" t="s">
        <v>345</v>
      </c>
      <c r="C90" s="121" t="s">
        <v>600</v>
      </c>
      <c r="D90" s="121" t="s">
        <v>565</v>
      </c>
      <c r="E90" s="121" t="s">
        <v>601</v>
      </c>
      <c r="F90" s="121" t="s">
        <v>364</v>
      </c>
      <c r="G90" s="121" t="s">
        <v>567</v>
      </c>
      <c r="H90" s="121">
        <v>1</v>
      </c>
      <c r="I90" s="77">
        <v>712</v>
      </c>
      <c r="J90" t="s">
        <v>602</v>
      </c>
      <c r="K90" s="190" t="s">
        <v>584</v>
      </c>
      <c r="L90" s="190"/>
      <c r="M90" s="191">
        <v>45135</v>
      </c>
      <c r="N90" s="191"/>
      <c r="O90" s="121" t="s">
        <v>331</v>
      </c>
      <c r="P90" s="191" t="s">
        <v>332</v>
      </c>
      <c r="Q90"/>
    </row>
    <row r="91" spans="1:17" ht="39.6" customHeight="1" x14ac:dyDescent="0.25">
      <c r="A91" s="189" t="str">
        <f ca="1">HYPERLINK(MID(CELL("filename",A1),FIND("[",CELL("filename",A1)),FIND("]",CELL("filename",A1)) - FIND("[",CELL("filename",A1)) + 1) &amp; "'x-713'!TABLE_CLIENT_1","x-713")</f>
        <v>x-713</v>
      </c>
      <c r="B91" s="121" t="s">
        <v>345</v>
      </c>
      <c r="C91" s="121" t="s">
        <v>600</v>
      </c>
      <c r="D91" s="121" t="s">
        <v>565</v>
      </c>
      <c r="E91" s="121" t="s">
        <v>603</v>
      </c>
      <c r="F91" s="121" t="s">
        <v>364</v>
      </c>
      <c r="G91" s="121" t="s">
        <v>567</v>
      </c>
      <c r="H91" s="121">
        <v>1</v>
      </c>
      <c r="I91" s="77">
        <v>713</v>
      </c>
      <c r="J91" t="s">
        <v>604</v>
      </c>
      <c r="K91" s="190" t="s">
        <v>587</v>
      </c>
      <c r="L91" s="190"/>
      <c r="M91" s="191">
        <v>45135</v>
      </c>
      <c r="N91" s="191"/>
      <c r="O91" s="121" t="s">
        <v>331</v>
      </c>
      <c r="P91" s="191" t="s">
        <v>332</v>
      </c>
      <c r="Q91"/>
    </row>
    <row r="92" spans="1:17" ht="39.6" customHeight="1" x14ac:dyDescent="0.25">
      <c r="A92" s="189" t="str">
        <f ca="1">HYPERLINK(MID(CELL("filename",A1),FIND("[",CELL("filename",A1)),FIND("]",CELL("filename",A1)) - FIND("[",CELL("filename",A1)) + 1) &amp; "'x-714'!TABLE_CLIENT_1","x-714")</f>
        <v>x-714</v>
      </c>
      <c r="B92" s="121" t="s">
        <v>324</v>
      </c>
      <c r="C92" s="121" t="s">
        <v>85</v>
      </c>
      <c r="D92" s="121" t="s">
        <v>605</v>
      </c>
      <c r="E92" s="121" t="s">
        <v>606</v>
      </c>
      <c r="F92" s="121" t="s">
        <v>607</v>
      </c>
      <c r="G92" s="121" t="s">
        <v>328</v>
      </c>
      <c r="H92" s="121">
        <v>0</v>
      </c>
      <c r="I92" s="77">
        <v>714</v>
      </c>
      <c r="J92" t="s">
        <v>608</v>
      </c>
      <c r="K92" s="190" t="s">
        <v>609</v>
      </c>
      <c r="L92" s="190"/>
      <c r="M92" s="191">
        <v>45184</v>
      </c>
      <c r="N92" s="191"/>
      <c r="O92" s="121" t="s">
        <v>331</v>
      </c>
      <c r="P92" s="191" t="s">
        <v>332</v>
      </c>
      <c r="Q92"/>
    </row>
    <row r="93" spans="1:17" ht="39.6" customHeight="1" x14ac:dyDescent="0.25">
      <c r="A93" s="189" t="str">
        <f ca="1">HYPERLINK(MID(CELL("filename",A1),FIND("[",CELL("filename",A1)),FIND("]",CELL("filename",A1)) - FIND("[",CELL("filename",A1)) + 1) &amp; "'x-715'!TABLE_CLIENT_1","x-715")</f>
        <v>x-715</v>
      </c>
      <c r="B93" s="121" t="s">
        <v>324</v>
      </c>
      <c r="C93" s="121" t="s">
        <v>85</v>
      </c>
      <c r="D93" s="121" t="s">
        <v>605</v>
      </c>
      <c r="E93" s="121" t="s">
        <v>610</v>
      </c>
      <c r="F93" s="121" t="s">
        <v>607</v>
      </c>
      <c r="G93" s="121" t="s">
        <v>328</v>
      </c>
      <c r="H93" s="121">
        <v>0</v>
      </c>
      <c r="I93" s="77">
        <v>715</v>
      </c>
      <c r="J93" t="s">
        <v>611</v>
      </c>
      <c r="K93" s="190" t="s">
        <v>612</v>
      </c>
      <c r="L93" s="190"/>
      <c r="M93" s="191">
        <v>45184</v>
      </c>
      <c r="N93" s="191"/>
      <c r="O93" s="121" t="s">
        <v>331</v>
      </c>
      <c r="P93" s="191" t="s">
        <v>332</v>
      </c>
      <c r="Q93"/>
    </row>
    <row r="94" spans="1:17" ht="39.6" customHeight="1" x14ac:dyDescent="0.25">
      <c r="A94" s="189" t="str">
        <f ca="1">HYPERLINK(MID(CELL("filename",A1),FIND("[",CELL("filename",A1)),FIND("]",CELL("filename",A1)) - FIND("[",CELL("filename",A1)) + 1) &amp; "'x-716'!TABLE_CLIENT_1","x-716")</f>
        <v>x-716</v>
      </c>
      <c r="B94" s="121" t="s">
        <v>324</v>
      </c>
      <c r="C94" s="121" t="s">
        <v>85</v>
      </c>
      <c r="D94" s="121" t="s">
        <v>605</v>
      </c>
      <c r="E94" s="121" t="s">
        <v>613</v>
      </c>
      <c r="F94" s="121" t="s">
        <v>607</v>
      </c>
      <c r="G94" s="121" t="s">
        <v>328</v>
      </c>
      <c r="H94" s="121">
        <v>0</v>
      </c>
      <c r="I94" s="77">
        <v>716</v>
      </c>
      <c r="J94" t="s">
        <v>614</v>
      </c>
      <c r="K94" s="190" t="s">
        <v>615</v>
      </c>
      <c r="L94" s="190"/>
      <c r="M94" s="191">
        <v>45184</v>
      </c>
      <c r="N94" s="191"/>
      <c r="O94" s="121" t="s">
        <v>331</v>
      </c>
      <c r="P94" s="191" t="s">
        <v>332</v>
      </c>
      <c r="Q94"/>
    </row>
    <row r="95" spans="1:17" ht="39.6" customHeight="1" x14ac:dyDescent="0.25">
      <c r="A95" s="189" t="str">
        <f ca="1">HYPERLINK(MID(CELL("filename",A1),FIND("[",CELL("filename",A1)),FIND("]",CELL("filename",A1)) - FIND("[",CELL("filename",A1)) + 1) &amp; "'x-717'!TABLE_CLIENT_1","x-717")</f>
        <v>x-717</v>
      </c>
      <c r="B95" s="121" t="s">
        <v>324</v>
      </c>
      <c r="C95" s="121" t="s">
        <v>85</v>
      </c>
      <c r="D95" s="121" t="s">
        <v>605</v>
      </c>
      <c r="E95" s="121" t="s">
        <v>616</v>
      </c>
      <c r="F95" s="121" t="s">
        <v>607</v>
      </c>
      <c r="G95" s="121" t="s">
        <v>328</v>
      </c>
      <c r="H95" s="121">
        <v>0</v>
      </c>
      <c r="I95" s="77">
        <v>717</v>
      </c>
      <c r="J95" t="s">
        <v>617</v>
      </c>
      <c r="K95" s="190" t="s">
        <v>618</v>
      </c>
      <c r="L95" s="190"/>
      <c r="M95" s="191">
        <v>45184</v>
      </c>
      <c r="N95" s="191"/>
      <c r="O95" s="121" t="s">
        <v>331</v>
      </c>
      <c r="P95" s="191" t="s">
        <v>332</v>
      </c>
      <c r="Q95"/>
    </row>
    <row r="96" spans="1:17" ht="39.6" customHeight="1" x14ac:dyDescent="0.25">
      <c r="A96" s="189" t="str">
        <f ca="1">HYPERLINK(MID(CELL("filename",A1),FIND("[",CELL("filename",A1)),FIND("]",CELL("filename",A1)) - FIND("[",CELL("filename",A1)) + 1) &amp; "'x-718'!TABLE_CLIENT_1","x-718")</f>
        <v>x-718</v>
      </c>
      <c r="B96" s="121" t="s">
        <v>324</v>
      </c>
      <c r="C96" s="121" t="s">
        <v>85</v>
      </c>
      <c r="D96" s="121" t="s">
        <v>605</v>
      </c>
      <c r="E96" s="121" t="s">
        <v>619</v>
      </c>
      <c r="F96" s="121" t="s">
        <v>607</v>
      </c>
      <c r="G96" s="121" t="s">
        <v>328</v>
      </c>
      <c r="H96" s="121">
        <v>0</v>
      </c>
      <c r="I96" s="77">
        <v>718</v>
      </c>
      <c r="J96" t="s">
        <v>620</v>
      </c>
      <c r="K96" s="190" t="s">
        <v>621</v>
      </c>
      <c r="L96" s="190"/>
      <c r="M96" s="191">
        <v>45184</v>
      </c>
      <c r="N96" s="191"/>
      <c r="O96" s="121" t="s">
        <v>331</v>
      </c>
      <c r="P96" s="191" t="s">
        <v>332</v>
      </c>
      <c r="Q96"/>
    </row>
    <row r="97" spans="1:17" ht="39.6" customHeight="1" x14ac:dyDescent="0.25">
      <c r="A97" s="189" t="str">
        <f ca="1">HYPERLINK(MID(CELL("filename",A1),FIND("[",CELL("filename",A1)),FIND("]",CELL("filename",A1)) - FIND("[",CELL("filename",A1)) + 1) &amp; "'x-719'!TABLE_CLIENT_1","x-719")</f>
        <v>x-719</v>
      </c>
      <c r="B97" s="121" t="s">
        <v>324</v>
      </c>
      <c r="C97" s="121" t="s">
        <v>85</v>
      </c>
      <c r="D97" s="121" t="s">
        <v>605</v>
      </c>
      <c r="E97" s="121" t="s">
        <v>622</v>
      </c>
      <c r="F97" s="121" t="s">
        <v>607</v>
      </c>
      <c r="G97" s="121" t="s">
        <v>328</v>
      </c>
      <c r="H97" s="121">
        <v>0</v>
      </c>
      <c r="I97" s="77">
        <v>719</v>
      </c>
      <c r="J97" t="s">
        <v>623</v>
      </c>
      <c r="K97" s="190" t="s">
        <v>624</v>
      </c>
      <c r="L97" s="190"/>
      <c r="M97" s="191">
        <v>45184</v>
      </c>
      <c r="N97" s="191"/>
      <c r="O97" s="121" t="s">
        <v>331</v>
      </c>
      <c r="P97" s="191" t="s">
        <v>332</v>
      </c>
      <c r="Q97"/>
    </row>
    <row r="98" spans="1:17" ht="39.6" customHeight="1" x14ac:dyDescent="0.25">
      <c r="A98" s="189" t="str">
        <f ca="1">HYPERLINK(MID(CELL("filename",A1),FIND("[",CELL("filename",A1)),FIND("]",CELL("filename",A1)) - FIND("[",CELL("filename",A1)) + 1) &amp; "'x-720'!TABLE_CLIENT_1","x-720")</f>
        <v>x-720</v>
      </c>
      <c r="B98" s="121" t="s">
        <v>324</v>
      </c>
      <c r="C98" s="121" t="s">
        <v>85</v>
      </c>
      <c r="D98" s="121" t="s">
        <v>605</v>
      </c>
      <c r="E98" s="121" t="s">
        <v>625</v>
      </c>
      <c r="F98" s="121" t="s">
        <v>607</v>
      </c>
      <c r="G98" s="121" t="s">
        <v>328</v>
      </c>
      <c r="H98" s="121">
        <v>0</v>
      </c>
      <c r="I98" s="77">
        <v>720</v>
      </c>
      <c r="J98" t="s">
        <v>626</v>
      </c>
      <c r="K98" s="190" t="s">
        <v>627</v>
      </c>
      <c r="L98" s="190"/>
      <c r="M98" s="191">
        <v>45184</v>
      </c>
      <c r="N98" s="191"/>
      <c r="O98" s="121" t="s">
        <v>331</v>
      </c>
      <c r="P98" s="191" t="s">
        <v>332</v>
      </c>
      <c r="Q98"/>
    </row>
    <row r="99" spans="1:17" ht="39.6" customHeight="1" x14ac:dyDescent="0.25">
      <c r="A99" s="189" t="str">
        <f ca="1">HYPERLINK(MID(CELL("filename",A1),FIND("[",CELL("filename",A1)),FIND("]",CELL("filename",A1)) - FIND("[",CELL("filename",A1)) + 1) &amp; "'x-721'!TABLE_CLIENT_1","x-721")</f>
        <v>x-721</v>
      </c>
      <c r="B99" s="121" t="s">
        <v>324</v>
      </c>
      <c r="C99" s="121" t="s">
        <v>85</v>
      </c>
      <c r="D99" s="121" t="s">
        <v>605</v>
      </c>
      <c r="E99" s="121" t="s">
        <v>628</v>
      </c>
      <c r="F99" s="121" t="s">
        <v>607</v>
      </c>
      <c r="G99" s="121" t="s">
        <v>328</v>
      </c>
      <c r="H99" s="121">
        <v>0</v>
      </c>
      <c r="I99" s="77">
        <v>721</v>
      </c>
      <c r="J99" t="s">
        <v>629</v>
      </c>
      <c r="K99" s="190" t="s">
        <v>630</v>
      </c>
      <c r="L99" s="190"/>
      <c r="M99" s="191">
        <v>45184</v>
      </c>
      <c r="N99" s="191"/>
      <c r="O99" s="121" t="s">
        <v>331</v>
      </c>
      <c r="P99" s="191" t="s">
        <v>332</v>
      </c>
      <c r="Q99"/>
    </row>
    <row r="100" spans="1:17" ht="39.6" customHeight="1" x14ac:dyDescent="0.25">
      <c r="A100" s="189" t="str">
        <f ca="1">HYPERLINK(MID(CELL("filename",A1),FIND("[",CELL("filename",A1)),FIND("]",CELL("filename",A1)) - FIND("[",CELL("filename",A1)) + 1) &amp; "'x-725'!TABLE_CLIENT_1","x-725")</f>
        <v>x-725</v>
      </c>
      <c r="B100" s="121" t="s">
        <v>345</v>
      </c>
      <c r="C100" s="121" t="s">
        <v>86</v>
      </c>
      <c r="D100" s="121" t="s">
        <v>605</v>
      </c>
      <c r="E100" s="121" t="s">
        <v>631</v>
      </c>
      <c r="F100" s="121" t="s">
        <v>364</v>
      </c>
      <c r="G100" s="121" t="s">
        <v>328</v>
      </c>
      <c r="H100" s="121">
        <v>1</v>
      </c>
      <c r="I100" s="77">
        <v>725</v>
      </c>
      <c r="J100" t="s">
        <v>632</v>
      </c>
      <c r="K100" s="190" t="s">
        <v>633</v>
      </c>
      <c r="L100" s="190"/>
      <c r="M100" s="191">
        <v>45184</v>
      </c>
      <c r="N100" s="191"/>
      <c r="O100" s="121" t="s">
        <v>331</v>
      </c>
      <c r="P100" s="191" t="s">
        <v>332</v>
      </c>
      <c r="Q100"/>
    </row>
    <row r="101" spans="1:17" ht="39.6" customHeight="1" x14ac:dyDescent="0.25">
      <c r="A101" s="189" t="str">
        <f ca="1">HYPERLINK(MID(CELL("filename",A1),FIND("[",CELL("filename",A1)),FIND("]",CELL("filename",A1)) - FIND("[",CELL("filename",A1)) + 1) &amp; "'x-726'!TABLE_CLIENT_1","x-726")</f>
        <v>x-726</v>
      </c>
      <c r="B101" s="121" t="s">
        <v>345</v>
      </c>
      <c r="C101" s="121" t="s">
        <v>359</v>
      </c>
      <c r="D101" s="121" t="s">
        <v>605</v>
      </c>
      <c r="E101" s="121" t="s">
        <v>634</v>
      </c>
      <c r="F101" s="121" t="s">
        <v>364</v>
      </c>
      <c r="G101" s="121" t="s">
        <v>328</v>
      </c>
      <c r="H101" s="121">
        <v>1</v>
      </c>
      <c r="I101" s="77">
        <v>726</v>
      </c>
      <c r="J101" t="s">
        <v>635</v>
      </c>
      <c r="K101" s="190" t="s">
        <v>636</v>
      </c>
      <c r="L101" s="190"/>
      <c r="M101" s="191">
        <v>45184</v>
      </c>
      <c r="N101" s="191"/>
      <c r="O101" s="121" t="s">
        <v>331</v>
      </c>
      <c r="P101" s="191" t="s">
        <v>332</v>
      </c>
      <c r="Q101"/>
    </row>
    <row r="102" spans="1:17" ht="39.6" customHeight="1" x14ac:dyDescent="0.25">
      <c r="A102" s="189" t="str">
        <f ca="1">HYPERLINK(MID(CELL("filename",A1),FIND("[",CELL("filename",A1)),FIND("]",CELL("filename",A1)) - FIND("[",CELL("filename",A1)) + 1) &amp; "'x-727'!TABLE_CLIENT_1","x-727")</f>
        <v>x-727</v>
      </c>
      <c r="B102" s="121" t="s">
        <v>345</v>
      </c>
      <c r="C102" s="121" t="s">
        <v>89</v>
      </c>
      <c r="D102" s="121" t="s">
        <v>605</v>
      </c>
      <c r="E102" s="121" t="s">
        <v>637</v>
      </c>
      <c r="F102" s="121" t="s">
        <v>607</v>
      </c>
      <c r="G102" s="121" t="s">
        <v>328</v>
      </c>
      <c r="H102" s="121">
        <v>1</v>
      </c>
      <c r="I102" s="77">
        <v>727</v>
      </c>
      <c r="J102" t="s">
        <v>638</v>
      </c>
      <c r="K102" s="190" t="s">
        <v>639</v>
      </c>
      <c r="L102" s="190"/>
      <c r="M102" s="191">
        <v>45184</v>
      </c>
      <c r="N102" s="191"/>
      <c r="O102" s="121" t="s">
        <v>331</v>
      </c>
      <c r="P102" s="191" t="s">
        <v>332</v>
      </c>
      <c r="Q102"/>
    </row>
    <row r="103" spans="1:17" ht="39.6" customHeight="1" x14ac:dyDescent="0.25">
      <c r="A103" s="189" t="str">
        <f ca="1">HYPERLINK(MID(CELL("filename",A1),FIND("[",CELL("filename",A1)),FIND("]",CELL("filename",A1)) - FIND("[",CELL("filename",A1)) + 1) &amp; "'x-728'!TABLE_CLIENT_1","x-728")</f>
        <v>x-728</v>
      </c>
      <c r="B103" s="121" t="s">
        <v>324</v>
      </c>
      <c r="C103" s="121" t="s">
        <v>85</v>
      </c>
      <c r="D103" s="121" t="s">
        <v>605</v>
      </c>
      <c r="E103" s="121" t="s">
        <v>640</v>
      </c>
      <c r="F103" s="121" t="s">
        <v>364</v>
      </c>
      <c r="G103" s="121" t="s">
        <v>386</v>
      </c>
      <c r="H103" s="121">
        <v>0</v>
      </c>
      <c r="I103" s="77">
        <v>728</v>
      </c>
      <c r="J103" t="s">
        <v>641</v>
      </c>
      <c r="K103" s="190" t="s">
        <v>642</v>
      </c>
      <c r="L103" s="190"/>
      <c r="M103" s="191">
        <v>45184</v>
      </c>
      <c r="N103" s="191"/>
      <c r="O103" s="121" t="s">
        <v>331</v>
      </c>
      <c r="P103" s="191" t="s">
        <v>332</v>
      </c>
      <c r="Q103"/>
    </row>
    <row r="104" spans="1:17" ht="39.6" customHeight="1" x14ac:dyDescent="0.25">
      <c r="A104" s="189" t="str">
        <f ca="1">HYPERLINK(MID(CELL("filename",A1),FIND("[",CELL("filename",A1)),FIND("]",CELL("filename",A1)) - FIND("[",CELL("filename",A1)) + 1) &amp; "'x-729'!TABLE_CLIENT_1","x-729")</f>
        <v>x-729</v>
      </c>
      <c r="B104" s="121" t="s">
        <v>345</v>
      </c>
      <c r="C104" s="121" t="s">
        <v>643</v>
      </c>
      <c r="D104" s="121" t="s">
        <v>605</v>
      </c>
      <c r="E104" s="121" t="s">
        <v>644</v>
      </c>
      <c r="F104" s="121" t="s">
        <v>364</v>
      </c>
      <c r="G104" s="121" t="s">
        <v>386</v>
      </c>
      <c r="H104" s="121">
        <v>1</v>
      </c>
      <c r="I104" s="77">
        <v>729</v>
      </c>
      <c r="J104" t="s">
        <v>645</v>
      </c>
      <c r="K104" s="190" t="s">
        <v>646</v>
      </c>
      <c r="L104" s="190"/>
      <c r="M104" s="191">
        <v>45184</v>
      </c>
      <c r="N104" s="191"/>
      <c r="O104" s="121" t="s">
        <v>331</v>
      </c>
      <c r="P104" s="191" t="s">
        <v>332</v>
      </c>
      <c r="Q104"/>
    </row>
    <row r="105" spans="1:17" ht="39.6" customHeight="1" x14ac:dyDescent="0.25">
      <c r="A105" s="189" t="str">
        <f ca="1">HYPERLINK(MID(CELL("filename",A1),FIND("[",CELL("filename",A1)),FIND("]",CELL("filename",A1)) - FIND("[",CELL("filename",A1)) + 1) &amp; "'x-730'!TABLE_CLIENT_1","x-730")</f>
        <v>x-730</v>
      </c>
      <c r="B105" s="121" t="s">
        <v>324</v>
      </c>
      <c r="C105" s="121" t="s">
        <v>85</v>
      </c>
      <c r="D105" s="121" t="s">
        <v>647</v>
      </c>
      <c r="E105" s="121" t="s">
        <v>648</v>
      </c>
      <c r="F105" s="121" t="s">
        <v>364</v>
      </c>
      <c r="G105" s="121" t="s">
        <v>649</v>
      </c>
      <c r="H105" s="121">
        <v>0</v>
      </c>
      <c r="I105" s="77">
        <v>730</v>
      </c>
      <c r="J105" t="s">
        <v>650</v>
      </c>
      <c r="K105" s="190" t="s">
        <v>651</v>
      </c>
      <c r="L105" s="190"/>
      <c r="M105" s="191">
        <v>45184</v>
      </c>
      <c r="N105" s="191"/>
      <c r="O105" s="121" t="s">
        <v>331</v>
      </c>
      <c r="P105" s="191" t="s">
        <v>332</v>
      </c>
      <c r="Q105"/>
    </row>
    <row r="106" spans="1:17" ht="39.6" customHeight="1" x14ac:dyDescent="0.25">
      <c r="A106" s="189" t="str">
        <f ca="1">HYPERLINK(MID(CELL("filename",A1),FIND("[",CELL("filename",A1)),FIND("]",CELL("filename",A1)) - FIND("[",CELL("filename",A1)) + 1) &amp; "'x-730'!TABLE_CLIENT_2","x-730")</f>
        <v>x-730</v>
      </c>
      <c r="B106" s="121" t="s">
        <v>324</v>
      </c>
      <c r="C106" s="121" t="s">
        <v>85</v>
      </c>
      <c r="D106" s="121" t="s">
        <v>647</v>
      </c>
      <c r="E106" s="121" t="s">
        <v>653</v>
      </c>
      <c r="F106" s="121" t="s">
        <v>364</v>
      </c>
      <c r="G106" s="121" t="s">
        <v>649</v>
      </c>
      <c r="H106" s="121">
        <v>0</v>
      </c>
      <c r="I106" s="77">
        <v>730</v>
      </c>
      <c r="J106" t="s">
        <v>654</v>
      </c>
      <c r="K106" s="190" t="s">
        <v>651</v>
      </c>
      <c r="L106" s="190"/>
      <c r="M106" s="191">
        <v>45184</v>
      </c>
      <c r="N106" s="191"/>
      <c r="O106" s="121" t="s">
        <v>331</v>
      </c>
      <c r="P106" s="191" t="s">
        <v>332</v>
      </c>
      <c r="Q106"/>
    </row>
    <row r="107" spans="1:17" ht="39.6" customHeight="1" x14ac:dyDescent="0.25">
      <c r="A107" s="189" t="str">
        <f ca="1">HYPERLINK(MID(CELL("filename",A1),FIND("[",CELL("filename",A1)),FIND("]",CELL("filename",A1)) - FIND("[",CELL("filename",A1)) + 1) &amp; "'x-730'!TABLE_CLIENT_3","x-730")</f>
        <v>x-730</v>
      </c>
      <c r="B107" s="121" t="s">
        <v>324</v>
      </c>
      <c r="C107" s="121" t="s">
        <v>85</v>
      </c>
      <c r="D107" s="121" t="s">
        <v>647</v>
      </c>
      <c r="E107" s="121" t="s">
        <v>655</v>
      </c>
      <c r="F107" s="121" t="s">
        <v>364</v>
      </c>
      <c r="G107" s="121" t="s">
        <v>649</v>
      </c>
      <c r="H107" s="121">
        <v>0</v>
      </c>
      <c r="I107" s="77">
        <v>730</v>
      </c>
      <c r="J107" t="s">
        <v>656</v>
      </c>
      <c r="K107" s="190" t="s">
        <v>651</v>
      </c>
      <c r="L107" s="190"/>
      <c r="M107" s="191">
        <v>45184</v>
      </c>
      <c r="N107" s="191"/>
      <c r="O107" s="121" t="s">
        <v>331</v>
      </c>
      <c r="P107" s="191" t="s">
        <v>332</v>
      </c>
      <c r="Q107"/>
    </row>
    <row r="108" spans="1:17" ht="39.6" customHeight="1" x14ac:dyDescent="0.25">
      <c r="A108" s="189" t="str">
        <f ca="1">HYPERLINK(MID(CELL("filename",A1),FIND("[",CELL("filename",A1)),FIND("]",CELL("filename",A1)) - FIND("[",CELL("filename",A1)) + 1) &amp; "'x-730'!TABLE_CLIENT_4","x-730")</f>
        <v>x-730</v>
      </c>
      <c r="B108" s="121" t="s">
        <v>324</v>
      </c>
      <c r="C108" s="121" t="s">
        <v>85</v>
      </c>
      <c r="D108" s="121" t="s">
        <v>647</v>
      </c>
      <c r="E108" s="121" t="s">
        <v>657</v>
      </c>
      <c r="F108" s="121" t="s">
        <v>364</v>
      </c>
      <c r="G108" s="121" t="s">
        <v>658</v>
      </c>
      <c r="H108" s="121">
        <v>0</v>
      </c>
      <c r="I108" s="77">
        <v>730</v>
      </c>
      <c r="J108" t="s">
        <v>659</v>
      </c>
      <c r="K108" s="190" t="s">
        <v>651</v>
      </c>
      <c r="L108" s="190"/>
      <c r="M108" s="191">
        <v>45184</v>
      </c>
      <c r="N108" s="191"/>
      <c r="O108" s="121" t="s">
        <v>331</v>
      </c>
      <c r="P108" s="191" t="s">
        <v>332</v>
      </c>
      <c r="Q108"/>
    </row>
    <row r="109" spans="1:17" ht="39.6" customHeight="1" x14ac:dyDescent="0.25">
      <c r="A109" s="189" t="str">
        <f ca="1">HYPERLINK(MID(CELL("filename",A1),FIND("[",CELL("filename",A1)),FIND("]",CELL("filename",A1)) - FIND("[",CELL("filename",A1)) + 1) &amp; "'x-731'!TABLE_CLIENT_1","x-731")</f>
        <v>x-731</v>
      </c>
      <c r="B109" s="121" t="s">
        <v>324</v>
      </c>
      <c r="C109" s="121" t="s">
        <v>85</v>
      </c>
      <c r="D109" s="121" t="s">
        <v>647</v>
      </c>
      <c r="E109" s="121" t="s">
        <v>660</v>
      </c>
      <c r="F109" s="121" t="s">
        <v>364</v>
      </c>
      <c r="G109" s="121" t="s">
        <v>649</v>
      </c>
      <c r="H109" s="121">
        <v>0</v>
      </c>
      <c r="I109" s="77">
        <v>731</v>
      </c>
      <c r="J109" t="s">
        <v>661</v>
      </c>
      <c r="K109" s="190" t="s">
        <v>662</v>
      </c>
      <c r="L109" s="190"/>
      <c r="M109" s="191">
        <v>45184</v>
      </c>
      <c r="N109" s="191"/>
      <c r="O109" s="121" t="s">
        <v>331</v>
      </c>
      <c r="P109" s="191" t="s">
        <v>332</v>
      </c>
      <c r="Q109"/>
    </row>
    <row r="110" spans="1:17" ht="39.6" customHeight="1" x14ac:dyDescent="0.25">
      <c r="A110" s="189" t="str">
        <f ca="1">HYPERLINK(MID(CELL("filename",A1),FIND("[",CELL("filename",A1)),FIND("]",CELL("filename",A1)) - FIND("[",CELL("filename",A1)) + 1) &amp; "'x-732'!TABLE_CLIENT_1","x-732")</f>
        <v>x-732</v>
      </c>
      <c r="B110" s="121" t="s">
        <v>324</v>
      </c>
      <c r="C110" s="121" t="s">
        <v>85</v>
      </c>
      <c r="D110" s="121" t="s">
        <v>647</v>
      </c>
      <c r="E110" s="121" t="s">
        <v>663</v>
      </c>
      <c r="F110" s="121" t="s">
        <v>364</v>
      </c>
      <c r="G110" s="121" t="s">
        <v>649</v>
      </c>
      <c r="H110" s="121">
        <v>0</v>
      </c>
      <c r="I110" s="77">
        <v>732</v>
      </c>
      <c r="J110" t="s">
        <v>664</v>
      </c>
      <c r="K110" s="190" t="s">
        <v>665</v>
      </c>
      <c r="L110" s="190"/>
      <c r="M110" s="191">
        <v>45184</v>
      </c>
      <c r="N110" s="191"/>
      <c r="O110" s="121" t="s">
        <v>331</v>
      </c>
      <c r="P110" s="191" t="s">
        <v>332</v>
      </c>
      <c r="Q110"/>
    </row>
    <row r="111" spans="1:17" ht="39.6" customHeight="1" x14ac:dyDescent="0.25">
      <c r="A111" s="189" t="str">
        <f ca="1">HYPERLINK(MID(CELL("filename",A1),FIND("[",CELL("filename",A1)),FIND("]",CELL("filename",A1)) - FIND("[",CELL("filename",A1)) + 1) &amp; "'x-733'!TABLE_CLIENT_1","x-733")</f>
        <v>x-733</v>
      </c>
      <c r="B111" s="121" t="s">
        <v>324</v>
      </c>
      <c r="C111" s="121" t="s">
        <v>85</v>
      </c>
      <c r="D111" s="121" t="s">
        <v>666</v>
      </c>
      <c r="E111" s="121" t="s">
        <v>667</v>
      </c>
      <c r="F111" s="121" t="s">
        <v>364</v>
      </c>
      <c r="G111" s="121" t="s">
        <v>649</v>
      </c>
      <c r="H111" s="121">
        <v>0</v>
      </c>
      <c r="I111" s="77">
        <v>733</v>
      </c>
      <c r="J111" t="s">
        <v>668</v>
      </c>
      <c r="K111" s="190" t="s">
        <v>669</v>
      </c>
      <c r="L111" s="190"/>
      <c r="M111" s="191">
        <v>45184</v>
      </c>
      <c r="N111" s="191"/>
      <c r="O111" s="121" t="s">
        <v>331</v>
      </c>
      <c r="P111" s="191" t="s">
        <v>332</v>
      </c>
      <c r="Q111"/>
    </row>
    <row r="112" spans="1:17" ht="39.6" customHeight="1" x14ac:dyDescent="0.25">
      <c r="A112" s="189" t="str">
        <f ca="1">HYPERLINK(MID(CELL("filename",A1),FIND("[",CELL("filename",A1)),FIND("]",CELL("filename",A1)) - FIND("[",CELL("filename",A1)) + 1) &amp; "'x-733'!TABLE_CLIENT_2","x-733")</f>
        <v>x-733</v>
      </c>
      <c r="B112" s="121" t="s">
        <v>324</v>
      </c>
      <c r="C112" s="121" t="s">
        <v>85</v>
      </c>
      <c r="D112" s="121" t="s">
        <v>666</v>
      </c>
      <c r="E112" s="121" t="s">
        <v>670</v>
      </c>
      <c r="F112" s="121" t="s">
        <v>364</v>
      </c>
      <c r="G112" s="121" t="s">
        <v>649</v>
      </c>
      <c r="H112" s="121">
        <v>0</v>
      </c>
      <c r="I112" s="77">
        <v>733</v>
      </c>
      <c r="J112" t="s">
        <v>671</v>
      </c>
      <c r="K112" s="190" t="s">
        <v>669</v>
      </c>
      <c r="L112" s="190"/>
      <c r="M112" s="191">
        <v>45184</v>
      </c>
      <c r="N112" s="191"/>
      <c r="O112" s="121" t="s">
        <v>331</v>
      </c>
      <c r="P112" s="191" t="s">
        <v>332</v>
      </c>
      <c r="Q112"/>
    </row>
    <row r="113" spans="1:17" ht="39.6" customHeight="1" x14ac:dyDescent="0.25">
      <c r="A113" s="189" t="str">
        <f ca="1">HYPERLINK(MID(CELL("filename",A1),FIND("[",CELL("filename",A1)),FIND("]",CELL("filename",A1)) - FIND("[",CELL("filename",A1)) + 1) &amp; "'x-733'!TABLE_CLIENT_3","x-733")</f>
        <v>x-733</v>
      </c>
      <c r="B113" s="121" t="s">
        <v>324</v>
      </c>
      <c r="C113" s="121" t="s">
        <v>85</v>
      </c>
      <c r="D113" s="121" t="s">
        <v>666</v>
      </c>
      <c r="E113" s="121" t="s">
        <v>672</v>
      </c>
      <c r="F113" s="121" t="s">
        <v>364</v>
      </c>
      <c r="G113" s="121" t="s">
        <v>649</v>
      </c>
      <c r="H113" s="121">
        <v>0</v>
      </c>
      <c r="I113" s="77">
        <v>733</v>
      </c>
      <c r="J113" t="s">
        <v>673</v>
      </c>
      <c r="K113" s="190" t="s">
        <v>669</v>
      </c>
      <c r="L113" s="190"/>
      <c r="M113" s="191">
        <v>45184</v>
      </c>
      <c r="N113" s="191"/>
      <c r="O113" s="121" t="s">
        <v>331</v>
      </c>
      <c r="P113" s="191" t="s">
        <v>332</v>
      </c>
      <c r="Q113"/>
    </row>
    <row r="114" spans="1:17" ht="39.6" customHeight="1" x14ac:dyDescent="0.25">
      <c r="A114" s="189" t="str">
        <f ca="1">HYPERLINK(MID(CELL("filename",A1),FIND("[",CELL("filename",A1)),FIND("]",CELL("filename",A1)) - FIND("[",CELL("filename",A1)) + 1) &amp; "'x-733'!TABLE_CLIENT_4","x-733")</f>
        <v>x-733</v>
      </c>
      <c r="B114" s="121" t="s">
        <v>324</v>
      </c>
      <c r="C114" s="121" t="s">
        <v>85</v>
      </c>
      <c r="D114" s="121" t="s">
        <v>666</v>
      </c>
      <c r="E114" s="121" t="s">
        <v>674</v>
      </c>
      <c r="F114" s="121" t="s">
        <v>364</v>
      </c>
      <c r="G114" s="121" t="s">
        <v>658</v>
      </c>
      <c r="H114" s="121">
        <v>0</v>
      </c>
      <c r="I114" s="77">
        <v>733</v>
      </c>
      <c r="J114" t="s">
        <v>675</v>
      </c>
      <c r="K114" s="190" t="s">
        <v>669</v>
      </c>
      <c r="L114" s="190"/>
      <c r="M114" s="191">
        <v>45184</v>
      </c>
      <c r="N114" s="191"/>
      <c r="O114" s="121" t="s">
        <v>331</v>
      </c>
      <c r="P114" s="191" t="s">
        <v>332</v>
      </c>
      <c r="Q114"/>
    </row>
    <row r="115" spans="1:17" ht="39.6" customHeight="1" x14ac:dyDescent="0.25">
      <c r="A115" s="189" t="str">
        <f ca="1">HYPERLINK(MID(CELL("filename",A1),FIND("[",CELL("filename",A1)),FIND("]",CELL("filename",A1)) - FIND("[",CELL("filename",A1)) + 1) &amp; "'x-734'!TABLE_CLIENT_1","x-734")</f>
        <v>x-734</v>
      </c>
      <c r="B115" s="121" t="s">
        <v>324</v>
      </c>
      <c r="C115" s="121" t="s">
        <v>85</v>
      </c>
      <c r="D115" s="121" t="s">
        <v>647</v>
      </c>
      <c r="E115" s="121" t="s">
        <v>676</v>
      </c>
      <c r="F115" s="121" t="s">
        <v>364</v>
      </c>
      <c r="G115" s="121" t="s">
        <v>658</v>
      </c>
      <c r="H115" s="121">
        <v>0</v>
      </c>
      <c r="I115" s="77">
        <v>734</v>
      </c>
      <c r="J115" t="s">
        <v>677</v>
      </c>
      <c r="K115" s="190" t="s">
        <v>678</v>
      </c>
      <c r="L115" s="190"/>
      <c r="M115" s="191">
        <v>45184</v>
      </c>
      <c r="N115" s="191"/>
      <c r="O115" s="121" t="s">
        <v>331</v>
      </c>
      <c r="P115" s="191" t="s">
        <v>332</v>
      </c>
      <c r="Q115"/>
    </row>
    <row r="116" spans="1:17" ht="39.6" customHeight="1" x14ac:dyDescent="0.25">
      <c r="A116" s="189" t="str">
        <f ca="1">HYPERLINK(MID(CELL("filename",A1),FIND("[",CELL("filename",A1)),FIND("]",CELL("filename",A1)) - FIND("[",CELL("filename",A1)) + 1) &amp; "'x-735'!TABLE_CLIENT_1","x-735")</f>
        <v>x-735</v>
      </c>
      <c r="B116" s="121" t="s">
        <v>324</v>
      </c>
      <c r="C116" s="121" t="s">
        <v>85</v>
      </c>
      <c r="D116" s="121" t="s">
        <v>679</v>
      </c>
      <c r="E116" s="121" t="s">
        <v>680</v>
      </c>
      <c r="F116" s="121" t="s">
        <v>364</v>
      </c>
      <c r="G116" s="121" t="s">
        <v>681</v>
      </c>
      <c r="H116" s="121">
        <v>0</v>
      </c>
      <c r="I116" s="77">
        <v>735</v>
      </c>
      <c r="J116" t="s">
        <v>682</v>
      </c>
      <c r="K116" s="190" t="s">
        <v>683</v>
      </c>
      <c r="L116" s="190"/>
      <c r="M116" s="191">
        <v>45184</v>
      </c>
      <c r="N116" s="191"/>
      <c r="O116" s="121" t="s">
        <v>331</v>
      </c>
      <c r="P116" s="191" t="s">
        <v>332</v>
      </c>
      <c r="Q116"/>
    </row>
    <row r="117" spans="1:17" ht="39.6" customHeight="1" x14ac:dyDescent="0.25">
      <c r="A117" s="189" t="str">
        <f ca="1">HYPERLINK(MID(CELL("filename",A1),FIND("[",CELL("filename",A1)),FIND("]",CELL("filename",A1)) - FIND("[",CELL("filename",A1)) + 1) &amp; "'x-736'!TABLE_CLIENT_1","x-736")</f>
        <v>x-736</v>
      </c>
      <c r="B117" s="121" t="s">
        <v>324</v>
      </c>
      <c r="C117" s="121" t="s">
        <v>85</v>
      </c>
      <c r="D117" s="121" t="s">
        <v>679</v>
      </c>
      <c r="E117" s="121" t="s">
        <v>684</v>
      </c>
      <c r="F117" s="121" t="s">
        <v>364</v>
      </c>
      <c r="G117" s="121" t="s">
        <v>685</v>
      </c>
      <c r="H117" s="121">
        <v>0</v>
      </c>
      <c r="I117" s="77">
        <v>736</v>
      </c>
      <c r="J117" t="s">
        <v>686</v>
      </c>
      <c r="K117" s="190" t="s">
        <v>687</v>
      </c>
      <c r="L117" s="190"/>
      <c r="M117" s="191">
        <v>45184</v>
      </c>
      <c r="N117" s="191"/>
      <c r="O117" s="121" t="s">
        <v>331</v>
      </c>
      <c r="P117" s="191" t="s">
        <v>332</v>
      </c>
      <c r="Q117"/>
    </row>
    <row r="118" spans="1:17" ht="39.6" customHeight="1" x14ac:dyDescent="0.25">
      <c r="A118" s="189" t="str">
        <f ca="1">HYPERLINK(MID(CELL("filename",A1),FIND("[",CELL("filename",A1)),FIND("]",CELL("filename",A1)) - FIND("[",CELL("filename",A1)) + 1) &amp; "'x-801'!TABLE_CLIENT_1","x-801")</f>
        <v>x-801</v>
      </c>
      <c r="B118" s="121" t="s">
        <v>324</v>
      </c>
      <c r="C118" s="121" t="s">
        <v>85</v>
      </c>
      <c r="D118" s="121" t="s">
        <v>688</v>
      </c>
      <c r="E118" s="121" t="s">
        <v>689</v>
      </c>
      <c r="F118" s="121" t="s">
        <v>404</v>
      </c>
      <c r="G118" s="121" t="s">
        <v>690</v>
      </c>
      <c r="H118" s="121">
        <v>0</v>
      </c>
      <c r="I118" s="77">
        <v>801</v>
      </c>
      <c r="J118" t="s">
        <v>691</v>
      </c>
      <c r="K118" s="190" t="s">
        <v>692</v>
      </c>
      <c r="L118" s="190"/>
      <c r="M118" s="191">
        <v>45184</v>
      </c>
      <c r="N118" s="191"/>
      <c r="O118" s="121" t="s">
        <v>331</v>
      </c>
      <c r="P118" s="191" t="s">
        <v>332</v>
      </c>
      <c r="Q118"/>
    </row>
    <row r="119" spans="1:17" ht="39.6" customHeight="1" x14ac:dyDescent="0.25">
      <c r="A119" s="189" t="str">
        <f ca="1">HYPERLINK(MID(CELL("filename",A1),FIND("[",CELL("filename",A1)),FIND("]",CELL("filename",A1)) - FIND("[",CELL("filename",A1)) + 1) &amp; "'x-802'!TABLE_CLIENT_1","x-802")</f>
        <v>x-802</v>
      </c>
      <c r="B119" s="121" t="s">
        <v>324</v>
      </c>
      <c r="C119" s="121" t="s">
        <v>85</v>
      </c>
      <c r="D119" s="121" t="s">
        <v>688</v>
      </c>
      <c r="E119" s="121" t="s">
        <v>693</v>
      </c>
      <c r="F119" s="121" t="s">
        <v>409</v>
      </c>
      <c r="G119" s="121" t="s">
        <v>690</v>
      </c>
      <c r="H119" s="121">
        <v>0</v>
      </c>
      <c r="I119" s="77">
        <v>802</v>
      </c>
      <c r="J119" t="s">
        <v>694</v>
      </c>
      <c r="K119" s="190" t="s">
        <v>695</v>
      </c>
      <c r="L119" s="190"/>
      <c r="M119" s="191">
        <v>45184</v>
      </c>
      <c r="N119" s="191"/>
      <c r="O119" s="121" t="s">
        <v>331</v>
      </c>
      <c r="P119" s="191" t="s">
        <v>332</v>
      </c>
      <c r="Q119"/>
    </row>
    <row r="120" spans="1:17" ht="39.6" customHeight="1" x14ac:dyDescent="0.25">
      <c r="A120" s="189" t="str">
        <f ca="1">HYPERLINK(MID(CELL("filename",A1),FIND("[",CELL("filename",A1)),FIND("]",CELL("filename",A1)) - FIND("[",CELL("filename",A1)) + 1) &amp; "'x-803'!TABLE_CLIENT_1","x-803")</f>
        <v>x-803</v>
      </c>
      <c r="B120" s="121" t="s">
        <v>324</v>
      </c>
      <c r="C120" s="121" t="s">
        <v>85</v>
      </c>
      <c r="D120" s="121" t="s">
        <v>688</v>
      </c>
      <c r="E120" s="121" t="s">
        <v>696</v>
      </c>
      <c r="F120" s="121" t="s">
        <v>404</v>
      </c>
      <c r="G120" s="121" t="s">
        <v>690</v>
      </c>
      <c r="H120" s="121">
        <v>0</v>
      </c>
      <c r="I120" s="77">
        <v>803</v>
      </c>
      <c r="J120" t="s">
        <v>697</v>
      </c>
      <c r="K120" s="190" t="s">
        <v>698</v>
      </c>
      <c r="L120" s="190"/>
      <c r="M120" s="191">
        <v>45184</v>
      </c>
      <c r="N120" s="191"/>
      <c r="O120" s="121" t="s">
        <v>331</v>
      </c>
      <c r="P120" s="191" t="s">
        <v>332</v>
      </c>
      <c r="Q120"/>
    </row>
    <row r="121" spans="1:17" ht="39.6" customHeight="1" x14ac:dyDescent="0.25">
      <c r="A121" s="189" t="str">
        <f ca="1">HYPERLINK(MID(CELL("filename",A1),FIND("[",CELL("filename",A1)),FIND("]",CELL("filename",A1)) - FIND("[",CELL("filename",A1)) + 1) &amp; "'x-804'!TABLE_CLIENT_1","x-804")</f>
        <v>x-804</v>
      </c>
      <c r="B121" s="121" t="s">
        <v>324</v>
      </c>
      <c r="C121" s="121" t="s">
        <v>85</v>
      </c>
      <c r="D121" s="121" t="s">
        <v>688</v>
      </c>
      <c r="E121" s="121" t="s">
        <v>699</v>
      </c>
      <c r="F121" s="121" t="s">
        <v>409</v>
      </c>
      <c r="G121" s="121" t="s">
        <v>690</v>
      </c>
      <c r="H121" s="121">
        <v>0</v>
      </c>
      <c r="I121" s="77">
        <v>804</v>
      </c>
      <c r="J121" t="s">
        <v>700</v>
      </c>
      <c r="K121" s="190" t="s">
        <v>701</v>
      </c>
      <c r="L121" s="190"/>
      <c r="M121" s="191">
        <v>45184</v>
      </c>
      <c r="N121" s="191"/>
      <c r="O121" s="121" t="s">
        <v>331</v>
      </c>
      <c r="P121" s="191" t="s">
        <v>332</v>
      </c>
      <c r="Q121"/>
    </row>
    <row r="122" spans="1:17" ht="39.6" customHeight="1" x14ac:dyDescent="0.25">
      <c r="A122" s="189" t="str">
        <f ca="1">HYPERLINK(MID(CELL("filename",A1),FIND("[",CELL("filename",A1)),FIND("]",CELL("filename",A1)) - FIND("[",CELL("filename",A1)) + 1) &amp; "'x-805'!TABLE_CLIENT_1","x-805")</f>
        <v>x-805</v>
      </c>
      <c r="B122" s="121" t="s">
        <v>345</v>
      </c>
      <c r="C122" s="121" t="s">
        <v>643</v>
      </c>
      <c r="D122" s="121" t="s">
        <v>688</v>
      </c>
      <c r="E122" s="121" t="s">
        <v>702</v>
      </c>
      <c r="F122" s="121" t="s">
        <v>404</v>
      </c>
      <c r="G122" s="121" t="s">
        <v>690</v>
      </c>
      <c r="H122" s="121">
        <v>1</v>
      </c>
      <c r="I122" s="77">
        <v>805</v>
      </c>
      <c r="J122" t="s">
        <v>703</v>
      </c>
      <c r="K122" s="190" t="s">
        <v>704</v>
      </c>
      <c r="L122" s="190"/>
      <c r="M122" s="191">
        <v>45184</v>
      </c>
      <c r="N122" s="191"/>
      <c r="O122" s="121" t="s">
        <v>331</v>
      </c>
      <c r="P122" s="191" t="s">
        <v>332</v>
      </c>
      <c r="Q122"/>
    </row>
    <row r="123" spans="1:17" ht="39.6" customHeight="1" x14ac:dyDescent="0.25">
      <c r="A123" s="189" t="str">
        <f ca="1">HYPERLINK(MID(CELL("filename",A1),FIND("[",CELL("filename",A1)),FIND("]",CELL("filename",A1)) - FIND("[",CELL("filename",A1)) + 1) &amp; "'x-806'!TABLE_CLIENT_1","x-806")</f>
        <v>x-806</v>
      </c>
      <c r="B123" s="121" t="s">
        <v>345</v>
      </c>
      <c r="C123" s="121" t="s">
        <v>643</v>
      </c>
      <c r="D123" s="121" t="s">
        <v>688</v>
      </c>
      <c r="E123" s="121" t="s">
        <v>705</v>
      </c>
      <c r="F123" s="121" t="s">
        <v>409</v>
      </c>
      <c r="G123" s="121" t="s">
        <v>690</v>
      </c>
      <c r="H123" s="121">
        <v>1</v>
      </c>
      <c r="I123" s="77">
        <v>806</v>
      </c>
      <c r="J123" t="s">
        <v>706</v>
      </c>
      <c r="K123" s="190" t="s">
        <v>707</v>
      </c>
      <c r="L123" s="190"/>
      <c r="M123" s="191">
        <v>45184</v>
      </c>
      <c r="N123" s="191"/>
      <c r="O123" s="121" t="s">
        <v>331</v>
      </c>
      <c r="P123" s="191" t="s">
        <v>332</v>
      </c>
      <c r="Q123"/>
    </row>
    <row r="124" spans="1:17" ht="39.6" customHeight="1" x14ac:dyDescent="0.25">
      <c r="A124" s="189" t="str">
        <f ca="1">HYPERLINK(MID(CELL("filename",A1),FIND("[",CELL("filename",A1)),FIND("]",CELL("filename",A1)) - FIND("[",CELL("filename",A1)) + 1) &amp; "'x-807'!TABLE_CLIENT_1","x-807")</f>
        <v>x-807</v>
      </c>
      <c r="B124" s="121" t="s">
        <v>345</v>
      </c>
      <c r="C124" s="121" t="s">
        <v>643</v>
      </c>
      <c r="D124" s="121" t="s">
        <v>688</v>
      </c>
      <c r="E124" s="121" t="s">
        <v>708</v>
      </c>
      <c r="F124" s="121" t="s">
        <v>404</v>
      </c>
      <c r="G124" s="121" t="s">
        <v>690</v>
      </c>
      <c r="H124" s="121">
        <v>1</v>
      </c>
      <c r="I124" s="77">
        <v>807</v>
      </c>
      <c r="J124" t="s">
        <v>709</v>
      </c>
      <c r="K124" s="190" t="s">
        <v>710</v>
      </c>
      <c r="L124" s="190"/>
      <c r="M124" s="191">
        <v>45184</v>
      </c>
      <c r="N124" s="191"/>
      <c r="O124" s="121" t="s">
        <v>331</v>
      </c>
      <c r="P124" s="191" t="s">
        <v>332</v>
      </c>
      <c r="Q124"/>
    </row>
    <row r="125" spans="1:17" ht="39.6" customHeight="1" x14ac:dyDescent="0.25">
      <c r="A125" s="189" t="str">
        <f ca="1">HYPERLINK(MID(CELL("filename",A1),FIND("[",CELL("filename",A1)),FIND("]",CELL("filename",A1)) - FIND("[",CELL("filename",A1)) + 1) &amp; "'x-808'!TABLE_CLIENT_1","x-808")</f>
        <v>x-808</v>
      </c>
      <c r="B125" s="121" t="s">
        <v>345</v>
      </c>
      <c r="C125" s="121" t="s">
        <v>643</v>
      </c>
      <c r="D125" s="121" t="s">
        <v>688</v>
      </c>
      <c r="E125" s="121" t="s">
        <v>711</v>
      </c>
      <c r="F125" s="121" t="s">
        <v>409</v>
      </c>
      <c r="G125" s="121" t="s">
        <v>690</v>
      </c>
      <c r="H125" s="121">
        <v>1</v>
      </c>
      <c r="I125" s="77">
        <v>808</v>
      </c>
      <c r="J125" t="s">
        <v>712</v>
      </c>
      <c r="K125" s="190" t="s">
        <v>713</v>
      </c>
      <c r="L125" s="190"/>
      <c r="M125" s="191">
        <v>45184</v>
      </c>
      <c r="N125" s="191"/>
      <c r="O125" s="121" t="s">
        <v>331</v>
      </c>
      <c r="P125" s="191" t="s">
        <v>332</v>
      </c>
      <c r="Q125"/>
    </row>
    <row r="126" spans="1:17" ht="39.6" customHeight="1" x14ac:dyDescent="0.25">
      <c r="A126" s="189" t="str">
        <f ca="1">HYPERLINK(MID(CELL("filename",A1),FIND("[",CELL("filename",A1)),FIND("]",CELL("filename",A1)) - FIND("[",CELL("filename",A1)) + 1) &amp; "'x-810'!TABLE_CLIENT_1","x-810")</f>
        <v>x-810</v>
      </c>
      <c r="B126" s="121" t="s">
        <v>324</v>
      </c>
      <c r="C126" s="121" t="s">
        <v>85</v>
      </c>
      <c r="D126" s="121" t="s">
        <v>714</v>
      </c>
      <c r="E126" s="121" t="s">
        <v>715</v>
      </c>
      <c r="F126" s="121" t="s">
        <v>364</v>
      </c>
      <c r="G126" s="121" t="s">
        <v>716</v>
      </c>
      <c r="H126" s="121">
        <v>0</v>
      </c>
      <c r="I126" s="77">
        <v>810</v>
      </c>
      <c r="J126" t="s">
        <v>717</v>
      </c>
      <c r="K126" s="190" t="s">
        <v>718</v>
      </c>
      <c r="L126" s="190"/>
      <c r="M126" s="191">
        <v>45184</v>
      </c>
      <c r="N126" s="191"/>
      <c r="O126" s="121" t="s">
        <v>331</v>
      </c>
      <c r="P126" s="191" t="s">
        <v>332</v>
      </c>
      <c r="Q126"/>
    </row>
    <row r="127" spans="1:17" ht="39.6" customHeight="1" x14ac:dyDescent="0.25">
      <c r="A127" s="189" t="str">
        <f ca="1">HYPERLINK(MID(CELL("filename",A1),FIND("[",CELL("filename",A1)),FIND("]",CELL("filename",A1)) - FIND("[",CELL("filename",A1)) + 1) &amp; "'x-811'!TABLE_CLIENT_1","x-811")</f>
        <v>x-811</v>
      </c>
      <c r="B127" s="121" t="s">
        <v>345</v>
      </c>
      <c r="C127" s="121" t="s">
        <v>86</v>
      </c>
      <c r="D127" s="121" t="s">
        <v>719</v>
      </c>
      <c r="E127" s="121" t="s">
        <v>720</v>
      </c>
      <c r="F127" s="121" t="s">
        <v>364</v>
      </c>
      <c r="G127" s="121" t="s">
        <v>328</v>
      </c>
      <c r="H127" s="121">
        <v>1</v>
      </c>
      <c r="I127" s="77">
        <v>811</v>
      </c>
      <c r="J127" t="s">
        <v>721</v>
      </c>
      <c r="K127" s="190" t="s">
        <v>722</v>
      </c>
      <c r="L127" s="190"/>
      <c r="M127" s="191">
        <v>45184</v>
      </c>
      <c r="N127" s="191"/>
      <c r="O127" s="121" t="s">
        <v>331</v>
      </c>
      <c r="P127" s="191" t="s">
        <v>332</v>
      </c>
      <c r="Q127"/>
    </row>
    <row r="128" spans="1:17" ht="39.6" customHeight="1" x14ac:dyDescent="0.25">
      <c r="A128" s="189" t="str">
        <f ca="1">HYPERLINK(MID(CELL("filename",A1),FIND("[",CELL("filename",A1)),FIND("]",CELL("filename",A1)) - FIND("[",CELL("filename",A1)) + 1) &amp; "'x-812'!TABLE_CLIENT_1","x-812")</f>
        <v>x-812</v>
      </c>
      <c r="B128" s="121" t="s">
        <v>345</v>
      </c>
      <c r="C128" s="121" t="s">
        <v>86</v>
      </c>
      <c r="D128" s="121" t="s">
        <v>719</v>
      </c>
      <c r="E128" s="121" t="s">
        <v>723</v>
      </c>
      <c r="F128" s="121" t="s">
        <v>364</v>
      </c>
      <c r="G128" s="121" t="s">
        <v>328</v>
      </c>
      <c r="H128" s="121">
        <v>1</v>
      </c>
      <c r="I128" s="77">
        <v>812</v>
      </c>
      <c r="J128" t="s">
        <v>724</v>
      </c>
      <c r="K128" s="190" t="s">
        <v>725</v>
      </c>
      <c r="L128" s="190"/>
      <c r="M128" s="191">
        <v>45184</v>
      </c>
      <c r="N128" s="191"/>
      <c r="O128" s="121" t="s">
        <v>331</v>
      </c>
      <c r="P128" s="191" t="s">
        <v>332</v>
      </c>
      <c r="Q128"/>
    </row>
    <row r="129" spans="1:17" ht="39.6" customHeight="1" x14ac:dyDescent="0.25">
      <c r="A129" s="189" t="str">
        <f ca="1">HYPERLINK(MID(CELL("filename",A1),FIND("[",CELL("filename",A1)),FIND("]",CELL("filename",A1)) - FIND("[",CELL("filename",A1)) + 1) &amp; "'x-813'!TABLE_CLIENT_1","x-813")</f>
        <v>x-813</v>
      </c>
      <c r="B129" s="121" t="s">
        <v>345</v>
      </c>
      <c r="C129" s="121" t="s">
        <v>88</v>
      </c>
      <c r="D129" s="121" t="s">
        <v>719</v>
      </c>
      <c r="E129" s="121" t="s">
        <v>726</v>
      </c>
      <c r="F129" s="121" t="s">
        <v>364</v>
      </c>
      <c r="G129" s="121" t="s">
        <v>328</v>
      </c>
      <c r="H129" s="121">
        <v>1</v>
      </c>
      <c r="I129" s="77">
        <v>813</v>
      </c>
      <c r="J129" t="s">
        <v>727</v>
      </c>
      <c r="K129" s="190" t="s">
        <v>728</v>
      </c>
      <c r="L129" s="190"/>
      <c r="M129" s="191">
        <v>45184</v>
      </c>
      <c r="N129" s="191"/>
      <c r="O129" s="121" t="s">
        <v>331</v>
      </c>
      <c r="P129" s="191" t="s">
        <v>332</v>
      </c>
      <c r="Q129"/>
    </row>
    <row r="130" spans="1:17" ht="39.6" customHeight="1" x14ac:dyDescent="0.25">
      <c r="A130" s="189" t="str">
        <f ca="1">HYPERLINK(MID(CELL("filename",A1),FIND("[",CELL("filename",A1)),FIND("]",CELL("filename",A1)) - FIND("[",CELL("filename",A1)) + 1) &amp; "'x-814'!TABLE_CLIENT_1","x-814")</f>
        <v>x-814</v>
      </c>
      <c r="B130" s="121" t="s">
        <v>345</v>
      </c>
      <c r="C130" s="121" t="s">
        <v>88</v>
      </c>
      <c r="D130" s="121" t="s">
        <v>719</v>
      </c>
      <c r="E130" s="121" t="s">
        <v>729</v>
      </c>
      <c r="F130" s="121" t="s">
        <v>364</v>
      </c>
      <c r="G130" s="121" t="s">
        <v>328</v>
      </c>
      <c r="H130" s="121">
        <v>1</v>
      </c>
      <c r="I130" s="77">
        <v>814</v>
      </c>
      <c r="J130" t="s">
        <v>730</v>
      </c>
      <c r="K130" s="190" t="s">
        <v>731</v>
      </c>
      <c r="L130" s="190"/>
      <c r="M130" s="191">
        <v>45184</v>
      </c>
      <c r="N130" s="191"/>
      <c r="O130" s="121" t="s">
        <v>331</v>
      </c>
      <c r="P130" s="191" t="s">
        <v>332</v>
      </c>
      <c r="Q130"/>
    </row>
    <row r="131" spans="1:17" ht="39.6" customHeight="1" x14ac:dyDescent="0.25">
      <c r="A131" s="189" t="str">
        <f ca="1">HYPERLINK(MID(CELL("filename",A1),FIND("[",CELL("filename",A1)),FIND("]",CELL("filename",A1)) - FIND("[",CELL("filename",A1)) + 1) &amp; "'x-815'!TABLE_CLIENT_1","x-815")</f>
        <v>x-815</v>
      </c>
      <c r="B131" s="121" t="s">
        <v>324</v>
      </c>
      <c r="C131" s="121" t="s">
        <v>85</v>
      </c>
      <c r="D131" s="121" t="s">
        <v>732</v>
      </c>
      <c r="E131" s="121" t="s">
        <v>733</v>
      </c>
      <c r="F131" s="121" t="s">
        <v>364</v>
      </c>
      <c r="G131" s="121" t="s">
        <v>328</v>
      </c>
      <c r="H131" s="121">
        <v>1</v>
      </c>
      <c r="I131" s="77">
        <v>815</v>
      </c>
      <c r="J131" t="s">
        <v>734</v>
      </c>
      <c r="K131" s="190" t="s">
        <v>735</v>
      </c>
      <c r="L131" s="190"/>
      <c r="M131" s="191">
        <v>43812</v>
      </c>
      <c r="N131" s="191"/>
      <c r="O131" s="121" t="s">
        <v>331</v>
      </c>
      <c r="P131" s="191" t="s">
        <v>332</v>
      </c>
      <c r="Q131"/>
    </row>
    <row r="132" spans="1:17" ht="39.6" x14ac:dyDescent="0.25">
      <c r="A132" s="189" t="str">
        <f ca="1">HYPERLINK(MID(CELL("filename",A1),FIND("[",CELL("filename",A1)),FIND("]",CELL("filename",A1)) - FIND("[",CELL("filename",A1)) + 1) &amp; "'x-816'!TABLE_CLIENT_1","x-816")</f>
        <v>x-816</v>
      </c>
      <c r="B132" s="121" t="s">
        <v>736</v>
      </c>
      <c r="C132" s="121" t="s">
        <v>737</v>
      </c>
      <c r="D132" s="121" t="s">
        <v>732</v>
      </c>
      <c r="E132" s="121" t="s">
        <v>733</v>
      </c>
      <c r="F132" s="121" t="s">
        <v>364</v>
      </c>
      <c r="G132" s="121" t="s">
        <v>328</v>
      </c>
      <c r="H132" s="121">
        <v>1</v>
      </c>
      <c r="I132" s="77">
        <v>816</v>
      </c>
      <c r="J132" t="s">
        <v>738</v>
      </c>
      <c r="K132" s="190" t="s">
        <v>735</v>
      </c>
      <c r="L132" s="190"/>
      <c r="M132" s="191">
        <v>43812</v>
      </c>
      <c r="N132" s="191"/>
      <c r="O132" s="121" t="s">
        <v>331</v>
      </c>
      <c r="P132" s="191" t="s">
        <v>332</v>
      </c>
      <c r="Q132"/>
    </row>
    <row r="133" spans="1:17" x14ac:dyDescent="0.25">
      <c r="L133"/>
      <c r="Q133"/>
    </row>
    <row r="134" spans="1:17" x14ac:dyDescent="0.25">
      <c r="L134"/>
      <c r="Q134"/>
    </row>
    <row r="135" spans="1:17" x14ac:dyDescent="0.25">
      <c r="L135"/>
      <c r="Q135"/>
    </row>
    <row r="136" spans="1:17" x14ac:dyDescent="0.25">
      <c r="L136"/>
      <c r="Q136"/>
    </row>
    <row r="137" spans="1:17" x14ac:dyDescent="0.25">
      <c r="L137"/>
      <c r="Q137"/>
    </row>
    <row r="138" spans="1:17" x14ac:dyDescent="0.25">
      <c r="L138"/>
      <c r="Q138"/>
    </row>
    <row r="139" spans="1:17" x14ac:dyDescent="0.25">
      <c r="L139"/>
      <c r="Q139"/>
    </row>
    <row r="140" spans="1:17" x14ac:dyDescent="0.25">
      <c r="L140"/>
      <c r="Q140"/>
    </row>
    <row r="141" spans="1:17" x14ac:dyDescent="0.25">
      <c r="L141"/>
      <c r="Q141"/>
    </row>
    <row r="142" spans="1:17" x14ac:dyDescent="0.25">
      <c r="L142"/>
      <c r="Q142"/>
    </row>
    <row r="143" spans="1:17" x14ac:dyDescent="0.25">
      <c r="L143"/>
      <c r="Q143"/>
    </row>
    <row r="144" spans="1:17" x14ac:dyDescent="0.25">
      <c r="L144"/>
      <c r="Q144"/>
    </row>
    <row r="145" spans="12:17" x14ac:dyDescent="0.25">
      <c r="L145"/>
      <c r="Q145"/>
    </row>
    <row r="146" spans="12:17" x14ac:dyDescent="0.25">
      <c r="L146"/>
      <c r="Q146"/>
    </row>
    <row r="147" spans="12:17" x14ac:dyDescent="0.25">
      <c r="L147"/>
      <c r="Q147"/>
    </row>
    <row r="148" spans="12:17" x14ac:dyDescent="0.25">
      <c r="L148"/>
      <c r="Q148"/>
    </row>
    <row r="149" spans="12:17" x14ac:dyDescent="0.25">
      <c r="L149"/>
      <c r="Q149"/>
    </row>
    <row r="150" spans="12:17" x14ac:dyDescent="0.25">
      <c r="L150"/>
      <c r="Q150"/>
    </row>
    <row r="151" spans="12:17" x14ac:dyDescent="0.25">
      <c r="L151"/>
      <c r="Q151"/>
    </row>
    <row r="152" spans="12:17" x14ac:dyDescent="0.25">
      <c r="L152"/>
      <c r="Q152"/>
    </row>
    <row r="153" spans="12:17" x14ac:dyDescent="0.25">
      <c r="L153"/>
      <c r="Q153"/>
    </row>
    <row r="154" spans="12:17" x14ac:dyDescent="0.25">
      <c r="L154"/>
      <c r="Q154"/>
    </row>
    <row r="155" spans="12:17" x14ac:dyDescent="0.25">
      <c r="L155"/>
      <c r="Q155"/>
    </row>
    <row r="156" spans="12:17" x14ac:dyDescent="0.25">
      <c r="L156"/>
      <c r="Q156"/>
    </row>
    <row r="157" spans="12:17" x14ac:dyDescent="0.25">
      <c r="L157"/>
      <c r="Q157"/>
    </row>
    <row r="158" spans="12:17" x14ac:dyDescent="0.25">
      <c r="L158"/>
      <c r="Q158"/>
    </row>
    <row r="159" spans="12:17" x14ac:dyDescent="0.25">
      <c r="L159"/>
      <c r="Q159"/>
    </row>
    <row r="160" spans="12:17" x14ac:dyDescent="0.25">
      <c r="L160"/>
      <c r="Q160"/>
    </row>
    <row r="161" spans="12:17" x14ac:dyDescent="0.25">
      <c r="L161"/>
      <c r="Q161"/>
    </row>
    <row r="162" spans="12:17" x14ac:dyDescent="0.25">
      <c r="L162"/>
      <c r="Q162"/>
    </row>
    <row r="163" spans="12:17" x14ac:dyDescent="0.25">
      <c r="L163"/>
      <c r="Q163"/>
    </row>
    <row r="164" spans="12:17" x14ac:dyDescent="0.25">
      <c r="L164"/>
      <c r="Q164"/>
    </row>
    <row r="165" spans="12:17" x14ac:dyDescent="0.25">
      <c r="L165"/>
      <c r="Q165"/>
    </row>
    <row r="166" spans="12:17" x14ac:dyDescent="0.25">
      <c r="L166"/>
      <c r="Q166"/>
    </row>
    <row r="167" spans="12:17" x14ac:dyDescent="0.25">
      <c r="L167"/>
      <c r="Q167"/>
    </row>
    <row r="168" spans="12:17" x14ac:dyDescent="0.25">
      <c r="L168"/>
      <c r="Q168"/>
    </row>
    <row r="169" spans="12:17" x14ac:dyDescent="0.25">
      <c r="L169"/>
      <c r="Q169"/>
    </row>
    <row r="170" spans="12:17" x14ac:dyDescent="0.25">
      <c r="L170"/>
      <c r="Q170"/>
    </row>
    <row r="171" spans="12:17" x14ac:dyDescent="0.25">
      <c r="L171"/>
      <c r="Q171"/>
    </row>
    <row r="172" spans="12:17" x14ac:dyDescent="0.25">
      <c r="L172"/>
      <c r="Q172"/>
    </row>
    <row r="173" spans="12:17" x14ac:dyDescent="0.25">
      <c r="L173"/>
      <c r="Q173"/>
    </row>
    <row r="174" spans="12:17" x14ac:dyDescent="0.25">
      <c r="L174"/>
      <c r="Q174"/>
    </row>
    <row r="175" spans="12:17" x14ac:dyDescent="0.25">
      <c r="L175"/>
      <c r="Q175"/>
    </row>
    <row r="176" spans="12:17" x14ac:dyDescent="0.25">
      <c r="L176"/>
      <c r="Q176"/>
    </row>
    <row r="177" spans="12:17" x14ac:dyDescent="0.25">
      <c r="L177"/>
      <c r="Q177"/>
    </row>
    <row r="178" spans="12:17" x14ac:dyDescent="0.25">
      <c r="L178"/>
      <c r="Q178"/>
    </row>
    <row r="179" spans="12:17" x14ac:dyDescent="0.25">
      <c r="L179"/>
      <c r="Q179"/>
    </row>
    <row r="180" spans="12:17" x14ac:dyDescent="0.25">
      <c r="L180"/>
      <c r="Q180"/>
    </row>
    <row r="181" spans="12:17" x14ac:dyDescent="0.25">
      <c r="L181"/>
      <c r="Q181"/>
    </row>
    <row r="182" spans="12:17" x14ac:dyDescent="0.25">
      <c r="L182"/>
      <c r="Q182"/>
    </row>
    <row r="183" spans="12:17" x14ac:dyDescent="0.25">
      <c r="L183"/>
      <c r="Q183"/>
    </row>
    <row r="184" spans="12:17" x14ac:dyDescent="0.25">
      <c r="L184"/>
      <c r="Q184"/>
    </row>
    <row r="185" spans="12:17" x14ac:dyDescent="0.25">
      <c r="L185"/>
      <c r="Q185"/>
    </row>
    <row r="186" spans="12:17" x14ac:dyDescent="0.25">
      <c r="L186"/>
      <c r="Q186"/>
    </row>
    <row r="187" spans="12:17" x14ac:dyDescent="0.25">
      <c r="L187"/>
      <c r="Q187"/>
    </row>
    <row r="188" spans="12:17" x14ac:dyDescent="0.25">
      <c r="L188"/>
      <c r="Q188"/>
    </row>
    <row r="189" spans="12:17" x14ac:dyDescent="0.25">
      <c r="L189"/>
      <c r="Q189"/>
    </row>
    <row r="190" spans="12:17" x14ac:dyDescent="0.25">
      <c r="L190"/>
      <c r="Q190"/>
    </row>
    <row r="191" spans="12:17" x14ac:dyDescent="0.25">
      <c r="L191"/>
      <c r="Q191"/>
    </row>
    <row r="192" spans="12:17" x14ac:dyDescent="0.25">
      <c r="L192"/>
      <c r="Q192"/>
    </row>
    <row r="193" spans="12:17" x14ac:dyDescent="0.25">
      <c r="L193"/>
      <c r="Q193"/>
    </row>
    <row r="194" spans="12:17" x14ac:dyDescent="0.25">
      <c r="L194"/>
      <c r="Q194"/>
    </row>
    <row r="195" spans="12:17" x14ac:dyDescent="0.25">
      <c r="L195"/>
      <c r="Q195"/>
    </row>
    <row r="196" spans="12:17" x14ac:dyDescent="0.25">
      <c r="L196"/>
      <c r="Q196"/>
    </row>
    <row r="197" spans="12:17" x14ac:dyDescent="0.25">
      <c r="L197"/>
      <c r="Q197"/>
    </row>
    <row r="198" spans="12:17" x14ac:dyDescent="0.25">
      <c r="L198"/>
      <c r="Q198"/>
    </row>
    <row r="199" spans="12:17" x14ac:dyDescent="0.25">
      <c r="L199"/>
      <c r="Q199"/>
    </row>
    <row r="200" spans="12:17" x14ac:dyDescent="0.25">
      <c r="L200"/>
      <c r="Q200"/>
    </row>
    <row r="201" spans="12:17" x14ac:dyDescent="0.25">
      <c r="L201"/>
      <c r="Q201"/>
    </row>
    <row r="202" spans="12:17" x14ac:dyDescent="0.25">
      <c r="L202"/>
      <c r="Q202"/>
    </row>
    <row r="203" spans="12:17" x14ac:dyDescent="0.25">
      <c r="L203"/>
      <c r="Q203"/>
    </row>
    <row r="204" spans="12:17" x14ac:dyDescent="0.25">
      <c r="L204"/>
      <c r="Q204"/>
    </row>
    <row r="205" spans="12:17" x14ac:dyDescent="0.25">
      <c r="L205"/>
      <c r="Q205"/>
    </row>
    <row r="206" spans="12:17" x14ac:dyDescent="0.25">
      <c r="L206"/>
      <c r="Q206"/>
    </row>
    <row r="207" spans="12:17" x14ac:dyDescent="0.25">
      <c r="L207"/>
      <c r="Q207"/>
    </row>
    <row r="208" spans="12:17" x14ac:dyDescent="0.25">
      <c r="L208"/>
      <c r="Q208"/>
    </row>
    <row r="209" spans="12:17" x14ac:dyDescent="0.25">
      <c r="L209"/>
      <c r="Q209"/>
    </row>
    <row r="210" spans="12:17" x14ac:dyDescent="0.25">
      <c r="L210"/>
      <c r="Q210"/>
    </row>
    <row r="211" spans="12:17" x14ac:dyDescent="0.25">
      <c r="L211"/>
      <c r="Q211"/>
    </row>
    <row r="212" spans="12:17" x14ac:dyDescent="0.25">
      <c r="L212"/>
      <c r="Q212"/>
    </row>
    <row r="213" spans="12:17" x14ac:dyDescent="0.25">
      <c r="L213"/>
      <c r="Q213"/>
    </row>
    <row r="214" spans="12:17" x14ac:dyDescent="0.25">
      <c r="L214"/>
      <c r="Q214"/>
    </row>
    <row r="215" spans="12:17" x14ac:dyDescent="0.25">
      <c r="L215"/>
      <c r="Q215"/>
    </row>
    <row r="216" spans="12:17" x14ac:dyDescent="0.25">
      <c r="L216"/>
      <c r="Q216"/>
    </row>
    <row r="217" spans="12:17" x14ac:dyDescent="0.25">
      <c r="L217"/>
      <c r="Q217"/>
    </row>
    <row r="218" spans="12:17" x14ac:dyDescent="0.25">
      <c r="L218"/>
      <c r="Q218"/>
    </row>
    <row r="219" spans="12:17" x14ac:dyDescent="0.25">
      <c r="L219"/>
      <c r="Q219"/>
    </row>
    <row r="220" spans="12:17" x14ac:dyDescent="0.25">
      <c r="L220"/>
      <c r="Q220"/>
    </row>
    <row r="221" spans="12:17" x14ac:dyDescent="0.25">
      <c r="L221"/>
      <c r="Q221"/>
    </row>
    <row r="222" spans="12:17" x14ac:dyDescent="0.25">
      <c r="L222"/>
      <c r="Q222"/>
    </row>
    <row r="223" spans="12:17" x14ac:dyDescent="0.25">
      <c r="L223"/>
      <c r="Q223"/>
    </row>
    <row r="224" spans="12:17" x14ac:dyDescent="0.25">
      <c r="L224"/>
      <c r="Q224"/>
    </row>
    <row r="225" spans="12:17" x14ac:dyDescent="0.25">
      <c r="L225"/>
      <c r="Q225"/>
    </row>
    <row r="226" spans="12:17" x14ac:dyDescent="0.25">
      <c r="L226"/>
      <c r="Q226"/>
    </row>
    <row r="227" spans="12:17" x14ac:dyDescent="0.25">
      <c r="L227"/>
      <c r="Q227"/>
    </row>
    <row r="228" spans="12:17" x14ac:dyDescent="0.25">
      <c r="L228"/>
      <c r="Q228"/>
    </row>
    <row r="229" spans="12:17" x14ac:dyDescent="0.25">
      <c r="L229"/>
      <c r="Q229"/>
    </row>
    <row r="230" spans="12:17" x14ac:dyDescent="0.25">
      <c r="L230"/>
      <c r="Q230"/>
    </row>
    <row r="231" spans="12:17" x14ac:dyDescent="0.25">
      <c r="L231"/>
      <c r="Q231"/>
    </row>
    <row r="232" spans="12:17" x14ac:dyDescent="0.25">
      <c r="L232"/>
      <c r="Q232"/>
    </row>
    <row r="233" spans="12:17" x14ac:dyDescent="0.25">
      <c r="L233"/>
      <c r="Q233"/>
    </row>
    <row r="234" spans="12:17" x14ac:dyDescent="0.25">
      <c r="L234"/>
      <c r="Q234"/>
    </row>
    <row r="235" spans="12:17" x14ac:dyDescent="0.25">
      <c r="L235"/>
      <c r="Q235"/>
    </row>
    <row r="236" spans="12:17" x14ac:dyDescent="0.25">
      <c r="L236"/>
      <c r="Q236"/>
    </row>
    <row r="237" spans="12:17" x14ac:dyDescent="0.25">
      <c r="L237"/>
      <c r="Q237"/>
    </row>
    <row r="238" spans="12:17" x14ac:dyDescent="0.25">
      <c r="L238"/>
      <c r="Q238"/>
    </row>
    <row r="239" spans="12:17" x14ac:dyDescent="0.25">
      <c r="L239"/>
      <c r="Q239"/>
    </row>
    <row r="240" spans="12:17" x14ac:dyDescent="0.25">
      <c r="L240"/>
      <c r="Q240"/>
    </row>
    <row r="241" spans="12:17" x14ac:dyDescent="0.25">
      <c r="L241"/>
      <c r="Q241"/>
    </row>
    <row r="242" spans="12:17" x14ac:dyDescent="0.25">
      <c r="L242"/>
      <c r="Q242"/>
    </row>
    <row r="243" spans="12:17" x14ac:dyDescent="0.25">
      <c r="L243"/>
      <c r="Q243"/>
    </row>
    <row r="244" spans="12:17" x14ac:dyDescent="0.25">
      <c r="L244"/>
      <c r="Q244"/>
    </row>
    <row r="245" spans="12:17" x14ac:dyDescent="0.25">
      <c r="L245"/>
      <c r="Q245"/>
    </row>
    <row r="246" spans="12:17" x14ac:dyDescent="0.25">
      <c r="L246"/>
      <c r="Q246"/>
    </row>
    <row r="247" spans="12:17" x14ac:dyDescent="0.25">
      <c r="L247"/>
      <c r="Q247"/>
    </row>
    <row r="248" spans="12:17" x14ac:dyDescent="0.25">
      <c r="L248"/>
      <c r="Q248"/>
    </row>
    <row r="249" spans="12:17" x14ac:dyDescent="0.25">
      <c r="L249"/>
      <c r="Q249"/>
    </row>
    <row r="250" spans="12:17" x14ac:dyDescent="0.25">
      <c r="L250"/>
      <c r="Q250"/>
    </row>
    <row r="251" spans="12:17" x14ac:dyDescent="0.25">
      <c r="L251"/>
      <c r="Q251"/>
    </row>
    <row r="252" spans="12:17" x14ac:dyDescent="0.25">
      <c r="L252"/>
      <c r="Q252"/>
    </row>
    <row r="253" spans="12:17" x14ac:dyDescent="0.25">
      <c r="L253"/>
      <c r="Q253"/>
    </row>
    <row r="254" spans="12:17" x14ac:dyDescent="0.25">
      <c r="L254"/>
      <c r="Q254"/>
    </row>
    <row r="255" spans="12:17" x14ac:dyDescent="0.25">
      <c r="L255"/>
      <c r="Q255"/>
    </row>
    <row r="256" spans="12:17" x14ac:dyDescent="0.25">
      <c r="L256"/>
      <c r="Q256"/>
    </row>
    <row r="257" spans="12:17" x14ac:dyDescent="0.25">
      <c r="L257"/>
      <c r="Q257"/>
    </row>
    <row r="258" spans="12:17" x14ac:dyDescent="0.25">
      <c r="L258"/>
      <c r="Q258"/>
    </row>
    <row r="259" spans="12:17" x14ac:dyDescent="0.25">
      <c r="L259"/>
      <c r="Q259"/>
    </row>
    <row r="260" spans="12:17" x14ac:dyDescent="0.25">
      <c r="L260"/>
      <c r="Q260"/>
    </row>
    <row r="261" spans="12:17" x14ac:dyDescent="0.25">
      <c r="L261"/>
      <c r="Q261"/>
    </row>
    <row r="262" spans="12:17" x14ac:dyDescent="0.25">
      <c r="L262"/>
      <c r="Q262"/>
    </row>
    <row r="263" spans="12:17" x14ac:dyDescent="0.25">
      <c r="L263"/>
      <c r="Q263"/>
    </row>
    <row r="264" spans="12:17" x14ac:dyDescent="0.25">
      <c r="L264"/>
      <c r="Q264"/>
    </row>
    <row r="265" spans="12:17" x14ac:dyDescent="0.25">
      <c r="L265"/>
      <c r="Q265"/>
    </row>
    <row r="266" spans="12:17" x14ac:dyDescent="0.25">
      <c r="L266"/>
      <c r="Q266"/>
    </row>
    <row r="267" spans="12:17" x14ac:dyDescent="0.25">
      <c r="L267"/>
      <c r="Q267"/>
    </row>
    <row r="268" spans="12:17" x14ac:dyDescent="0.25">
      <c r="L268"/>
      <c r="Q268"/>
    </row>
    <row r="269" spans="12:17" x14ac:dyDescent="0.25">
      <c r="L269"/>
      <c r="Q269"/>
    </row>
    <row r="270" spans="12:17" x14ac:dyDescent="0.25">
      <c r="L270"/>
      <c r="Q270"/>
    </row>
    <row r="271" spans="12:17" x14ac:dyDescent="0.25">
      <c r="L271"/>
      <c r="Q271"/>
    </row>
    <row r="272" spans="12:17" x14ac:dyDescent="0.25">
      <c r="L272"/>
      <c r="Q272"/>
    </row>
    <row r="273" spans="12:17" x14ac:dyDescent="0.25">
      <c r="L273"/>
      <c r="Q273"/>
    </row>
    <row r="274" spans="12:17" x14ac:dyDescent="0.25">
      <c r="L274"/>
      <c r="Q274"/>
    </row>
    <row r="275" spans="12:17" x14ac:dyDescent="0.25">
      <c r="L275"/>
      <c r="Q275"/>
    </row>
    <row r="276" spans="12:17" x14ac:dyDescent="0.25">
      <c r="L276"/>
      <c r="Q276"/>
    </row>
    <row r="277" spans="12:17" x14ac:dyDescent="0.25">
      <c r="L277"/>
      <c r="Q277"/>
    </row>
    <row r="278" spans="12:17" x14ac:dyDescent="0.25">
      <c r="L278"/>
      <c r="Q278"/>
    </row>
    <row r="279" spans="12:17" x14ac:dyDescent="0.25">
      <c r="L279"/>
      <c r="Q279"/>
    </row>
    <row r="280" spans="12:17" x14ac:dyDescent="0.25">
      <c r="L280"/>
      <c r="Q280"/>
    </row>
    <row r="281" spans="12:17" x14ac:dyDescent="0.25">
      <c r="L281"/>
      <c r="Q281"/>
    </row>
    <row r="282" spans="12:17" x14ac:dyDescent="0.25">
      <c r="L282"/>
      <c r="Q282"/>
    </row>
    <row r="283" spans="12:17" x14ac:dyDescent="0.25">
      <c r="L283"/>
      <c r="Q283"/>
    </row>
    <row r="284" spans="12:17" x14ac:dyDescent="0.25">
      <c r="L284"/>
      <c r="Q284"/>
    </row>
    <row r="285" spans="12:17" x14ac:dyDescent="0.25">
      <c r="L285"/>
      <c r="Q285"/>
    </row>
    <row r="286" spans="12:17" x14ac:dyDescent="0.25">
      <c r="L286"/>
      <c r="Q286"/>
    </row>
    <row r="287" spans="12:17" x14ac:dyDescent="0.25">
      <c r="L287"/>
      <c r="Q287"/>
    </row>
    <row r="288" spans="12:17" x14ac:dyDescent="0.25">
      <c r="L288"/>
      <c r="Q288"/>
    </row>
    <row r="289" spans="12:17" x14ac:dyDescent="0.25">
      <c r="L289"/>
      <c r="Q289"/>
    </row>
    <row r="290" spans="12:17" x14ac:dyDescent="0.25">
      <c r="L290"/>
      <c r="Q290"/>
    </row>
    <row r="291" spans="12:17" x14ac:dyDescent="0.25">
      <c r="L291"/>
      <c r="Q291"/>
    </row>
    <row r="292" spans="12:17" x14ac:dyDescent="0.25">
      <c r="L292"/>
      <c r="Q292"/>
    </row>
    <row r="293" spans="12:17" x14ac:dyDescent="0.25">
      <c r="L293"/>
      <c r="Q293"/>
    </row>
    <row r="294" spans="12:17" x14ac:dyDescent="0.25">
      <c r="L294"/>
      <c r="Q294"/>
    </row>
    <row r="295" spans="12:17" x14ac:dyDescent="0.25">
      <c r="L295"/>
      <c r="Q295"/>
    </row>
    <row r="296" spans="12:17" x14ac:dyDescent="0.25">
      <c r="L296"/>
      <c r="Q296"/>
    </row>
    <row r="297" spans="12:17" x14ac:dyDescent="0.25">
      <c r="L297"/>
      <c r="Q297"/>
    </row>
    <row r="298" spans="12:17" x14ac:dyDescent="0.25">
      <c r="L298"/>
      <c r="Q298"/>
    </row>
    <row r="299" spans="12:17" x14ac:dyDescent="0.25">
      <c r="L299"/>
      <c r="Q299"/>
    </row>
    <row r="300" spans="12:17" x14ac:dyDescent="0.25">
      <c r="L300"/>
      <c r="Q300"/>
    </row>
    <row r="301" spans="12:17" x14ac:dyDescent="0.25">
      <c r="L301"/>
      <c r="Q301"/>
    </row>
    <row r="302" spans="12:17" x14ac:dyDescent="0.25">
      <c r="L302"/>
      <c r="Q302"/>
    </row>
    <row r="303" spans="12:17" x14ac:dyDescent="0.25">
      <c r="L303"/>
      <c r="Q303"/>
    </row>
    <row r="304" spans="12:17" x14ac:dyDescent="0.25">
      <c r="L304"/>
      <c r="Q304"/>
    </row>
    <row r="305" spans="12:17" x14ac:dyDescent="0.25">
      <c r="L305"/>
      <c r="Q305"/>
    </row>
    <row r="306" spans="12:17" x14ac:dyDescent="0.25">
      <c r="L306"/>
      <c r="Q306"/>
    </row>
    <row r="307" spans="12:17" x14ac:dyDescent="0.25">
      <c r="L307"/>
      <c r="Q307"/>
    </row>
    <row r="308" spans="12:17" x14ac:dyDescent="0.25">
      <c r="L308"/>
      <c r="Q308"/>
    </row>
    <row r="309" spans="12:17" x14ac:dyDescent="0.25">
      <c r="L309"/>
      <c r="Q309"/>
    </row>
    <row r="310" spans="12:17" x14ac:dyDescent="0.25">
      <c r="L310"/>
      <c r="Q310"/>
    </row>
    <row r="311" spans="12:17" x14ac:dyDescent="0.25">
      <c r="L311"/>
      <c r="Q311"/>
    </row>
    <row r="312" spans="12:17" x14ac:dyDescent="0.25">
      <c r="L312"/>
      <c r="Q312"/>
    </row>
    <row r="313" spans="12:17" x14ac:dyDescent="0.25">
      <c r="L313"/>
      <c r="Q313"/>
    </row>
    <row r="314" spans="12:17" x14ac:dyDescent="0.25">
      <c r="L314"/>
      <c r="Q314"/>
    </row>
    <row r="315" spans="12:17" x14ac:dyDescent="0.25">
      <c r="L315"/>
      <c r="Q315"/>
    </row>
    <row r="316" spans="12:17" x14ac:dyDescent="0.25">
      <c r="L316"/>
      <c r="Q316"/>
    </row>
    <row r="317" spans="12:17" x14ac:dyDescent="0.25">
      <c r="L317"/>
      <c r="Q317"/>
    </row>
    <row r="318" spans="12:17" x14ac:dyDescent="0.25">
      <c r="L318"/>
      <c r="Q318"/>
    </row>
    <row r="319" spans="12:17" x14ac:dyDescent="0.25">
      <c r="L319"/>
      <c r="Q319"/>
    </row>
    <row r="320" spans="12:17" x14ac:dyDescent="0.25">
      <c r="L320"/>
      <c r="Q320"/>
    </row>
    <row r="321" spans="12:17" x14ac:dyDescent="0.25">
      <c r="L321"/>
      <c r="Q321"/>
    </row>
    <row r="322" spans="12:17" x14ac:dyDescent="0.25">
      <c r="L322"/>
      <c r="Q322"/>
    </row>
    <row r="323" spans="12:17" x14ac:dyDescent="0.25">
      <c r="L323"/>
      <c r="Q323"/>
    </row>
    <row r="324" spans="12:17" x14ac:dyDescent="0.25">
      <c r="L324"/>
      <c r="Q324"/>
    </row>
    <row r="325" spans="12:17" x14ac:dyDescent="0.25">
      <c r="L325"/>
      <c r="Q325"/>
    </row>
    <row r="326" spans="12:17" x14ac:dyDescent="0.25">
      <c r="L326"/>
      <c r="Q326"/>
    </row>
    <row r="327" spans="12:17" x14ac:dyDescent="0.25">
      <c r="L327"/>
      <c r="Q327"/>
    </row>
    <row r="328" spans="12:17" x14ac:dyDescent="0.25">
      <c r="L328"/>
      <c r="Q328"/>
    </row>
    <row r="329" spans="12:17" x14ac:dyDescent="0.25">
      <c r="L329"/>
      <c r="Q329"/>
    </row>
    <row r="330" spans="12:17" x14ac:dyDescent="0.25">
      <c r="L330"/>
      <c r="Q330"/>
    </row>
    <row r="331" spans="12:17" x14ac:dyDescent="0.25">
      <c r="L331"/>
      <c r="Q331"/>
    </row>
    <row r="332" spans="12:17" x14ac:dyDescent="0.25">
      <c r="L332"/>
      <c r="Q332"/>
    </row>
    <row r="333" spans="12:17" x14ac:dyDescent="0.25">
      <c r="L333"/>
      <c r="Q333"/>
    </row>
    <row r="334" spans="12:17" x14ac:dyDescent="0.25">
      <c r="L334"/>
      <c r="Q334"/>
    </row>
    <row r="335" spans="12:17" x14ac:dyDescent="0.25">
      <c r="L335"/>
      <c r="Q335"/>
    </row>
    <row r="336" spans="12:17" x14ac:dyDescent="0.25">
      <c r="L336"/>
      <c r="Q336"/>
    </row>
    <row r="337" spans="12:17" x14ac:dyDescent="0.25">
      <c r="L337"/>
      <c r="Q337"/>
    </row>
    <row r="338" spans="12:17" x14ac:dyDescent="0.25">
      <c r="L338"/>
      <c r="Q338"/>
    </row>
    <row r="339" spans="12:17" x14ac:dyDescent="0.25">
      <c r="L339"/>
      <c r="Q339"/>
    </row>
    <row r="340" spans="12:17" x14ac:dyDescent="0.25">
      <c r="L340"/>
      <c r="Q340"/>
    </row>
    <row r="341" spans="12:17" x14ac:dyDescent="0.25">
      <c r="L341"/>
      <c r="Q341"/>
    </row>
    <row r="342" spans="12:17" x14ac:dyDescent="0.25">
      <c r="L342"/>
      <c r="Q342"/>
    </row>
    <row r="343" spans="12:17" x14ac:dyDescent="0.25">
      <c r="L343"/>
      <c r="Q343"/>
    </row>
    <row r="344" spans="12:17" x14ac:dyDescent="0.25">
      <c r="L344"/>
      <c r="Q344"/>
    </row>
    <row r="345" spans="12:17" x14ac:dyDescent="0.25">
      <c r="L345"/>
      <c r="Q345"/>
    </row>
    <row r="346" spans="12:17" x14ac:dyDescent="0.25">
      <c r="L346"/>
      <c r="Q346"/>
    </row>
    <row r="347" spans="12:17" x14ac:dyDescent="0.25">
      <c r="L347"/>
      <c r="Q347"/>
    </row>
    <row r="348" spans="12:17" x14ac:dyDescent="0.25">
      <c r="L348"/>
      <c r="Q348"/>
    </row>
    <row r="349" spans="12:17" x14ac:dyDescent="0.25">
      <c r="L349"/>
      <c r="Q349"/>
    </row>
    <row r="350" spans="12:17" x14ac:dyDescent="0.25">
      <c r="L350"/>
      <c r="Q350"/>
    </row>
    <row r="351" spans="12:17" x14ac:dyDescent="0.25">
      <c r="L351"/>
      <c r="Q351"/>
    </row>
    <row r="352" spans="12:17" x14ac:dyDescent="0.25">
      <c r="L352"/>
      <c r="Q352"/>
    </row>
    <row r="353" spans="12:17" x14ac:dyDescent="0.25">
      <c r="L353"/>
      <c r="Q353"/>
    </row>
    <row r="354" spans="12:17" x14ac:dyDescent="0.25">
      <c r="L354"/>
      <c r="Q354"/>
    </row>
    <row r="355" spans="12:17" x14ac:dyDescent="0.25">
      <c r="L355"/>
      <c r="Q355"/>
    </row>
    <row r="356" spans="12:17" x14ac:dyDescent="0.25">
      <c r="L356"/>
      <c r="Q356"/>
    </row>
    <row r="357" spans="12:17" x14ac:dyDescent="0.25">
      <c r="L357"/>
      <c r="Q357"/>
    </row>
    <row r="358" spans="12:17" x14ac:dyDescent="0.25">
      <c r="L358"/>
      <c r="Q358"/>
    </row>
    <row r="359" spans="12:17" x14ac:dyDescent="0.25">
      <c r="L359"/>
      <c r="Q359"/>
    </row>
    <row r="360" spans="12:17" x14ac:dyDescent="0.25">
      <c r="L360"/>
      <c r="Q360"/>
    </row>
    <row r="361" spans="12:17" x14ac:dyDescent="0.25">
      <c r="L361"/>
      <c r="Q361"/>
    </row>
    <row r="362" spans="12:17" x14ac:dyDescent="0.25">
      <c r="L362"/>
      <c r="Q362"/>
    </row>
    <row r="363" spans="12:17" x14ac:dyDescent="0.25">
      <c r="L363"/>
      <c r="Q363"/>
    </row>
    <row r="364" spans="12:17" x14ac:dyDescent="0.25">
      <c r="L364"/>
      <c r="Q364"/>
    </row>
    <row r="365" spans="12:17" x14ac:dyDescent="0.25">
      <c r="L365"/>
      <c r="Q365"/>
    </row>
    <row r="366" spans="12:17" x14ac:dyDescent="0.25">
      <c r="L366"/>
      <c r="Q366"/>
    </row>
    <row r="367" spans="12:17" x14ac:dyDescent="0.25">
      <c r="L367"/>
      <c r="Q367"/>
    </row>
    <row r="368" spans="12:17" x14ac:dyDescent="0.25">
      <c r="L368"/>
      <c r="Q368"/>
    </row>
    <row r="369" spans="12:17" x14ac:dyDescent="0.25">
      <c r="L369"/>
      <c r="Q369"/>
    </row>
    <row r="370" spans="12:17" x14ac:dyDescent="0.25">
      <c r="L370"/>
      <c r="Q370"/>
    </row>
    <row r="371" spans="12:17" x14ac:dyDescent="0.25">
      <c r="L371"/>
      <c r="Q371"/>
    </row>
    <row r="372" spans="12:17" x14ac:dyDescent="0.25">
      <c r="L372"/>
      <c r="Q372"/>
    </row>
    <row r="373" spans="12:17" x14ac:dyDescent="0.25">
      <c r="L373"/>
      <c r="Q373"/>
    </row>
    <row r="374" spans="12:17" x14ac:dyDescent="0.25">
      <c r="L374"/>
      <c r="Q374"/>
    </row>
    <row r="375" spans="12:17" x14ac:dyDescent="0.25">
      <c r="L375"/>
      <c r="Q375"/>
    </row>
    <row r="376" spans="12:17" x14ac:dyDescent="0.25">
      <c r="L376"/>
      <c r="Q376"/>
    </row>
    <row r="377" spans="12:17" x14ac:dyDescent="0.25">
      <c r="L377"/>
      <c r="Q377"/>
    </row>
    <row r="378" spans="12:17" x14ac:dyDescent="0.25">
      <c r="L378"/>
      <c r="Q378"/>
    </row>
    <row r="379" spans="12:17" x14ac:dyDescent="0.25">
      <c r="L379"/>
      <c r="Q379"/>
    </row>
    <row r="380" spans="12:17" x14ac:dyDescent="0.25">
      <c r="L380"/>
      <c r="Q380"/>
    </row>
    <row r="381" spans="12:17" x14ac:dyDescent="0.25">
      <c r="L381"/>
      <c r="Q381"/>
    </row>
    <row r="382" spans="12:17" x14ac:dyDescent="0.25">
      <c r="L382"/>
      <c r="Q382"/>
    </row>
    <row r="383" spans="12:17" x14ac:dyDescent="0.25">
      <c r="L383"/>
      <c r="Q383"/>
    </row>
    <row r="384" spans="12:17" x14ac:dyDescent="0.25">
      <c r="L384"/>
      <c r="Q384"/>
    </row>
    <row r="385" spans="12:17" x14ac:dyDescent="0.25">
      <c r="L385"/>
      <c r="Q385"/>
    </row>
    <row r="386" spans="12:17" x14ac:dyDescent="0.25">
      <c r="L386"/>
      <c r="Q386"/>
    </row>
    <row r="387" spans="12:17" x14ac:dyDescent="0.25">
      <c r="L387"/>
      <c r="Q387"/>
    </row>
    <row r="388" spans="12:17" x14ac:dyDescent="0.25">
      <c r="L388"/>
      <c r="Q388"/>
    </row>
    <row r="389" spans="12:17" x14ac:dyDescent="0.25">
      <c r="L389"/>
      <c r="Q389"/>
    </row>
    <row r="390" spans="12:17" x14ac:dyDescent="0.25">
      <c r="L390"/>
      <c r="Q390"/>
    </row>
    <row r="391" spans="12:17" x14ac:dyDescent="0.25">
      <c r="L391"/>
      <c r="Q391"/>
    </row>
    <row r="392" spans="12:17" x14ac:dyDescent="0.25">
      <c r="L392"/>
      <c r="Q392"/>
    </row>
    <row r="393" spans="12:17" x14ac:dyDescent="0.25">
      <c r="L393"/>
      <c r="Q393"/>
    </row>
    <row r="394" spans="12:17" x14ac:dyDescent="0.25">
      <c r="L394"/>
      <c r="Q394"/>
    </row>
    <row r="395" spans="12:17" x14ac:dyDescent="0.25">
      <c r="L395"/>
      <c r="Q395"/>
    </row>
    <row r="396" spans="12:17" x14ac:dyDescent="0.25">
      <c r="L396"/>
      <c r="Q396"/>
    </row>
    <row r="397" spans="12:17" x14ac:dyDescent="0.25">
      <c r="L397"/>
      <c r="Q397"/>
    </row>
    <row r="398" spans="12:17" x14ac:dyDescent="0.25">
      <c r="L398"/>
      <c r="Q398"/>
    </row>
    <row r="399" spans="12:17" x14ac:dyDescent="0.25">
      <c r="L399"/>
      <c r="Q399"/>
    </row>
    <row r="400" spans="12:17" x14ac:dyDescent="0.25">
      <c r="L400"/>
      <c r="Q400"/>
    </row>
    <row r="401" spans="12:17" x14ac:dyDescent="0.25">
      <c r="L401"/>
      <c r="Q401"/>
    </row>
    <row r="402" spans="12:17" x14ac:dyDescent="0.25">
      <c r="L402"/>
      <c r="Q402"/>
    </row>
    <row r="403" spans="12:17" x14ac:dyDescent="0.25">
      <c r="L403"/>
      <c r="Q403"/>
    </row>
    <row r="404" spans="12:17" x14ac:dyDescent="0.25">
      <c r="L404"/>
      <c r="Q404"/>
    </row>
    <row r="405" spans="12:17" x14ac:dyDescent="0.25">
      <c r="L405"/>
      <c r="Q405"/>
    </row>
    <row r="406" spans="12:17" x14ac:dyDescent="0.25">
      <c r="L406"/>
      <c r="Q406"/>
    </row>
    <row r="407" spans="12:17" x14ac:dyDescent="0.25">
      <c r="L407"/>
      <c r="Q407"/>
    </row>
    <row r="408" spans="12:17" x14ac:dyDescent="0.25">
      <c r="L408"/>
      <c r="Q408"/>
    </row>
    <row r="409" spans="12:17" x14ac:dyDescent="0.25">
      <c r="L409"/>
      <c r="Q409"/>
    </row>
    <row r="410" spans="12:17" x14ac:dyDescent="0.25">
      <c r="L410"/>
      <c r="Q410"/>
    </row>
    <row r="411" spans="12:17" x14ac:dyDescent="0.25">
      <c r="L411"/>
      <c r="Q411"/>
    </row>
    <row r="412" spans="12:17" x14ac:dyDescent="0.25">
      <c r="L412"/>
      <c r="Q412"/>
    </row>
    <row r="413" spans="12:17" x14ac:dyDescent="0.25">
      <c r="L413"/>
      <c r="Q413"/>
    </row>
    <row r="414" spans="12:17" x14ac:dyDescent="0.25">
      <c r="L414"/>
      <c r="Q414"/>
    </row>
    <row r="415" spans="12:17" x14ac:dyDescent="0.25">
      <c r="L415"/>
      <c r="Q415"/>
    </row>
    <row r="416" spans="12:17" x14ac:dyDescent="0.25">
      <c r="L416"/>
      <c r="Q416"/>
    </row>
    <row r="417" spans="12:17" x14ac:dyDescent="0.25">
      <c r="L417"/>
      <c r="Q417"/>
    </row>
    <row r="418" spans="12:17" x14ac:dyDescent="0.25">
      <c r="L418"/>
      <c r="Q418"/>
    </row>
    <row r="419" spans="12:17" x14ac:dyDescent="0.25">
      <c r="L419"/>
      <c r="Q419"/>
    </row>
    <row r="420" spans="12:17" x14ac:dyDescent="0.25">
      <c r="L420"/>
      <c r="Q420"/>
    </row>
    <row r="421" spans="12:17" x14ac:dyDescent="0.25">
      <c r="L421"/>
      <c r="Q421"/>
    </row>
    <row r="422" spans="12:17" x14ac:dyDescent="0.25">
      <c r="L422"/>
      <c r="Q422"/>
    </row>
    <row r="423" spans="12:17" x14ac:dyDescent="0.25">
      <c r="L423"/>
      <c r="Q423"/>
    </row>
    <row r="424" spans="12:17" x14ac:dyDescent="0.25">
      <c r="L424"/>
      <c r="Q424"/>
    </row>
    <row r="425" spans="12:17" x14ac:dyDescent="0.25">
      <c r="L425"/>
      <c r="Q425"/>
    </row>
    <row r="426" spans="12:17" x14ac:dyDescent="0.25">
      <c r="L426"/>
      <c r="Q426"/>
    </row>
    <row r="427" spans="12:17" x14ac:dyDescent="0.25">
      <c r="L427"/>
      <c r="Q427"/>
    </row>
    <row r="428" spans="12:17" x14ac:dyDescent="0.25">
      <c r="L428"/>
      <c r="Q428"/>
    </row>
    <row r="429" spans="12:17" x14ac:dyDescent="0.25">
      <c r="L429"/>
      <c r="Q429"/>
    </row>
    <row r="430" spans="12:17" x14ac:dyDescent="0.25">
      <c r="L430"/>
      <c r="Q430"/>
    </row>
    <row r="431" spans="12:17" x14ac:dyDescent="0.25">
      <c r="L431"/>
      <c r="Q431"/>
    </row>
    <row r="432" spans="12:17" x14ac:dyDescent="0.25">
      <c r="L432"/>
      <c r="Q432"/>
    </row>
    <row r="433" spans="12:17" x14ac:dyDescent="0.25">
      <c r="L433"/>
      <c r="Q433"/>
    </row>
    <row r="434" spans="12:17" x14ac:dyDescent="0.25">
      <c r="L434"/>
      <c r="Q434"/>
    </row>
    <row r="435" spans="12:17" x14ac:dyDescent="0.25">
      <c r="L435"/>
      <c r="Q435"/>
    </row>
    <row r="436" spans="12:17" x14ac:dyDescent="0.25">
      <c r="L436"/>
      <c r="Q436"/>
    </row>
    <row r="437" spans="12:17" x14ac:dyDescent="0.25">
      <c r="L437"/>
      <c r="Q437"/>
    </row>
    <row r="438" spans="12:17" x14ac:dyDescent="0.25">
      <c r="L438"/>
      <c r="Q438"/>
    </row>
    <row r="439" spans="12:17" x14ac:dyDescent="0.25">
      <c r="L439"/>
      <c r="Q439"/>
    </row>
    <row r="440" spans="12:17" x14ac:dyDescent="0.25">
      <c r="L440"/>
      <c r="Q440"/>
    </row>
    <row r="441" spans="12:17" x14ac:dyDescent="0.25">
      <c r="L441"/>
      <c r="Q441"/>
    </row>
    <row r="442" spans="12:17" x14ac:dyDescent="0.25">
      <c r="L442"/>
      <c r="Q442"/>
    </row>
    <row r="443" spans="12:17" x14ac:dyDescent="0.25">
      <c r="L443"/>
      <c r="Q443"/>
    </row>
    <row r="444" spans="12:17" x14ac:dyDescent="0.25">
      <c r="L444"/>
      <c r="Q444"/>
    </row>
    <row r="445" spans="12:17" x14ac:dyDescent="0.25">
      <c r="L445"/>
      <c r="Q445"/>
    </row>
    <row r="446" spans="12:17" x14ac:dyDescent="0.25">
      <c r="L446"/>
      <c r="Q446"/>
    </row>
    <row r="447" spans="12:17" x14ac:dyDescent="0.25">
      <c r="L447"/>
      <c r="Q447"/>
    </row>
    <row r="448" spans="12:17" x14ac:dyDescent="0.25">
      <c r="L448"/>
      <c r="Q448"/>
    </row>
    <row r="449" spans="12:17" x14ac:dyDescent="0.25">
      <c r="L449"/>
      <c r="Q449"/>
    </row>
    <row r="450" spans="12:17" x14ac:dyDescent="0.25">
      <c r="L450"/>
      <c r="Q450"/>
    </row>
    <row r="451" spans="12:17" x14ac:dyDescent="0.25">
      <c r="L451"/>
      <c r="Q451"/>
    </row>
    <row r="452" spans="12:17" x14ac:dyDescent="0.25">
      <c r="L452"/>
      <c r="Q452"/>
    </row>
    <row r="453" spans="12:17" x14ac:dyDescent="0.25">
      <c r="L453"/>
      <c r="Q453"/>
    </row>
    <row r="454" spans="12:17" x14ac:dyDescent="0.25">
      <c r="L454"/>
      <c r="Q454"/>
    </row>
    <row r="455" spans="12:17" x14ac:dyDescent="0.25">
      <c r="L455"/>
      <c r="Q455"/>
    </row>
    <row r="456" spans="12:17" x14ac:dyDescent="0.25">
      <c r="L456"/>
      <c r="Q456"/>
    </row>
    <row r="457" spans="12:17" x14ac:dyDescent="0.25">
      <c r="L457"/>
      <c r="Q457"/>
    </row>
    <row r="458" spans="12:17" x14ac:dyDescent="0.25">
      <c r="L458"/>
      <c r="Q458"/>
    </row>
    <row r="459" spans="12:17" x14ac:dyDescent="0.25">
      <c r="L459"/>
      <c r="Q459"/>
    </row>
    <row r="460" spans="12:17" x14ac:dyDescent="0.25">
      <c r="L460"/>
      <c r="Q460"/>
    </row>
    <row r="461" spans="12:17" x14ac:dyDescent="0.25">
      <c r="L461"/>
      <c r="Q461"/>
    </row>
    <row r="462" spans="12:17" x14ac:dyDescent="0.25">
      <c r="L462"/>
      <c r="Q462"/>
    </row>
    <row r="463" spans="12:17" x14ac:dyDescent="0.25">
      <c r="L463"/>
      <c r="Q463"/>
    </row>
    <row r="464" spans="12:17" x14ac:dyDescent="0.25">
      <c r="L464"/>
      <c r="Q464"/>
    </row>
    <row r="465" spans="12:17" x14ac:dyDescent="0.25">
      <c r="L465"/>
      <c r="Q465"/>
    </row>
    <row r="466" spans="12:17" x14ac:dyDescent="0.25">
      <c r="L466"/>
      <c r="Q466"/>
    </row>
    <row r="467" spans="12:17" x14ac:dyDescent="0.25">
      <c r="L467"/>
      <c r="Q467"/>
    </row>
    <row r="468" spans="12:17" x14ac:dyDescent="0.25">
      <c r="L468"/>
      <c r="Q468"/>
    </row>
    <row r="469" spans="12:17" x14ac:dyDescent="0.25">
      <c r="L469"/>
      <c r="Q469"/>
    </row>
    <row r="470" spans="12:17" x14ac:dyDescent="0.25">
      <c r="L470"/>
      <c r="Q470"/>
    </row>
    <row r="471" spans="12:17" x14ac:dyDescent="0.25">
      <c r="L471"/>
      <c r="Q471"/>
    </row>
    <row r="472" spans="12:17" x14ac:dyDescent="0.25">
      <c r="L472"/>
      <c r="Q472"/>
    </row>
    <row r="473" spans="12:17" x14ac:dyDescent="0.25">
      <c r="L473"/>
      <c r="Q473"/>
    </row>
    <row r="474" spans="12:17" x14ac:dyDescent="0.25">
      <c r="L474"/>
      <c r="Q474"/>
    </row>
    <row r="475" spans="12:17" x14ac:dyDescent="0.25">
      <c r="L475"/>
      <c r="Q475"/>
    </row>
    <row r="476" spans="12:17" x14ac:dyDescent="0.25">
      <c r="L476"/>
      <c r="Q476"/>
    </row>
    <row r="477" spans="12:17" x14ac:dyDescent="0.25">
      <c r="L477"/>
      <c r="Q477"/>
    </row>
    <row r="478" spans="12:17" x14ac:dyDescent="0.25">
      <c r="L478"/>
      <c r="Q478"/>
    </row>
    <row r="479" spans="12:17" x14ac:dyDescent="0.25">
      <c r="L479"/>
      <c r="Q479"/>
    </row>
    <row r="480" spans="12:17" x14ac:dyDescent="0.25">
      <c r="L480"/>
      <c r="Q480"/>
    </row>
    <row r="481" spans="12:17" x14ac:dyDescent="0.25">
      <c r="L481"/>
      <c r="Q481"/>
    </row>
    <row r="482" spans="12:17" x14ac:dyDescent="0.25">
      <c r="L482"/>
      <c r="Q482"/>
    </row>
    <row r="483" spans="12:17" x14ac:dyDescent="0.25">
      <c r="L483"/>
      <c r="Q483"/>
    </row>
    <row r="484" spans="12:17" x14ac:dyDescent="0.25">
      <c r="L484"/>
      <c r="Q484"/>
    </row>
    <row r="485" spans="12:17" x14ac:dyDescent="0.25">
      <c r="L485"/>
      <c r="Q485"/>
    </row>
    <row r="486" spans="12:17" x14ac:dyDescent="0.25">
      <c r="L486"/>
      <c r="Q486"/>
    </row>
    <row r="487" spans="12:17" x14ac:dyDescent="0.25">
      <c r="L487"/>
      <c r="Q487"/>
    </row>
    <row r="488" spans="12:17" x14ac:dyDescent="0.25">
      <c r="L488"/>
      <c r="Q488"/>
    </row>
    <row r="489" spans="12:17" x14ac:dyDescent="0.25">
      <c r="L489"/>
      <c r="Q489"/>
    </row>
    <row r="490" spans="12:17" x14ac:dyDescent="0.25">
      <c r="L490"/>
      <c r="Q490"/>
    </row>
    <row r="491" spans="12:17" x14ac:dyDescent="0.25">
      <c r="L491"/>
      <c r="Q491"/>
    </row>
    <row r="492" spans="12:17" x14ac:dyDescent="0.25">
      <c r="L492"/>
      <c r="Q492"/>
    </row>
    <row r="493" spans="12:17" x14ac:dyDescent="0.25">
      <c r="L493"/>
      <c r="Q493"/>
    </row>
    <row r="494" spans="12:17" x14ac:dyDescent="0.25">
      <c r="L494"/>
      <c r="Q494"/>
    </row>
    <row r="495" spans="12:17" x14ac:dyDescent="0.25">
      <c r="L495"/>
      <c r="Q495"/>
    </row>
    <row r="496" spans="12:17" x14ac:dyDescent="0.25">
      <c r="L496"/>
      <c r="Q496"/>
    </row>
    <row r="497" spans="12:17" x14ac:dyDescent="0.25">
      <c r="L497"/>
      <c r="Q497"/>
    </row>
    <row r="498" spans="12:17" x14ac:dyDescent="0.25">
      <c r="L498"/>
      <c r="Q498"/>
    </row>
    <row r="499" spans="12:17" x14ac:dyDescent="0.25">
      <c r="L499"/>
      <c r="Q499"/>
    </row>
    <row r="500" spans="12:17" x14ac:dyDescent="0.25">
      <c r="L500"/>
      <c r="Q500"/>
    </row>
    <row r="501" spans="12:17" x14ac:dyDescent="0.25">
      <c r="L501"/>
      <c r="Q501"/>
    </row>
    <row r="502" spans="12:17" x14ac:dyDescent="0.25">
      <c r="L502"/>
      <c r="Q502"/>
    </row>
    <row r="503" spans="12:17" x14ac:dyDescent="0.25">
      <c r="L503"/>
      <c r="Q503"/>
    </row>
    <row r="504" spans="12:17" x14ac:dyDescent="0.25">
      <c r="L504"/>
      <c r="Q504"/>
    </row>
    <row r="505" spans="12:17" x14ac:dyDescent="0.25">
      <c r="L505"/>
      <c r="Q505"/>
    </row>
    <row r="506" spans="12:17" x14ac:dyDescent="0.25">
      <c r="L506"/>
      <c r="Q506"/>
    </row>
    <row r="507" spans="12:17" x14ac:dyDescent="0.25">
      <c r="L507"/>
      <c r="Q507"/>
    </row>
    <row r="508" spans="12:17" x14ac:dyDescent="0.25">
      <c r="L508"/>
      <c r="Q508"/>
    </row>
    <row r="509" spans="12:17" x14ac:dyDescent="0.25">
      <c r="L509"/>
      <c r="Q509"/>
    </row>
    <row r="510" spans="12:17" x14ac:dyDescent="0.25">
      <c r="L510"/>
      <c r="Q510"/>
    </row>
    <row r="511" spans="12:17" x14ac:dyDescent="0.25">
      <c r="L511"/>
      <c r="Q511"/>
    </row>
    <row r="512" spans="12:17" x14ac:dyDescent="0.25">
      <c r="L512"/>
      <c r="Q512"/>
    </row>
    <row r="513" spans="12:17" x14ac:dyDescent="0.25">
      <c r="L513"/>
      <c r="Q513"/>
    </row>
    <row r="514" spans="12:17" x14ac:dyDescent="0.25">
      <c r="L514"/>
      <c r="Q514"/>
    </row>
    <row r="515" spans="12:17" x14ac:dyDescent="0.25">
      <c r="L515"/>
      <c r="Q515"/>
    </row>
    <row r="516" spans="12:17" x14ac:dyDescent="0.25">
      <c r="L516"/>
      <c r="Q516"/>
    </row>
    <row r="517" spans="12:17" x14ac:dyDescent="0.25">
      <c r="L517"/>
      <c r="Q517"/>
    </row>
    <row r="518" spans="12:17" x14ac:dyDescent="0.25">
      <c r="L518"/>
      <c r="Q518"/>
    </row>
    <row r="519" spans="12:17" x14ac:dyDescent="0.25">
      <c r="L519"/>
      <c r="Q519"/>
    </row>
    <row r="520" spans="12:17" x14ac:dyDescent="0.25">
      <c r="L520"/>
      <c r="Q520"/>
    </row>
    <row r="521" spans="12:17" x14ac:dyDescent="0.25">
      <c r="L521"/>
      <c r="Q521"/>
    </row>
    <row r="522" spans="12:17" x14ac:dyDescent="0.25">
      <c r="L522"/>
      <c r="Q522"/>
    </row>
    <row r="523" spans="12:17" x14ac:dyDescent="0.25">
      <c r="L523"/>
      <c r="Q523"/>
    </row>
    <row r="524" spans="12:17" x14ac:dyDescent="0.25">
      <c r="L524"/>
      <c r="Q524"/>
    </row>
    <row r="525" spans="12:17" x14ac:dyDescent="0.25">
      <c r="L525"/>
      <c r="Q525"/>
    </row>
    <row r="526" spans="12:17" x14ac:dyDescent="0.25">
      <c r="L526"/>
      <c r="Q526"/>
    </row>
    <row r="527" spans="12:17" x14ac:dyDescent="0.25">
      <c r="L527"/>
      <c r="Q527"/>
    </row>
    <row r="528" spans="12:17" x14ac:dyDescent="0.25">
      <c r="L528"/>
      <c r="Q528"/>
    </row>
    <row r="529" spans="12:17" x14ac:dyDescent="0.25">
      <c r="L529"/>
      <c r="Q529"/>
    </row>
    <row r="530" spans="12:17" x14ac:dyDescent="0.25">
      <c r="L530"/>
      <c r="Q530"/>
    </row>
    <row r="531" spans="12:17" x14ac:dyDescent="0.25">
      <c r="L531"/>
      <c r="Q531"/>
    </row>
    <row r="532" spans="12:17" x14ac:dyDescent="0.25">
      <c r="L532"/>
      <c r="Q532"/>
    </row>
    <row r="533" spans="12:17" x14ac:dyDescent="0.25">
      <c r="L533"/>
      <c r="Q533"/>
    </row>
    <row r="534" spans="12:17" x14ac:dyDescent="0.25">
      <c r="L534"/>
      <c r="Q534"/>
    </row>
    <row r="535" spans="12:17" x14ac:dyDescent="0.25">
      <c r="L535"/>
      <c r="Q535"/>
    </row>
    <row r="536" spans="12:17" x14ac:dyDescent="0.25">
      <c r="L536"/>
      <c r="Q536"/>
    </row>
    <row r="537" spans="12:17" x14ac:dyDescent="0.25">
      <c r="L537"/>
      <c r="Q537"/>
    </row>
    <row r="538" spans="12:17" x14ac:dyDescent="0.25">
      <c r="L538"/>
      <c r="Q538"/>
    </row>
    <row r="539" spans="12:17" x14ac:dyDescent="0.25">
      <c r="L539"/>
      <c r="Q539"/>
    </row>
    <row r="540" spans="12:17" x14ac:dyDescent="0.25">
      <c r="L540"/>
      <c r="Q540"/>
    </row>
    <row r="541" spans="12:17" x14ac:dyDescent="0.25">
      <c r="L541"/>
      <c r="Q541"/>
    </row>
    <row r="542" spans="12:17" x14ac:dyDescent="0.25">
      <c r="L542"/>
      <c r="Q542"/>
    </row>
    <row r="543" spans="12:17" x14ac:dyDescent="0.25">
      <c r="L543"/>
      <c r="Q543"/>
    </row>
    <row r="544" spans="12:17" x14ac:dyDescent="0.25">
      <c r="L544"/>
      <c r="Q544"/>
    </row>
    <row r="545" spans="12:17" x14ac:dyDescent="0.25">
      <c r="L545"/>
      <c r="Q545"/>
    </row>
    <row r="546" spans="12:17" x14ac:dyDescent="0.25">
      <c r="L546"/>
      <c r="Q546"/>
    </row>
    <row r="547" spans="12:17" x14ac:dyDescent="0.25">
      <c r="L547"/>
      <c r="Q547"/>
    </row>
    <row r="548" spans="12:17" x14ac:dyDescent="0.25">
      <c r="L548"/>
      <c r="Q548"/>
    </row>
    <row r="549" spans="12:17" x14ac:dyDescent="0.25">
      <c r="L549"/>
      <c r="Q549"/>
    </row>
    <row r="550" spans="12:17" x14ac:dyDescent="0.25">
      <c r="L550"/>
      <c r="Q550"/>
    </row>
    <row r="551" spans="12:17" x14ac:dyDescent="0.25">
      <c r="L551"/>
      <c r="Q551"/>
    </row>
    <row r="552" spans="12:17" x14ac:dyDescent="0.25">
      <c r="L552"/>
      <c r="Q552"/>
    </row>
    <row r="553" spans="12:17" x14ac:dyDescent="0.25">
      <c r="L553"/>
      <c r="Q553"/>
    </row>
    <row r="554" spans="12:17" x14ac:dyDescent="0.25">
      <c r="L554"/>
      <c r="Q554"/>
    </row>
    <row r="555" spans="12:17" x14ac:dyDescent="0.25">
      <c r="L555"/>
      <c r="Q555"/>
    </row>
    <row r="556" spans="12:17" x14ac:dyDescent="0.25">
      <c r="L556"/>
      <c r="Q556"/>
    </row>
    <row r="557" spans="12:17" x14ac:dyDescent="0.25">
      <c r="L557"/>
      <c r="Q557"/>
    </row>
    <row r="558" spans="12:17" x14ac:dyDescent="0.25">
      <c r="L558"/>
      <c r="Q558"/>
    </row>
    <row r="559" spans="12:17" x14ac:dyDescent="0.25">
      <c r="L559"/>
      <c r="Q559"/>
    </row>
    <row r="560" spans="12:17" x14ac:dyDescent="0.25">
      <c r="L560"/>
      <c r="Q560"/>
    </row>
    <row r="561" spans="12:17" x14ac:dyDescent="0.25">
      <c r="L561"/>
      <c r="Q561"/>
    </row>
    <row r="562" spans="12:17" x14ac:dyDescent="0.25">
      <c r="L562"/>
      <c r="Q562"/>
    </row>
    <row r="563" spans="12:17" x14ac:dyDescent="0.25">
      <c r="L563"/>
      <c r="Q563"/>
    </row>
    <row r="564" spans="12:17" x14ac:dyDescent="0.25">
      <c r="L564"/>
      <c r="Q564"/>
    </row>
    <row r="565" spans="12:17" x14ac:dyDescent="0.25">
      <c r="L565"/>
      <c r="Q565"/>
    </row>
    <row r="566" spans="12:17" x14ac:dyDescent="0.25">
      <c r="L566"/>
      <c r="Q566"/>
    </row>
    <row r="567" spans="12:17" x14ac:dyDescent="0.25">
      <c r="L567"/>
      <c r="Q567"/>
    </row>
    <row r="568" spans="12:17" x14ac:dyDescent="0.25">
      <c r="L568"/>
      <c r="Q568"/>
    </row>
    <row r="569" spans="12:17" x14ac:dyDescent="0.25">
      <c r="L569"/>
      <c r="Q569"/>
    </row>
    <row r="570" spans="12:17" x14ac:dyDescent="0.25">
      <c r="L570"/>
      <c r="Q570"/>
    </row>
    <row r="571" spans="12:17" x14ac:dyDescent="0.25">
      <c r="L571"/>
      <c r="Q571"/>
    </row>
    <row r="572" spans="12:17" x14ac:dyDescent="0.25">
      <c r="L572"/>
      <c r="Q572"/>
    </row>
    <row r="573" spans="12:17" x14ac:dyDescent="0.25">
      <c r="L573"/>
      <c r="Q573"/>
    </row>
    <row r="574" spans="12:17" x14ac:dyDescent="0.25">
      <c r="L574"/>
      <c r="Q574"/>
    </row>
    <row r="575" spans="12:17" x14ac:dyDescent="0.25">
      <c r="L575"/>
      <c r="Q575"/>
    </row>
    <row r="576" spans="12:17" x14ac:dyDescent="0.25">
      <c r="L576"/>
      <c r="Q576"/>
    </row>
    <row r="577" spans="12:17" x14ac:dyDescent="0.25">
      <c r="L577"/>
      <c r="Q577"/>
    </row>
    <row r="578" spans="12:17" x14ac:dyDescent="0.25">
      <c r="L578"/>
      <c r="Q578"/>
    </row>
    <row r="579" spans="12:17" x14ac:dyDescent="0.25">
      <c r="L579"/>
      <c r="Q579"/>
    </row>
    <row r="580" spans="12:17" x14ac:dyDescent="0.25">
      <c r="L580"/>
      <c r="Q580"/>
    </row>
    <row r="581" spans="12:17" x14ac:dyDescent="0.25">
      <c r="L581"/>
      <c r="Q581"/>
    </row>
    <row r="582" spans="12:17" x14ac:dyDescent="0.25">
      <c r="L582"/>
      <c r="Q582"/>
    </row>
    <row r="583" spans="12:17" x14ac:dyDescent="0.25">
      <c r="L583"/>
      <c r="Q583"/>
    </row>
    <row r="584" spans="12:17" x14ac:dyDescent="0.25">
      <c r="L584"/>
      <c r="Q584"/>
    </row>
    <row r="585" spans="12:17" x14ac:dyDescent="0.25">
      <c r="L585"/>
      <c r="Q585"/>
    </row>
    <row r="586" spans="12:17" x14ac:dyDescent="0.25">
      <c r="L586"/>
      <c r="Q586"/>
    </row>
    <row r="587" spans="12:17" x14ac:dyDescent="0.25">
      <c r="L587"/>
      <c r="Q587"/>
    </row>
    <row r="588" spans="12:17" x14ac:dyDescent="0.25">
      <c r="L588"/>
      <c r="Q588"/>
    </row>
    <row r="589" spans="12:17" x14ac:dyDescent="0.25">
      <c r="L589"/>
      <c r="Q589"/>
    </row>
    <row r="590" spans="12:17" x14ac:dyDescent="0.25">
      <c r="L590"/>
      <c r="Q590"/>
    </row>
    <row r="591" spans="12:17" x14ac:dyDescent="0.25">
      <c r="L591"/>
      <c r="Q591"/>
    </row>
    <row r="592" spans="12:17" x14ac:dyDescent="0.25">
      <c r="L592"/>
      <c r="Q592"/>
    </row>
    <row r="593" spans="12:17" x14ac:dyDescent="0.25">
      <c r="L593"/>
      <c r="Q593"/>
    </row>
    <row r="594" spans="12:17" x14ac:dyDescent="0.25">
      <c r="L594"/>
      <c r="Q594"/>
    </row>
    <row r="595" spans="12:17" x14ac:dyDescent="0.25">
      <c r="L595"/>
      <c r="Q595"/>
    </row>
    <row r="596" spans="12:17" x14ac:dyDescent="0.25">
      <c r="L596"/>
      <c r="Q596"/>
    </row>
    <row r="597" spans="12:17" x14ac:dyDescent="0.25">
      <c r="L597"/>
      <c r="Q597"/>
    </row>
    <row r="598" spans="12:17" x14ac:dyDescent="0.25">
      <c r="L598"/>
      <c r="Q598"/>
    </row>
    <row r="599" spans="12:17" x14ac:dyDescent="0.25">
      <c r="L599"/>
      <c r="Q599"/>
    </row>
    <row r="600" spans="12:17" x14ac:dyDescent="0.25">
      <c r="L600"/>
      <c r="Q600"/>
    </row>
    <row r="601" spans="12:17" x14ac:dyDescent="0.25">
      <c r="L601"/>
      <c r="Q601"/>
    </row>
    <row r="602" spans="12:17" x14ac:dyDescent="0.25">
      <c r="L602"/>
      <c r="Q602"/>
    </row>
    <row r="603" spans="12:17" x14ac:dyDescent="0.25">
      <c r="L603"/>
      <c r="Q603"/>
    </row>
    <row r="604" spans="12:17" x14ac:dyDescent="0.25">
      <c r="L604"/>
      <c r="Q604"/>
    </row>
    <row r="605" spans="12:17" x14ac:dyDescent="0.25">
      <c r="L605"/>
      <c r="Q605"/>
    </row>
    <row r="606" spans="12:17" x14ac:dyDescent="0.25">
      <c r="L606"/>
      <c r="Q606"/>
    </row>
    <row r="607" spans="12:17" x14ac:dyDescent="0.25">
      <c r="L607"/>
      <c r="Q607"/>
    </row>
    <row r="608" spans="12:17" x14ac:dyDescent="0.25">
      <c r="L608"/>
      <c r="Q608"/>
    </row>
    <row r="609" spans="12:17" x14ac:dyDescent="0.25">
      <c r="L609"/>
      <c r="Q609"/>
    </row>
    <row r="610" spans="12:17" x14ac:dyDescent="0.25">
      <c r="L610"/>
      <c r="Q610"/>
    </row>
    <row r="611" spans="12:17" x14ac:dyDescent="0.25">
      <c r="L611"/>
      <c r="Q611"/>
    </row>
    <row r="612" spans="12:17" x14ac:dyDescent="0.25">
      <c r="L612"/>
      <c r="Q612"/>
    </row>
    <row r="613" spans="12:17" x14ac:dyDescent="0.25">
      <c r="L613"/>
      <c r="Q613"/>
    </row>
    <row r="614" spans="12:17" x14ac:dyDescent="0.25">
      <c r="L614"/>
      <c r="Q614"/>
    </row>
    <row r="615" spans="12:17" x14ac:dyDescent="0.25">
      <c r="L615"/>
      <c r="Q615"/>
    </row>
    <row r="616" spans="12:17" x14ac:dyDescent="0.25">
      <c r="L616"/>
      <c r="Q616"/>
    </row>
    <row r="617" spans="12:17" x14ac:dyDescent="0.25">
      <c r="L617"/>
      <c r="Q617"/>
    </row>
    <row r="618" spans="12:17" x14ac:dyDescent="0.25">
      <c r="L618"/>
      <c r="Q618"/>
    </row>
    <row r="619" spans="12:17" x14ac:dyDescent="0.25">
      <c r="L619"/>
      <c r="Q619"/>
    </row>
    <row r="620" spans="12:17" x14ac:dyDescent="0.25">
      <c r="L620"/>
      <c r="Q620"/>
    </row>
    <row r="621" spans="12:17" x14ac:dyDescent="0.25">
      <c r="L621"/>
      <c r="Q621"/>
    </row>
    <row r="622" spans="12:17" x14ac:dyDescent="0.25">
      <c r="L622"/>
      <c r="Q622"/>
    </row>
    <row r="623" spans="12:17" x14ac:dyDescent="0.25">
      <c r="L623"/>
      <c r="Q623"/>
    </row>
    <row r="624" spans="12:17" x14ac:dyDescent="0.25">
      <c r="L624"/>
      <c r="Q624"/>
    </row>
    <row r="625" spans="12:17" x14ac:dyDescent="0.25">
      <c r="L625"/>
      <c r="Q625"/>
    </row>
    <row r="626" spans="12:17" x14ac:dyDescent="0.25">
      <c r="L626"/>
      <c r="Q626"/>
    </row>
    <row r="627" spans="12:17" x14ac:dyDescent="0.25">
      <c r="L627"/>
      <c r="Q627"/>
    </row>
    <row r="628" spans="12:17" x14ac:dyDescent="0.25">
      <c r="L628"/>
      <c r="Q628"/>
    </row>
    <row r="629" spans="12:17" x14ac:dyDescent="0.25">
      <c r="L629"/>
      <c r="Q629"/>
    </row>
    <row r="630" spans="12:17" x14ac:dyDescent="0.25">
      <c r="L630"/>
      <c r="Q630"/>
    </row>
    <row r="631" spans="12:17" x14ac:dyDescent="0.25">
      <c r="L631"/>
      <c r="Q631"/>
    </row>
    <row r="632" spans="12:17" x14ac:dyDescent="0.25">
      <c r="L632"/>
      <c r="Q632"/>
    </row>
    <row r="633" spans="12:17" x14ac:dyDescent="0.25">
      <c r="L633"/>
      <c r="Q633"/>
    </row>
    <row r="634" spans="12:17" x14ac:dyDescent="0.25">
      <c r="L634"/>
      <c r="Q634"/>
    </row>
    <row r="635" spans="12:17" x14ac:dyDescent="0.25">
      <c r="L635"/>
      <c r="Q635"/>
    </row>
    <row r="636" spans="12:17" x14ac:dyDescent="0.25">
      <c r="L636"/>
      <c r="Q636"/>
    </row>
    <row r="637" spans="12:17" x14ac:dyDescent="0.25">
      <c r="L637"/>
      <c r="Q637"/>
    </row>
    <row r="638" spans="12:17" x14ac:dyDescent="0.25">
      <c r="L638"/>
      <c r="Q638"/>
    </row>
    <row r="639" spans="12:17" x14ac:dyDescent="0.25">
      <c r="L639"/>
      <c r="Q639"/>
    </row>
    <row r="640" spans="12:17" x14ac:dyDescent="0.25">
      <c r="L640"/>
      <c r="Q640"/>
    </row>
    <row r="641" spans="12:17" x14ac:dyDescent="0.25">
      <c r="L641"/>
      <c r="Q641"/>
    </row>
    <row r="642" spans="12:17" x14ac:dyDescent="0.25">
      <c r="L642"/>
      <c r="Q642"/>
    </row>
    <row r="643" spans="12:17" x14ac:dyDescent="0.25">
      <c r="L643"/>
      <c r="Q643"/>
    </row>
    <row r="644" spans="12:17" x14ac:dyDescent="0.25">
      <c r="L644"/>
      <c r="Q644"/>
    </row>
    <row r="645" spans="12:17" x14ac:dyDescent="0.25">
      <c r="L645"/>
      <c r="Q645"/>
    </row>
    <row r="646" spans="12:17" x14ac:dyDescent="0.25">
      <c r="L646"/>
      <c r="Q646"/>
    </row>
    <row r="647" spans="12:17" x14ac:dyDescent="0.25">
      <c r="L647"/>
      <c r="Q647"/>
    </row>
    <row r="648" spans="12:17" x14ac:dyDescent="0.25">
      <c r="L648"/>
      <c r="Q648"/>
    </row>
    <row r="649" spans="12:17" x14ac:dyDescent="0.25">
      <c r="L649"/>
      <c r="Q649"/>
    </row>
    <row r="650" spans="12:17" x14ac:dyDescent="0.25">
      <c r="L650"/>
      <c r="Q650"/>
    </row>
    <row r="651" spans="12:17" x14ac:dyDescent="0.25">
      <c r="L651"/>
      <c r="Q651"/>
    </row>
    <row r="652" spans="12:17" x14ac:dyDescent="0.25">
      <c r="L652"/>
      <c r="Q652"/>
    </row>
    <row r="653" spans="12:17" x14ac:dyDescent="0.25">
      <c r="L653"/>
      <c r="Q653"/>
    </row>
    <row r="654" spans="12:17" x14ac:dyDescent="0.25">
      <c r="L654"/>
      <c r="Q654"/>
    </row>
    <row r="655" spans="12:17" x14ac:dyDescent="0.25">
      <c r="L655"/>
      <c r="Q655"/>
    </row>
    <row r="656" spans="12:17" x14ac:dyDescent="0.25">
      <c r="L656"/>
      <c r="Q656"/>
    </row>
    <row r="657" spans="12:17" x14ac:dyDescent="0.25">
      <c r="L657"/>
      <c r="Q657"/>
    </row>
    <row r="658" spans="12:17" x14ac:dyDescent="0.25">
      <c r="L658"/>
      <c r="Q658"/>
    </row>
    <row r="659" spans="12:17" x14ac:dyDescent="0.25">
      <c r="L659"/>
      <c r="Q659"/>
    </row>
    <row r="660" spans="12:17" x14ac:dyDescent="0.25">
      <c r="L660"/>
      <c r="Q660"/>
    </row>
    <row r="661" spans="12:17" x14ac:dyDescent="0.25">
      <c r="L661"/>
      <c r="Q661"/>
    </row>
    <row r="662" spans="12:17" x14ac:dyDescent="0.25">
      <c r="L662"/>
      <c r="Q662"/>
    </row>
    <row r="663" spans="12:17" x14ac:dyDescent="0.25">
      <c r="L663"/>
      <c r="Q663"/>
    </row>
    <row r="664" spans="12:17" x14ac:dyDescent="0.25">
      <c r="L664"/>
      <c r="Q664"/>
    </row>
    <row r="665" spans="12:17" x14ac:dyDescent="0.25">
      <c r="L665"/>
      <c r="Q665"/>
    </row>
    <row r="666" spans="12:17" x14ac:dyDescent="0.25">
      <c r="L666"/>
      <c r="Q666"/>
    </row>
    <row r="667" spans="12:17" x14ac:dyDescent="0.25">
      <c r="L667"/>
      <c r="Q667"/>
    </row>
    <row r="668" spans="12:17" x14ac:dyDescent="0.25">
      <c r="L668"/>
      <c r="Q668"/>
    </row>
    <row r="669" spans="12:17" x14ac:dyDescent="0.25">
      <c r="L669"/>
      <c r="Q669"/>
    </row>
    <row r="670" spans="12:17" x14ac:dyDescent="0.25">
      <c r="L670"/>
      <c r="Q670"/>
    </row>
    <row r="671" spans="12:17" x14ac:dyDescent="0.25">
      <c r="L671"/>
      <c r="Q671"/>
    </row>
    <row r="672" spans="12:17" x14ac:dyDescent="0.25">
      <c r="L672"/>
      <c r="Q672"/>
    </row>
    <row r="673" spans="12:17" x14ac:dyDescent="0.25">
      <c r="L673"/>
      <c r="Q673"/>
    </row>
    <row r="674" spans="12:17" x14ac:dyDescent="0.25">
      <c r="L674"/>
      <c r="Q674"/>
    </row>
    <row r="675" spans="12:17" x14ac:dyDescent="0.25">
      <c r="L675"/>
      <c r="Q675"/>
    </row>
    <row r="676" spans="12:17" x14ac:dyDescent="0.25">
      <c r="L676"/>
      <c r="Q676"/>
    </row>
    <row r="677" spans="12:17" x14ac:dyDescent="0.25">
      <c r="L677"/>
      <c r="Q677"/>
    </row>
    <row r="678" spans="12:17" x14ac:dyDescent="0.25">
      <c r="L678"/>
      <c r="Q678"/>
    </row>
    <row r="679" spans="12:17" x14ac:dyDescent="0.25">
      <c r="L679"/>
      <c r="Q679"/>
    </row>
    <row r="680" spans="12:17" x14ac:dyDescent="0.25">
      <c r="L680"/>
      <c r="Q680"/>
    </row>
    <row r="681" spans="12:17" x14ac:dyDescent="0.25">
      <c r="L681"/>
      <c r="Q681"/>
    </row>
    <row r="682" spans="12:17" x14ac:dyDescent="0.25">
      <c r="L682"/>
      <c r="Q682"/>
    </row>
    <row r="683" spans="12:17" x14ac:dyDescent="0.25">
      <c r="L683"/>
      <c r="Q683"/>
    </row>
    <row r="684" spans="12:17" x14ac:dyDescent="0.25">
      <c r="L684"/>
      <c r="Q684"/>
    </row>
    <row r="685" spans="12:17" x14ac:dyDescent="0.25">
      <c r="L685"/>
      <c r="Q685"/>
    </row>
    <row r="686" spans="12:17" x14ac:dyDescent="0.25">
      <c r="L686"/>
      <c r="Q686"/>
    </row>
    <row r="687" spans="12:17" x14ac:dyDescent="0.25">
      <c r="L687"/>
      <c r="Q687"/>
    </row>
    <row r="688" spans="12:17" x14ac:dyDescent="0.25">
      <c r="L688"/>
      <c r="Q688"/>
    </row>
    <row r="689" spans="12:17" x14ac:dyDescent="0.25">
      <c r="L689"/>
      <c r="Q689"/>
    </row>
    <row r="690" spans="12:17" x14ac:dyDescent="0.25">
      <c r="L690"/>
      <c r="Q690"/>
    </row>
    <row r="691" spans="12:17" x14ac:dyDescent="0.25">
      <c r="L691"/>
      <c r="Q691"/>
    </row>
    <row r="692" spans="12:17" x14ac:dyDescent="0.25">
      <c r="L692"/>
      <c r="Q692"/>
    </row>
    <row r="693" spans="12:17" x14ac:dyDescent="0.25">
      <c r="L693"/>
      <c r="Q693"/>
    </row>
    <row r="694" spans="12:17" x14ac:dyDescent="0.25">
      <c r="L694"/>
      <c r="Q694"/>
    </row>
    <row r="695" spans="12:17" x14ac:dyDescent="0.25">
      <c r="L695"/>
      <c r="Q695"/>
    </row>
    <row r="696" spans="12:17" x14ac:dyDescent="0.25">
      <c r="L696"/>
      <c r="Q696"/>
    </row>
    <row r="697" spans="12:17" x14ac:dyDescent="0.25">
      <c r="L697"/>
      <c r="Q697"/>
    </row>
    <row r="698" spans="12:17" x14ac:dyDescent="0.25">
      <c r="L698"/>
      <c r="Q698"/>
    </row>
    <row r="699" spans="12:17" x14ac:dyDescent="0.25">
      <c r="L699"/>
      <c r="Q699"/>
    </row>
    <row r="700" spans="12:17" x14ac:dyDescent="0.25">
      <c r="L700"/>
      <c r="Q700"/>
    </row>
    <row r="701" spans="12:17" x14ac:dyDescent="0.25">
      <c r="L701"/>
      <c r="Q701"/>
    </row>
    <row r="702" spans="12:17" x14ac:dyDescent="0.25">
      <c r="L702"/>
      <c r="Q702"/>
    </row>
    <row r="703" spans="12:17" x14ac:dyDescent="0.25">
      <c r="L703"/>
      <c r="Q703"/>
    </row>
    <row r="704" spans="12:17" x14ac:dyDescent="0.25">
      <c r="L704"/>
      <c r="Q704"/>
    </row>
    <row r="705" spans="12:17" x14ac:dyDescent="0.25">
      <c r="L705"/>
      <c r="Q705"/>
    </row>
    <row r="706" spans="12:17" x14ac:dyDescent="0.25">
      <c r="L706"/>
      <c r="Q706"/>
    </row>
    <row r="707" spans="12:17" x14ac:dyDescent="0.25">
      <c r="L707"/>
      <c r="Q707"/>
    </row>
    <row r="708" spans="12:17" x14ac:dyDescent="0.25">
      <c r="L708"/>
      <c r="Q708"/>
    </row>
    <row r="709" spans="12:17" x14ac:dyDescent="0.25">
      <c r="L709"/>
      <c r="Q709"/>
    </row>
    <row r="710" spans="12:17" x14ac:dyDescent="0.25">
      <c r="L710"/>
      <c r="Q710"/>
    </row>
    <row r="711" spans="12:17" x14ac:dyDescent="0.25">
      <c r="L711"/>
      <c r="Q711"/>
    </row>
    <row r="712" spans="12:17" x14ac:dyDescent="0.25">
      <c r="L712"/>
      <c r="Q712"/>
    </row>
    <row r="713" spans="12:17" x14ac:dyDescent="0.25">
      <c r="L713"/>
      <c r="Q713"/>
    </row>
    <row r="714" spans="12:17" x14ac:dyDescent="0.25">
      <c r="L714"/>
      <c r="Q714"/>
    </row>
    <row r="715" spans="12:17" x14ac:dyDescent="0.25">
      <c r="L715"/>
      <c r="Q715"/>
    </row>
    <row r="716" spans="12:17" x14ac:dyDescent="0.25">
      <c r="L716"/>
      <c r="Q716"/>
    </row>
    <row r="717" spans="12:17" x14ac:dyDescent="0.25">
      <c r="L717"/>
      <c r="Q717"/>
    </row>
    <row r="718" spans="12:17" x14ac:dyDescent="0.25">
      <c r="L718"/>
      <c r="Q718"/>
    </row>
    <row r="719" spans="12:17" x14ac:dyDescent="0.25">
      <c r="L719"/>
      <c r="Q719"/>
    </row>
    <row r="720" spans="12:17" x14ac:dyDescent="0.25">
      <c r="L720"/>
      <c r="Q720"/>
    </row>
    <row r="721" spans="12:17" x14ac:dyDescent="0.25">
      <c r="L721"/>
      <c r="Q721"/>
    </row>
    <row r="722" spans="12:17" x14ac:dyDescent="0.25">
      <c r="L722"/>
      <c r="Q722"/>
    </row>
    <row r="723" spans="12:17" x14ac:dyDescent="0.25">
      <c r="L723"/>
      <c r="Q723"/>
    </row>
    <row r="724" spans="12:17" x14ac:dyDescent="0.25">
      <c r="L724"/>
      <c r="Q724"/>
    </row>
    <row r="725" spans="12:17" x14ac:dyDescent="0.25">
      <c r="L725"/>
      <c r="Q725"/>
    </row>
    <row r="726" spans="12:17" x14ac:dyDescent="0.25">
      <c r="L726"/>
      <c r="Q726"/>
    </row>
    <row r="727" spans="12:17" x14ac:dyDescent="0.25">
      <c r="L727"/>
      <c r="Q727"/>
    </row>
    <row r="728" spans="12:17" x14ac:dyDescent="0.25">
      <c r="L728"/>
      <c r="Q728"/>
    </row>
    <row r="729" spans="12:17" x14ac:dyDescent="0.25">
      <c r="L729"/>
      <c r="Q729"/>
    </row>
    <row r="730" spans="12:17" x14ac:dyDescent="0.25">
      <c r="L730"/>
      <c r="Q730"/>
    </row>
    <row r="731" spans="12:17" x14ac:dyDescent="0.25">
      <c r="L731"/>
      <c r="Q731"/>
    </row>
    <row r="732" spans="12:17" x14ac:dyDescent="0.25">
      <c r="L732"/>
      <c r="Q732"/>
    </row>
    <row r="733" spans="12:17" x14ac:dyDescent="0.25">
      <c r="L733"/>
      <c r="Q733"/>
    </row>
    <row r="734" spans="12:17" x14ac:dyDescent="0.25">
      <c r="L734"/>
      <c r="Q734"/>
    </row>
    <row r="735" spans="12:17" x14ac:dyDescent="0.25">
      <c r="L735"/>
      <c r="Q735"/>
    </row>
    <row r="736" spans="12:17" x14ac:dyDescent="0.25">
      <c r="L736"/>
      <c r="Q736"/>
    </row>
    <row r="737" spans="12:17" x14ac:dyDescent="0.25">
      <c r="L737"/>
      <c r="Q737"/>
    </row>
    <row r="738" spans="12:17" x14ac:dyDescent="0.25">
      <c r="L738"/>
      <c r="Q738"/>
    </row>
    <row r="739" spans="12:17" x14ac:dyDescent="0.25">
      <c r="L739"/>
      <c r="Q739"/>
    </row>
    <row r="740" spans="12:17" x14ac:dyDescent="0.25">
      <c r="L740"/>
      <c r="Q740"/>
    </row>
    <row r="741" spans="12:17" x14ac:dyDescent="0.25">
      <c r="L741"/>
      <c r="Q741"/>
    </row>
    <row r="742" spans="12:17" x14ac:dyDescent="0.25">
      <c r="L742"/>
      <c r="Q742"/>
    </row>
    <row r="743" spans="12:17" x14ac:dyDescent="0.25">
      <c r="L743"/>
      <c r="Q743"/>
    </row>
    <row r="744" spans="12:17" x14ac:dyDescent="0.25">
      <c r="L744"/>
      <c r="Q744"/>
    </row>
    <row r="745" spans="12:17" x14ac:dyDescent="0.25">
      <c r="L745"/>
      <c r="Q745"/>
    </row>
    <row r="746" spans="12:17" x14ac:dyDescent="0.25">
      <c r="L746"/>
      <c r="Q746"/>
    </row>
    <row r="747" spans="12:17" x14ac:dyDescent="0.25">
      <c r="L747"/>
      <c r="Q747"/>
    </row>
    <row r="748" spans="12:17" x14ac:dyDescent="0.25">
      <c r="L748"/>
      <c r="Q748"/>
    </row>
    <row r="749" spans="12:17" x14ac:dyDescent="0.25">
      <c r="L749"/>
      <c r="Q749"/>
    </row>
    <row r="750" spans="12:17" x14ac:dyDescent="0.25">
      <c r="L750"/>
      <c r="Q750"/>
    </row>
    <row r="751" spans="12:17" x14ac:dyDescent="0.25">
      <c r="L751"/>
      <c r="Q751"/>
    </row>
    <row r="752" spans="12:17" x14ac:dyDescent="0.25">
      <c r="L752"/>
      <c r="Q752"/>
    </row>
    <row r="753" spans="12:17" x14ac:dyDescent="0.25">
      <c r="L753"/>
      <c r="Q753"/>
    </row>
    <row r="754" spans="12:17" x14ac:dyDescent="0.25">
      <c r="L754"/>
      <c r="Q754"/>
    </row>
    <row r="755" spans="12:17" x14ac:dyDescent="0.25">
      <c r="L755"/>
      <c r="Q755"/>
    </row>
    <row r="756" spans="12:17" x14ac:dyDescent="0.25">
      <c r="L756"/>
      <c r="Q756"/>
    </row>
    <row r="757" spans="12:17" x14ac:dyDescent="0.25">
      <c r="L757"/>
      <c r="Q757"/>
    </row>
    <row r="758" spans="12:17" x14ac:dyDescent="0.25">
      <c r="L758"/>
      <c r="Q758"/>
    </row>
    <row r="759" spans="12:17" x14ac:dyDescent="0.25">
      <c r="L759"/>
      <c r="Q759"/>
    </row>
    <row r="760" spans="12:17" x14ac:dyDescent="0.25">
      <c r="L760"/>
      <c r="Q760"/>
    </row>
    <row r="761" spans="12:17" x14ac:dyDescent="0.25">
      <c r="L761"/>
      <c r="Q761"/>
    </row>
    <row r="762" spans="12:17" x14ac:dyDescent="0.25">
      <c r="L762"/>
      <c r="Q762"/>
    </row>
    <row r="763" spans="12:17" x14ac:dyDescent="0.25">
      <c r="L763"/>
      <c r="Q763"/>
    </row>
    <row r="764" spans="12:17" x14ac:dyDescent="0.25">
      <c r="L764"/>
      <c r="Q764"/>
    </row>
    <row r="765" spans="12:17" x14ac:dyDescent="0.25">
      <c r="L765"/>
      <c r="Q765"/>
    </row>
    <row r="766" spans="12:17" x14ac:dyDescent="0.25">
      <c r="L766"/>
      <c r="Q766"/>
    </row>
    <row r="767" spans="12:17" x14ac:dyDescent="0.25">
      <c r="L767"/>
      <c r="Q767"/>
    </row>
    <row r="768" spans="12:17" x14ac:dyDescent="0.25">
      <c r="L768"/>
      <c r="Q768"/>
    </row>
    <row r="769" spans="12:17" x14ac:dyDescent="0.25">
      <c r="L769"/>
      <c r="Q769"/>
    </row>
    <row r="770" spans="12:17" x14ac:dyDescent="0.25">
      <c r="L770"/>
      <c r="Q770"/>
    </row>
    <row r="771" spans="12:17" x14ac:dyDescent="0.25">
      <c r="L771"/>
      <c r="Q771"/>
    </row>
    <row r="772" spans="12:17" x14ac:dyDescent="0.25">
      <c r="L772"/>
      <c r="Q772"/>
    </row>
    <row r="773" spans="12:17" x14ac:dyDescent="0.25">
      <c r="L773"/>
      <c r="Q773"/>
    </row>
    <row r="774" spans="12:17" x14ac:dyDescent="0.25">
      <c r="L774"/>
      <c r="Q774"/>
    </row>
    <row r="775" spans="12:17" x14ac:dyDescent="0.25">
      <c r="L775"/>
      <c r="Q775"/>
    </row>
    <row r="776" spans="12:17" x14ac:dyDescent="0.25">
      <c r="L776"/>
      <c r="Q776"/>
    </row>
    <row r="777" spans="12:17" x14ac:dyDescent="0.25">
      <c r="L777"/>
      <c r="Q777"/>
    </row>
    <row r="778" spans="12:17" x14ac:dyDescent="0.25">
      <c r="L778"/>
      <c r="Q778"/>
    </row>
    <row r="779" spans="12:17" x14ac:dyDescent="0.25">
      <c r="L779"/>
      <c r="Q779"/>
    </row>
    <row r="780" spans="12:17" x14ac:dyDescent="0.25">
      <c r="L780"/>
      <c r="Q780"/>
    </row>
    <row r="781" spans="12:17" x14ac:dyDescent="0.25">
      <c r="L781"/>
      <c r="Q781"/>
    </row>
    <row r="782" spans="12:17" x14ac:dyDescent="0.25">
      <c r="L782"/>
      <c r="Q782"/>
    </row>
    <row r="783" spans="12:17" x14ac:dyDescent="0.25">
      <c r="L783"/>
      <c r="Q783"/>
    </row>
    <row r="784" spans="12:17" x14ac:dyDescent="0.25">
      <c r="L784"/>
      <c r="Q784"/>
    </row>
    <row r="785" spans="12:17" x14ac:dyDescent="0.25">
      <c r="L785"/>
      <c r="Q785"/>
    </row>
    <row r="786" spans="12:17" x14ac:dyDescent="0.25">
      <c r="L786"/>
      <c r="Q786"/>
    </row>
    <row r="787" spans="12:17" x14ac:dyDescent="0.25">
      <c r="L787"/>
      <c r="Q787"/>
    </row>
    <row r="788" spans="12:17" x14ac:dyDescent="0.25">
      <c r="L788"/>
      <c r="Q788"/>
    </row>
    <row r="789" spans="12:17" x14ac:dyDescent="0.25">
      <c r="L789"/>
      <c r="Q789"/>
    </row>
    <row r="790" spans="12:17" x14ac:dyDescent="0.25">
      <c r="L790"/>
      <c r="Q790"/>
    </row>
    <row r="791" spans="12:17" x14ac:dyDescent="0.25">
      <c r="L791"/>
      <c r="Q791"/>
    </row>
    <row r="792" spans="12:17" x14ac:dyDescent="0.25">
      <c r="L792"/>
      <c r="Q792"/>
    </row>
    <row r="793" spans="12:17" x14ac:dyDescent="0.25">
      <c r="L793"/>
      <c r="Q793"/>
    </row>
    <row r="794" spans="12:17" x14ac:dyDescent="0.25">
      <c r="L794"/>
      <c r="Q794"/>
    </row>
    <row r="795" spans="12:17" x14ac:dyDescent="0.25">
      <c r="L795"/>
      <c r="Q795"/>
    </row>
    <row r="796" spans="12:17" x14ac:dyDescent="0.25">
      <c r="L796"/>
      <c r="Q796"/>
    </row>
    <row r="797" spans="12:17" x14ac:dyDescent="0.25">
      <c r="L797"/>
      <c r="Q797"/>
    </row>
    <row r="798" spans="12:17" x14ac:dyDescent="0.25">
      <c r="L798"/>
      <c r="Q798"/>
    </row>
    <row r="799" spans="12:17" x14ac:dyDescent="0.25">
      <c r="L799"/>
      <c r="Q799"/>
    </row>
    <row r="800" spans="12:17" x14ac:dyDescent="0.25">
      <c r="L800"/>
      <c r="Q800"/>
    </row>
    <row r="801" spans="12:17" x14ac:dyDescent="0.25">
      <c r="L801"/>
      <c r="Q801"/>
    </row>
    <row r="802" spans="12:17" x14ac:dyDescent="0.25">
      <c r="L802"/>
      <c r="Q802"/>
    </row>
    <row r="803" spans="12:17" x14ac:dyDescent="0.25">
      <c r="L803"/>
      <c r="Q803"/>
    </row>
    <row r="804" spans="12:17" x14ac:dyDescent="0.25">
      <c r="L804"/>
      <c r="Q804"/>
    </row>
    <row r="805" spans="12:17" x14ac:dyDescent="0.25">
      <c r="L805"/>
      <c r="Q805"/>
    </row>
    <row r="806" spans="12:17" x14ac:dyDescent="0.25">
      <c r="L806"/>
      <c r="Q806"/>
    </row>
    <row r="807" spans="12:17" x14ac:dyDescent="0.25">
      <c r="L807"/>
      <c r="Q807"/>
    </row>
    <row r="808" spans="12:17" x14ac:dyDescent="0.25">
      <c r="L808"/>
      <c r="Q808"/>
    </row>
    <row r="809" spans="12:17" x14ac:dyDescent="0.25">
      <c r="L809"/>
      <c r="Q809"/>
    </row>
    <row r="810" spans="12:17" x14ac:dyDescent="0.25">
      <c r="L810"/>
      <c r="Q810"/>
    </row>
    <row r="811" spans="12:17" x14ac:dyDescent="0.25">
      <c r="L811"/>
      <c r="Q811"/>
    </row>
    <row r="812" spans="12:17" x14ac:dyDescent="0.25">
      <c r="L812"/>
      <c r="Q812"/>
    </row>
    <row r="813" spans="12:17" x14ac:dyDescent="0.25">
      <c r="L813"/>
      <c r="Q813"/>
    </row>
    <row r="814" spans="12:17" x14ac:dyDescent="0.25">
      <c r="L814"/>
      <c r="Q814"/>
    </row>
    <row r="815" spans="12:17" x14ac:dyDescent="0.25">
      <c r="L815"/>
      <c r="Q815"/>
    </row>
    <row r="816" spans="12:17" x14ac:dyDescent="0.25">
      <c r="L816"/>
      <c r="Q816"/>
    </row>
    <row r="817" spans="12:17" x14ac:dyDescent="0.25">
      <c r="L817"/>
      <c r="Q817"/>
    </row>
    <row r="818" spans="12:17" x14ac:dyDescent="0.25">
      <c r="L818"/>
      <c r="Q818"/>
    </row>
    <row r="819" spans="12:17" x14ac:dyDescent="0.25">
      <c r="L819"/>
      <c r="Q819"/>
    </row>
    <row r="820" spans="12:17" x14ac:dyDescent="0.25">
      <c r="L820"/>
      <c r="Q820"/>
    </row>
    <row r="821" spans="12:17" x14ac:dyDescent="0.25">
      <c r="L821"/>
      <c r="Q821"/>
    </row>
    <row r="822" spans="12:17" x14ac:dyDescent="0.25">
      <c r="L822"/>
      <c r="Q822"/>
    </row>
    <row r="823" spans="12:17" x14ac:dyDescent="0.25">
      <c r="L823"/>
      <c r="Q823"/>
    </row>
    <row r="824" spans="12:17" x14ac:dyDescent="0.25">
      <c r="L824"/>
      <c r="Q824"/>
    </row>
    <row r="825" spans="12:17" x14ac:dyDescent="0.25">
      <c r="L825"/>
      <c r="Q825"/>
    </row>
    <row r="826" spans="12:17" x14ac:dyDescent="0.25">
      <c r="L826"/>
      <c r="Q826"/>
    </row>
    <row r="827" spans="12:17" x14ac:dyDescent="0.25">
      <c r="L827"/>
      <c r="Q827"/>
    </row>
    <row r="828" spans="12:17" x14ac:dyDescent="0.25">
      <c r="L828"/>
      <c r="Q828"/>
    </row>
    <row r="829" spans="12:17" x14ac:dyDescent="0.25">
      <c r="L829"/>
      <c r="Q829"/>
    </row>
    <row r="830" spans="12:17" x14ac:dyDescent="0.25">
      <c r="L830"/>
      <c r="Q830"/>
    </row>
    <row r="831" spans="12:17" x14ac:dyDescent="0.25">
      <c r="L831"/>
      <c r="Q831"/>
    </row>
    <row r="832" spans="12:17" x14ac:dyDescent="0.25">
      <c r="L832"/>
      <c r="Q832"/>
    </row>
    <row r="833" spans="12:17" x14ac:dyDescent="0.25">
      <c r="L833"/>
      <c r="Q833"/>
    </row>
    <row r="834" spans="12:17" x14ac:dyDescent="0.25">
      <c r="L834"/>
      <c r="Q834"/>
    </row>
    <row r="835" spans="12:17" x14ac:dyDescent="0.25">
      <c r="L835"/>
      <c r="Q835"/>
    </row>
    <row r="836" spans="12:17" x14ac:dyDescent="0.25">
      <c r="L836"/>
      <c r="Q836"/>
    </row>
    <row r="837" spans="12:17" x14ac:dyDescent="0.25">
      <c r="L837"/>
      <c r="Q837"/>
    </row>
    <row r="838" spans="12:17" x14ac:dyDescent="0.25">
      <c r="L838"/>
      <c r="Q838"/>
    </row>
    <row r="839" spans="12:17" x14ac:dyDescent="0.25">
      <c r="L839"/>
      <c r="Q839"/>
    </row>
    <row r="840" spans="12:17" x14ac:dyDescent="0.25">
      <c r="L840"/>
      <c r="Q840"/>
    </row>
    <row r="841" spans="12:17" x14ac:dyDescent="0.25">
      <c r="L841"/>
      <c r="Q841"/>
    </row>
    <row r="842" spans="12:17" x14ac:dyDescent="0.25">
      <c r="L842"/>
      <c r="Q842"/>
    </row>
    <row r="843" spans="12:17" x14ac:dyDescent="0.25">
      <c r="L843"/>
      <c r="Q843"/>
    </row>
    <row r="844" spans="12:17" x14ac:dyDescent="0.25">
      <c r="L844"/>
      <c r="Q844"/>
    </row>
    <row r="845" spans="12:17" x14ac:dyDescent="0.25">
      <c r="L845"/>
      <c r="Q845"/>
    </row>
    <row r="846" spans="12:17" x14ac:dyDescent="0.25">
      <c r="L846"/>
      <c r="Q846"/>
    </row>
    <row r="847" spans="12:17" x14ac:dyDescent="0.25">
      <c r="L847"/>
      <c r="Q847"/>
    </row>
    <row r="848" spans="12:17" x14ac:dyDescent="0.25">
      <c r="L848"/>
      <c r="Q848"/>
    </row>
    <row r="849" spans="12:17" x14ac:dyDescent="0.25">
      <c r="L849"/>
      <c r="Q849"/>
    </row>
    <row r="850" spans="12:17" x14ac:dyDescent="0.25">
      <c r="L850"/>
      <c r="Q850"/>
    </row>
    <row r="851" spans="12:17" x14ac:dyDescent="0.25">
      <c r="L851"/>
      <c r="Q851"/>
    </row>
    <row r="852" spans="12:17" x14ac:dyDescent="0.25">
      <c r="L852"/>
      <c r="Q852"/>
    </row>
    <row r="853" spans="12:17" x14ac:dyDescent="0.25">
      <c r="L853"/>
      <c r="Q853"/>
    </row>
    <row r="854" spans="12:17" x14ac:dyDescent="0.25">
      <c r="L854"/>
      <c r="Q854"/>
    </row>
    <row r="855" spans="12:17" x14ac:dyDescent="0.25">
      <c r="L855"/>
      <c r="Q855"/>
    </row>
    <row r="856" spans="12:17" x14ac:dyDescent="0.25">
      <c r="L856"/>
      <c r="Q856"/>
    </row>
    <row r="857" spans="12:17" x14ac:dyDescent="0.25">
      <c r="L857"/>
      <c r="Q857"/>
    </row>
    <row r="858" spans="12:17" x14ac:dyDescent="0.25">
      <c r="L858"/>
      <c r="Q858"/>
    </row>
    <row r="859" spans="12:17" x14ac:dyDescent="0.25">
      <c r="L859"/>
      <c r="Q859"/>
    </row>
    <row r="860" spans="12:17" x14ac:dyDescent="0.25">
      <c r="L860"/>
      <c r="Q860"/>
    </row>
    <row r="861" spans="12:17" x14ac:dyDescent="0.25">
      <c r="L861"/>
      <c r="Q861"/>
    </row>
    <row r="862" spans="12:17" x14ac:dyDescent="0.25">
      <c r="L862"/>
      <c r="Q862"/>
    </row>
    <row r="863" spans="12:17" x14ac:dyDescent="0.25">
      <c r="L863"/>
      <c r="Q863"/>
    </row>
    <row r="864" spans="12:17" x14ac:dyDescent="0.25">
      <c r="L864"/>
      <c r="Q864"/>
    </row>
    <row r="865" spans="12:17" x14ac:dyDescent="0.25">
      <c r="L865"/>
      <c r="Q865"/>
    </row>
    <row r="866" spans="12:17" x14ac:dyDescent="0.25">
      <c r="L866"/>
      <c r="Q866"/>
    </row>
    <row r="867" spans="12:17" x14ac:dyDescent="0.25">
      <c r="L867"/>
      <c r="Q867"/>
    </row>
    <row r="868" spans="12:17" x14ac:dyDescent="0.25">
      <c r="L868"/>
      <c r="Q868"/>
    </row>
    <row r="869" spans="12:17" x14ac:dyDescent="0.25">
      <c r="L869"/>
      <c r="Q869"/>
    </row>
    <row r="870" spans="12:17" x14ac:dyDescent="0.25">
      <c r="L870"/>
      <c r="Q870"/>
    </row>
    <row r="871" spans="12:17" x14ac:dyDescent="0.25">
      <c r="L871"/>
      <c r="Q871"/>
    </row>
    <row r="872" spans="12:17" x14ac:dyDescent="0.25">
      <c r="L872"/>
      <c r="Q872"/>
    </row>
    <row r="873" spans="12:17" x14ac:dyDescent="0.25">
      <c r="L873"/>
      <c r="Q873"/>
    </row>
    <row r="874" spans="12:17" x14ac:dyDescent="0.25">
      <c r="L874"/>
      <c r="Q874"/>
    </row>
    <row r="875" spans="12:17" x14ac:dyDescent="0.25">
      <c r="L875"/>
      <c r="Q875"/>
    </row>
    <row r="876" spans="12:17" x14ac:dyDescent="0.25">
      <c r="L876"/>
      <c r="Q876"/>
    </row>
    <row r="877" spans="12:17" x14ac:dyDescent="0.25">
      <c r="L877"/>
      <c r="Q877"/>
    </row>
    <row r="878" spans="12:17" x14ac:dyDescent="0.25">
      <c r="L878"/>
      <c r="Q878"/>
    </row>
    <row r="879" spans="12:17" x14ac:dyDescent="0.25">
      <c r="L879"/>
      <c r="Q879"/>
    </row>
    <row r="880" spans="12:17" x14ac:dyDescent="0.25">
      <c r="L880"/>
      <c r="Q880"/>
    </row>
    <row r="881" spans="12:17" x14ac:dyDescent="0.25">
      <c r="L881"/>
      <c r="Q881"/>
    </row>
    <row r="882" spans="12:17" x14ac:dyDescent="0.25">
      <c r="L882"/>
      <c r="Q882"/>
    </row>
    <row r="883" spans="12:17" x14ac:dyDescent="0.25">
      <c r="L883"/>
      <c r="Q883"/>
    </row>
    <row r="884" spans="12:17" x14ac:dyDescent="0.25">
      <c r="L884"/>
      <c r="Q884"/>
    </row>
    <row r="885" spans="12:17" x14ac:dyDescent="0.25">
      <c r="L885"/>
      <c r="Q885"/>
    </row>
    <row r="886" spans="12:17" x14ac:dyDescent="0.25">
      <c r="L886"/>
      <c r="Q886"/>
    </row>
    <row r="887" spans="12:17" x14ac:dyDescent="0.25">
      <c r="L887"/>
      <c r="Q887"/>
    </row>
    <row r="888" spans="12:17" x14ac:dyDescent="0.25">
      <c r="L888"/>
      <c r="Q888"/>
    </row>
    <row r="889" spans="12:17" x14ac:dyDescent="0.25">
      <c r="L889"/>
      <c r="Q889"/>
    </row>
    <row r="890" spans="12:17" x14ac:dyDescent="0.25">
      <c r="L890"/>
      <c r="Q890"/>
    </row>
    <row r="891" spans="12:17" x14ac:dyDescent="0.25">
      <c r="L891"/>
      <c r="Q891"/>
    </row>
    <row r="892" spans="12:17" x14ac:dyDescent="0.25">
      <c r="L892"/>
      <c r="Q892"/>
    </row>
    <row r="893" spans="12:17" x14ac:dyDescent="0.25">
      <c r="L893"/>
      <c r="Q893"/>
    </row>
    <row r="894" spans="12:17" x14ac:dyDescent="0.25">
      <c r="L894"/>
      <c r="Q894"/>
    </row>
    <row r="895" spans="12:17" x14ac:dyDescent="0.25">
      <c r="L895"/>
      <c r="Q895"/>
    </row>
    <row r="896" spans="12:17" x14ac:dyDescent="0.25">
      <c r="L896"/>
      <c r="Q896"/>
    </row>
    <row r="897" spans="12:17" x14ac:dyDescent="0.25">
      <c r="L897"/>
      <c r="Q897"/>
    </row>
    <row r="898" spans="12:17" x14ac:dyDescent="0.25">
      <c r="L898"/>
      <c r="Q898"/>
    </row>
    <row r="899" spans="12:17" x14ac:dyDescent="0.25">
      <c r="L899"/>
      <c r="Q899"/>
    </row>
    <row r="900" spans="12:17" x14ac:dyDescent="0.25">
      <c r="L900"/>
      <c r="Q900"/>
    </row>
    <row r="901" spans="12:17" x14ac:dyDescent="0.25">
      <c r="L901"/>
      <c r="Q901"/>
    </row>
    <row r="902" spans="12:17" x14ac:dyDescent="0.25">
      <c r="L902"/>
      <c r="Q902"/>
    </row>
    <row r="903" spans="12:17" x14ac:dyDescent="0.25">
      <c r="L903"/>
      <c r="Q903"/>
    </row>
    <row r="904" spans="12:17" x14ac:dyDescent="0.25">
      <c r="L904"/>
      <c r="Q904"/>
    </row>
    <row r="905" spans="12:17" x14ac:dyDescent="0.25">
      <c r="L905"/>
      <c r="Q905"/>
    </row>
    <row r="906" spans="12:17" x14ac:dyDescent="0.25">
      <c r="L906"/>
      <c r="Q906"/>
    </row>
    <row r="907" spans="12:17" x14ac:dyDescent="0.25">
      <c r="L907"/>
      <c r="Q907"/>
    </row>
    <row r="908" spans="12:17" x14ac:dyDescent="0.25">
      <c r="L908"/>
      <c r="Q908"/>
    </row>
    <row r="909" spans="12:17" x14ac:dyDescent="0.25">
      <c r="L909"/>
      <c r="Q909"/>
    </row>
    <row r="910" spans="12:17" x14ac:dyDescent="0.25">
      <c r="L910"/>
      <c r="Q910"/>
    </row>
    <row r="911" spans="12:17" x14ac:dyDescent="0.25">
      <c r="L911"/>
      <c r="Q911"/>
    </row>
    <row r="912" spans="12:17" x14ac:dyDescent="0.25">
      <c r="L912"/>
      <c r="Q912"/>
    </row>
    <row r="913" spans="12:17" x14ac:dyDescent="0.25">
      <c r="L913"/>
      <c r="Q913"/>
    </row>
    <row r="914" spans="12:17" x14ac:dyDescent="0.25">
      <c r="L914"/>
      <c r="Q914"/>
    </row>
    <row r="915" spans="12:17" x14ac:dyDescent="0.25">
      <c r="L915"/>
      <c r="Q915"/>
    </row>
    <row r="916" spans="12:17" x14ac:dyDescent="0.25">
      <c r="L916"/>
      <c r="Q916"/>
    </row>
    <row r="917" spans="12:17" x14ac:dyDescent="0.25">
      <c r="L917"/>
      <c r="Q917"/>
    </row>
    <row r="918" spans="12:17" x14ac:dyDescent="0.25">
      <c r="L918"/>
      <c r="Q918"/>
    </row>
    <row r="919" spans="12:17" x14ac:dyDescent="0.25">
      <c r="L919"/>
      <c r="Q919"/>
    </row>
    <row r="920" spans="12:17" x14ac:dyDescent="0.25">
      <c r="L920"/>
      <c r="Q920"/>
    </row>
    <row r="921" spans="12:17" x14ac:dyDescent="0.25">
      <c r="L921"/>
      <c r="Q921"/>
    </row>
    <row r="922" spans="12:17" x14ac:dyDescent="0.25">
      <c r="L922"/>
      <c r="Q922"/>
    </row>
    <row r="923" spans="12:17" x14ac:dyDescent="0.25">
      <c r="L923"/>
      <c r="Q923"/>
    </row>
    <row r="924" spans="12:17" x14ac:dyDescent="0.25">
      <c r="L924"/>
      <c r="Q924"/>
    </row>
    <row r="925" spans="12:17" x14ac:dyDescent="0.25">
      <c r="L925"/>
      <c r="Q925"/>
    </row>
    <row r="926" spans="12:17" x14ac:dyDescent="0.25">
      <c r="L926"/>
      <c r="Q926"/>
    </row>
    <row r="927" spans="12:17" x14ac:dyDescent="0.25">
      <c r="L927"/>
      <c r="Q927"/>
    </row>
    <row r="928" spans="12:17" x14ac:dyDescent="0.25">
      <c r="L928"/>
      <c r="Q928"/>
    </row>
    <row r="929" spans="12:17" x14ac:dyDescent="0.25">
      <c r="L929"/>
      <c r="Q929"/>
    </row>
    <row r="930" spans="12:17" x14ac:dyDescent="0.25">
      <c r="L930"/>
      <c r="Q930"/>
    </row>
    <row r="931" spans="12:17" x14ac:dyDescent="0.25">
      <c r="L931"/>
      <c r="Q931"/>
    </row>
    <row r="932" spans="12:17" x14ac:dyDescent="0.25">
      <c r="L932"/>
      <c r="Q932"/>
    </row>
    <row r="933" spans="12:17" x14ac:dyDescent="0.25">
      <c r="L933"/>
      <c r="Q933"/>
    </row>
    <row r="934" spans="12:17" x14ac:dyDescent="0.25">
      <c r="L934"/>
      <c r="Q934"/>
    </row>
    <row r="935" spans="12:17" x14ac:dyDescent="0.25">
      <c r="L935"/>
      <c r="Q935"/>
    </row>
    <row r="936" spans="12:17" x14ac:dyDescent="0.25">
      <c r="L936"/>
      <c r="Q936"/>
    </row>
    <row r="937" spans="12:17" x14ac:dyDescent="0.25">
      <c r="L937"/>
      <c r="Q937"/>
    </row>
    <row r="938" spans="12:17" x14ac:dyDescent="0.25">
      <c r="L938"/>
      <c r="Q938"/>
    </row>
    <row r="939" spans="12:17" x14ac:dyDescent="0.25">
      <c r="L939"/>
      <c r="Q939"/>
    </row>
    <row r="940" spans="12:17" x14ac:dyDescent="0.25">
      <c r="L940"/>
      <c r="Q940"/>
    </row>
    <row r="941" spans="12:17" x14ac:dyDescent="0.25">
      <c r="L941"/>
      <c r="Q941"/>
    </row>
    <row r="942" spans="12:17" x14ac:dyDescent="0.25">
      <c r="L942"/>
      <c r="Q942"/>
    </row>
    <row r="943" spans="12:17" x14ac:dyDescent="0.25">
      <c r="L943"/>
      <c r="Q943"/>
    </row>
    <row r="944" spans="12:17" x14ac:dyDescent="0.25">
      <c r="L944"/>
      <c r="Q944"/>
    </row>
    <row r="945" spans="12:17" x14ac:dyDescent="0.25">
      <c r="L945"/>
      <c r="Q945"/>
    </row>
    <row r="946" spans="12:17" x14ac:dyDescent="0.25">
      <c r="L946"/>
      <c r="Q946"/>
    </row>
    <row r="947" spans="12:17" x14ac:dyDescent="0.25">
      <c r="L947"/>
      <c r="Q947"/>
    </row>
    <row r="948" spans="12:17" x14ac:dyDescent="0.25">
      <c r="L948"/>
      <c r="Q948"/>
    </row>
    <row r="949" spans="12:17" x14ac:dyDescent="0.25">
      <c r="L949"/>
      <c r="Q949"/>
    </row>
    <row r="950" spans="12:17" x14ac:dyDescent="0.25">
      <c r="L950"/>
      <c r="Q950"/>
    </row>
    <row r="951" spans="12:17" x14ac:dyDescent="0.25">
      <c r="L951"/>
      <c r="Q951"/>
    </row>
    <row r="952" spans="12:17" x14ac:dyDescent="0.25">
      <c r="L952"/>
      <c r="Q952"/>
    </row>
    <row r="953" spans="12:17" x14ac:dyDescent="0.25">
      <c r="L953"/>
      <c r="Q953"/>
    </row>
    <row r="954" spans="12:17" x14ac:dyDescent="0.25">
      <c r="L954"/>
      <c r="Q954"/>
    </row>
    <row r="955" spans="12:17" x14ac:dyDescent="0.25">
      <c r="L955"/>
      <c r="Q955"/>
    </row>
    <row r="956" spans="12:17" x14ac:dyDescent="0.25">
      <c r="L956"/>
      <c r="Q956"/>
    </row>
    <row r="957" spans="12:17" x14ac:dyDescent="0.25">
      <c r="L957"/>
      <c r="Q957"/>
    </row>
    <row r="958" spans="12:17" x14ac:dyDescent="0.25">
      <c r="L958"/>
      <c r="Q958"/>
    </row>
    <row r="959" spans="12:17" x14ac:dyDescent="0.25">
      <c r="L959"/>
      <c r="Q959"/>
    </row>
    <row r="960" spans="12:17" x14ac:dyDescent="0.25">
      <c r="L960"/>
      <c r="Q960"/>
    </row>
    <row r="961" spans="12:17" x14ac:dyDescent="0.25">
      <c r="L961"/>
      <c r="Q961"/>
    </row>
    <row r="962" spans="12:17" x14ac:dyDescent="0.25">
      <c r="L962"/>
      <c r="Q962"/>
    </row>
    <row r="963" spans="12:17" x14ac:dyDescent="0.25">
      <c r="L963"/>
      <c r="Q963"/>
    </row>
    <row r="964" spans="12:17" x14ac:dyDescent="0.25">
      <c r="L964"/>
      <c r="Q964"/>
    </row>
    <row r="965" spans="12:17" x14ac:dyDescent="0.25">
      <c r="L965"/>
      <c r="Q965"/>
    </row>
    <row r="966" spans="12:17" x14ac:dyDescent="0.25">
      <c r="L966"/>
      <c r="Q966"/>
    </row>
    <row r="967" spans="12:17" x14ac:dyDescent="0.25">
      <c r="L967"/>
      <c r="Q967"/>
    </row>
    <row r="968" spans="12:17" x14ac:dyDescent="0.25">
      <c r="L968"/>
      <c r="Q968"/>
    </row>
    <row r="969" spans="12:17" x14ac:dyDescent="0.25">
      <c r="L969"/>
      <c r="Q969"/>
    </row>
    <row r="970" spans="12:17" x14ac:dyDescent="0.25">
      <c r="L970"/>
      <c r="Q970"/>
    </row>
    <row r="971" spans="12:17" x14ac:dyDescent="0.25">
      <c r="L971"/>
      <c r="Q971"/>
    </row>
    <row r="972" spans="12:17" x14ac:dyDescent="0.25">
      <c r="L972"/>
      <c r="Q972"/>
    </row>
    <row r="973" spans="12:17" x14ac:dyDescent="0.25">
      <c r="L973"/>
      <c r="Q973"/>
    </row>
    <row r="974" spans="12:17" x14ac:dyDescent="0.25">
      <c r="L974"/>
      <c r="Q974"/>
    </row>
    <row r="975" spans="12:17" x14ac:dyDescent="0.25">
      <c r="L975"/>
      <c r="Q975"/>
    </row>
    <row r="976" spans="12:17" x14ac:dyDescent="0.25">
      <c r="L976"/>
      <c r="Q976"/>
    </row>
    <row r="977" spans="12:17" x14ac:dyDescent="0.25">
      <c r="L977"/>
      <c r="Q977"/>
    </row>
    <row r="978" spans="12:17" x14ac:dyDescent="0.25">
      <c r="L978"/>
      <c r="Q978"/>
    </row>
    <row r="979" spans="12:17" x14ac:dyDescent="0.25">
      <c r="L979"/>
      <c r="Q979"/>
    </row>
    <row r="980" spans="12:17" x14ac:dyDescent="0.25">
      <c r="L980"/>
      <c r="Q980"/>
    </row>
    <row r="981" spans="12:17" x14ac:dyDescent="0.25">
      <c r="L981"/>
      <c r="Q981"/>
    </row>
    <row r="982" spans="12:17" x14ac:dyDescent="0.25">
      <c r="L982"/>
      <c r="Q982"/>
    </row>
    <row r="983" spans="12:17" x14ac:dyDescent="0.25">
      <c r="L983"/>
      <c r="Q983"/>
    </row>
    <row r="984" spans="12:17" x14ac:dyDescent="0.25">
      <c r="L984"/>
      <c r="Q984"/>
    </row>
    <row r="985" spans="12:17" x14ac:dyDescent="0.25">
      <c r="L985"/>
      <c r="Q985"/>
    </row>
    <row r="986" spans="12:17" x14ac:dyDescent="0.25">
      <c r="L986"/>
      <c r="Q986"/>
    </row>
    <row r="987" spans="12:17" x14ac:dyDescent="0.25">
      <c r="L987"/>
      <c r="Q987"/>
    </row>
    <row r="988" spans="12:17" x14ac:dyDescent="0.25">
      <c r="L988"/>
      <c r="Q988"/>
    </row>
    <row r="989" spans="12:17" x14ac:dyDescent="0.25">
      <c r="L989"/>
      <c r="Q989"/>
    </row>
    <row r="990" spans="12:17" x14ac:dyDescent="0.25">
      <c r="L990"/>
      <c r="Q990"/>
    </row>
    <row r="991" spans="12:17" x14ac:dyDescent="0.25">
      <c r="L991"/>
      <c r="Q991"/>
    </row>
    <row r="992" spans="12:17" x14ac:dyDescent="0.25">
      <c r="L992"/>
      <c r="Q992"/>
    </row>
    <row r="993" spans="12:17" x14ac:dyDescent="0.25">
      <c r="L993"/>
      <c r="Q993"/>
    </row>
    <row r="994" spans="12:17" x14ac:dyDescent="0.25">
      <c r="L994"/>
      <c r="Q994"/>
    </row>
    <row r="995" spans="12:17" x14ac:dyDescent="0.25">
      <c r="L995"/>
      <c r="Q995"/>
    </row>
    <row r="996" spans="12:17" x14ac:dyDescent="0.25">
      <c r="L996"/>
      <c r="Q996"/>
    </row>
    <row r="997" spans="12:17" x14ac:dyDescent="0.25">
      <c r="L997"/>
      <c r="Q997"/>
    </row>
    <row r="998" spans="12:17" x14ac:dyDescent="0.25">
      <c r="L998"/>
      <c r="Q998"/>
    </row>
    <row r="999" spans="12:17" x14ac:dyDescent="0.25">
      <c r="L999"/>
      <c r="Q999"/>
    </row>
  </sheetData>
  <autoFilter ref="A7:P132" xr:uid="{00000000-0001-0000-0500-000000000000}"/>
  <sortState xmlns:xlrd2="http://schemas.microsoft.com/office/spreadsheetml/2017/richdata2" ref="B8:Q16">
    <sortCondition ref="I8:I16"/>
    <sortCondition ref="H8:H16"/>
    <sortCondition ref="J8:J16"/>
    <sortCondition ref="F8:F16"/>
  </sortState>
  <phoneticPr fontId="23" type="noConversion"/>
  <conditionalFormatting sqref="A8:J132 L8:O132">
    <cfRule type="expression" priority="19" stopIfTrue="1">
      <formula>MOD(ROW(),2)=0</formula>
    </cfRule>
    <cfRule type="expression" priority="20" stopIfTrue="1">
      <formula>MOD(ROW(),2)&lt;&gt;0</formula>
    </cfRule>
    <cfRule type="expression" priority="21" stopIfTrue="1">
      <formula>MOD(ROW(),2)=0</formula>
    </cfRule>
    <cfRule type="expression" priority="22" stopIfTrue="1">
      <formula>MOD(ROW(),2)&lt;&gt;0</formula>
    </cfRule>
  </conditionalFormatting>
  <conditionalFormatting sqref="A8:J132">
    <cfRule type="expression" priority="17" stopIfTrue="1">
      <formula>MOD(ROW(),2)=0</formula>
    </cfRule>
    <cfRule type="expression" priority="18" stopIfTrue="1">
      <formula>MOD(ROW(),2)&lt;&gt;0</formula>
    </cfRule>
  </conditionalFormatting>
  <conditionalFormatting sqref="A8:P132">
    <cfRule type="expression" dxfId="1" priority="1" stopIfTrue="1">
      <formula>MOD(ROW(),2)=0</formula>
    </cfRule>
    <cfRule type="expression" dxfId="0" priority="2" stopIfTrue="1">
      <formula>MOD(ROW(),2)&lt;&gt;0</formula>
    </cfRule>
  </conditionalFormatting>
  <conditionalFormatting sqref="J9:J132">
    <cfRule type="expression" dxfId="1492" priority="23" stopIfTrue="1">
      <formula>COUNTIF($J$8:$J$132,J9) &gt; 1</formula>
    </cfRule>
  </conditionalFormatting>
  <conditionalFormatting sqref="L8:P132">
    <cfRule type="expression" priority="7" stopIfTrue="1">
      <formula>MOD(ROW(),2)=0</formula>
    </cfRule>
    <cfRule type="expression" priority="8" stopIfTrue="1">
      <formula>MOD(ROW(),2)&lt;&gt;0</formula>
    </cfRule>
  </conditionalFormatting>
  <conditionalFormatting sqref="P8:P132">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6"/>
  <dimension ref="A1:I25"/>
  <sheetViews>
    <sheetView showGridLines="0" zoomScale="85" zoomScaleNormal="85" workbookViewId="0">
      <selection activeCell="A4" sqref="A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Scheme pays LTA - x-612</v>
      </c>
      <c r="B3" s="42"/>
      <c r="C3" s="42"/>
      <c r="D3" s="42"/>
      <c r="E3" s="42"/>
      <c r="F3" s="42"/>
      <c r="G3" s="42"/>
      <c r="H3" s="42"/>
      <c r="I3" s="42"/>
    </row>
    <row r="4" spans="1:9" x14ac:dyDescent="0.25">
      <c r="A4" s="44"/>
    </row>
    <row r="6" spans="1:9" x14ac:dyDescent="0.25">
      <c r="A6" s="87" t="s">
        <v>290</v>
      </c>
      <c r="B6" s="186" t="s">
        <v>291</v>
      </c>
      <c r="C6" s="88"/>
    </row>
    <row r="7" spans="1:9" x14ac:dyDescent="0.25">
      <c r="A7" s="81" t="s">
        <v>804</v>
      </c>
      <c r="B7" s="185" t="s">
        <v>324</v>
      </c>
      <c r="C7" s="82"/>
    </row>
    <row r="8" spans="1:9" x14ac:dyDescent="0.25">
      <c r="A8" s="81" t="s">
        <v>805</v>
      </c>
      <c r="B8" s="185" t="s">
        <v>85</v>
      </c>
      <c r="C8" s="82"/>
    </row>
    <row r="9" spans="1:9" x14ac:dyDescent="0.25">
      <c r="A9" s="81" t="s">
        <v>296</v>
      </c>
      <c r="B9" s="185" t="s">
        <v>549</v>
      </c>
      <c r="C9" s="82"/>
    </row>
    <row r="10" spans="1:9" x14ac:dyDescent="0.25">
      <c r="A10" s="81" t="s">
        <v>6</v>
      </c>
      <c r="B10" s="185" t="s">
        <v>550</v>
      </c>
      <c r="C10" s="82"/>
    </row>
    <row r="11" spans="1:9" x14ac:dyDescent="0.25">
      <c r="A11" s="81" t="s">
        <v>299</v>
      </c>
      <c r="B11" s="185" t="s">
        <v>327</v>
      </c>
      <c r="C11" s="82"/>
    </row>
    <row r="12" spans="1:9" x14ac:dyDescent="0.25">
      <c r="A12" s="81" t="s">
        <v>301</v>
      </c>
      <c r="B12" s="185" t="s">
        <v>373</v>
      </c>
      <c r="C12" s="82"/>
    </row>
    <row r="13" spans="1:9" x14ac:dyDescent="0.25">
      <c r="A13" s="81" t="s">
        <v>806</v>
      </c>
      <c r="B13" s="185">
        <v>0</v>
      </c>
      <c r="C13" s="82"/>
    </row>
    <row r="14" spans="1:9" x14ac:dyDescent="0.25">
      <c r="A14" s="81" t="s">
        <v>305</v>
      </c>
      <c r="B14" s="185">
        <v>612</v>
      </c>
      <c r="C14" s="82"/>
    </row>
    <row r="15" spans="1:9" x14ac:dyDescent="0.25">
      <c r="A15" s="81" t="s">
        <v>307</v>
      </c>
      <c r="B15" s="185" t="s">
        <v>551</v>
      </c>
      <c r="C15" s="82"/>
    </row>
    <row r="16" spans="1:9" x14ac:dyDescent="0.25">
      <c r="A16" s="81" t="s">
        <v>825</v>
      </c>
      <c r="B16" s="185" t="s">
        <v>552</v>
      </c>
      <c r="C16" s="82"/>
    </row>
    <row r="17" spans="1:3" x14ac:dyDescent="0.25">
      <c r="A17" s="81" t="s">
        <v>803</v>
      </c>
      <c r="B17" s="185"/>
      <c r="C17" s="82"/>
    </row>
    <row r="18" spans="1:3" x14ac:dyDescent="0.25">
      <c r="A18" s="81" t="s">
        <v>313</v>
      </c>
      <c r="B18" s="187">
        <v>45071</v>
      </c>
      <c r="C18" s="82"/>
    </row>
    <row r="19" spans="1:3" x14ac:dyDescent="0.25">
      <c r="A19" s="81" t="s">
        <v>315</v>
      </c>
      <c r="B19" s="188"/>
      <c r="C19" s="82"/>
    </row>
    <row r="20" spans="1:3" x14ac:dyDescent="0.25">
      <c r="A20" s="81" t="s">
        <v>317</v>
      </c>
      <c r="B20" s="185" t="s">
        <v>553</v>
      </c>
      <c r="C20" s="82"/>
    </row>
    <row r="21" spans="1:3" x14ac:dyDescent="0.25">
      <c r="A21" s="77" t="s">
        <v>323</v>
      </c>
      <c r="B21" s="185" t="s">
        <v>332</v>
      </c>
      <c r="C21" s="82"/>
    </row>
    <row r="23" spans="1:3" x14ac:dyDescent="0.25">
      <c r="B23" s="102" t="str">
        <f>HYPERLINK("#'Factor List'!A1","Back to Factor List")</f>
        <v>Back to Factor List</v>
      </c>
    </row>
    <row r="24" spans="1:3" x14ac:dyDescent="0.25">
      <c r="B24" s="102" t="s">
        <v>13</v>
      </c>
    </row>
    <row r="25" spans="1:3" x14ac:dyDescent="0.25">
      <c r="B25" s="102"/>
    </row>
  </sheetData>
  <sheetProtection algorithmName="SHA-512" hashValue="hGhZIBzXLYCSyuTiMovuzBTNy5lTIaZEkh/8yFyHEvJMOVeP2hyMvcRYXybv1dYESs4YNM0uFQyM1+GXh0Hk0A==" saltValue="ejUswQVZ4+BEeTXI+00c6A==" spinCount="100000" sheet="1" objects="1" scenarios="1"/>
  <conditionalFormatting sqref="A6:A21">
    <cfRule type="expression" dxfId="683" priority="1" stopIfTrue="1">
      <formula>MOD(ROW(),2)=0</formula>
    </cfRule>
    <cfRule type="expression" dxfId="682" priority="2" stopIfTrue="1">
      <formula>MOD(ROW(),2)&lt;&gt;0</formula>
    </cfRule>
  </conditionalFormatting>
  <conditionalFormatting sqref="B6:C21">
    <cfRule type="expression" dxfId="681" priority="13" stopIfTrue="1">
      <formula>MOD(ROW(),2)=0</formula>
    </cfRule>
    <cfRule type="expression" dxfId="680" priority="14" stopIfTrue="1">
      <formula>MOD(ROW(),2)&lt;&gt;0</formula>
    </cfRule>
  </conditionalFormatting>
  <hyperlinks>
    <hyperlink ref="B24" location="Sheet1!A1" display="Assumptions" xr:uid="{E1D16E35-CAE1-4C85-957A-69663A6A2BA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7"/>
  <dimension ref="A1:I25"/>
  <sheetViews>
    <sheetView showGridLines="0" zoomScale="85" zoomScaleNormal="85" workbookViewId="0">
      <selection activeCell="A4" sqref="A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Scheme pays LTA - x-613</v>
      </c>
      <c r="B3" s="42"/>
      <c r="C3" s="42"/>
      <c r="D3" s="42"/>
      <c r="E3" s="42"/>
      <c r="F3" s="42"/>
      <c r="G3" s="42"/>
      <c r="H3" s="42"/>
      <c r="I3" s="42"/>
    </row>
    <row r="4" spans="1:9" x14ac:dyDescent="0.25">
      <c r="A4" s="44"/>
    </row>
    <row r="6" spans="1:9" x14ac:dyDescent="0.25">
      <c r="A6" s="87" t="s">
        <v>290</v>
      </c>
      <c r="B6" s="186" t="s">
        <v>291</v>
      </c>
      <c r="C6" s="88"/>
    </row>
    <row r="7" spans="1:9" x14ac:dyDescent="0.25">
      <c r="A7" s="81" t="s">
        <v>804</v>
      </c>
      <c r="B7" s="185" t="s">
        <v>324</v>
      </c>
      <c r="C7" s="82"/>
    </row>
    <row r="8" spans="1:9" x14ac:dyDescent="0.25">
      <c r="A8" s="81" t="s">
        <v>805</v>
      </c>
      <c r="B8" s="185" t="s">
        <v>85</v>
      </c>
      <c r="C8" s="82"/>
    </row>
    <row r="9" spans="1:9" x14ac:dyDescent="0.25">
      <c r="A9" s="81" t="s">
        <v>296</v>
      </c>
      <c r="B9" s="185" t="s">
        <v>549</v>
      </c>
      <c r="C9" s="82"/>
    </row>
    <row r="10" spans="1:9" x14ac:dyDescent="0.25">
      <c r="A10" s="81" t="s">
        <v>6</v>
      </c>
      <c r="B10" s="185" t="s">
        <v>554</v>
      </c>
      <c r="C10" s="82"/>
    </row>
    <row r="11" spans="1:9" x14ac:dyDescent="0.25">
      <c r="A11" s="81" t="s">
        <v>299</v>
      </c>
      <c r="B11" s="185" t="s">
        <v>327</v>
      </c>
      <c r="C11" s="82"/>
    </row>
    <row r="12" spans="1:9" x14ac:dyDescent="0.25">
      <c r="A12" s="81" t="s">
        <v>301</v>
      </c>
      <c r="B12" s="185" t="s">
        <v>373</v>
      </c>
      <c r="C12" s="82"/>
    </row>
    <row r="13" spans="1:9" x14ac:dyDescent="0.25">
      <c r="A13" s="81" t="s">
        <v>806</v>
      </c>
      <c r="B13" s="185">
        <v>0</v>
      </c>
      <c r="C13" s="82"/>
    </row>
    <row r="14" spans="1:9" x14ac:dyDescent="0.25">
      <c r="A14" s="81" t="s">
        <v>305</v>
      </c>
      <c r="B14" s="185">
        <v>613</v>
      </c>
      <c r="C14" s="82"/>
    </row>
    <row r="15" spans="1:9" x14ac:dyDescent="0.25">
      <c r="A15" s="81" t="s">
        <v>307</v>
      </c>
      <c r="B15" s="185" t="s">
        <v>555</v>
      </c>
      <c r="C15" s="82"/>
    </row>
    <row r="16" spans="1:9" x14ac:dyDescent="0.25">
      <c r="A16" s="81" t="s">
        <v>825</v>
      </c>
      <c r="B16" s="185" t="s">
        <v>556</v>
      </c>
      <c r="C16" s="82"/>
    </row>
    <row r="17" spans="1:3" ht="72" customHeight="1" x14ac:dyDescent="0.25">
      <c r="A17" s="81" t="s">
        <v>803</v>
      </c>
      <c r="B17" s="185"/>
      <c r="C17" s="82"/>
    </row>
    <row r="18" spans="1:3" x14ac:dyDescent="0.25">
      <c r="A18" s="81" t="s">
        <v>313</v>
      </c>
      <c r="B18" s="187">
        <v>45071</v>
      </c>
      <c r="C18" s="82"/>
    </row>
    <row r="19" spans="1:3" x14ac:dyDescent="0.25">
      <c r="A19" s="81" t="s">
        <v>315</v>
      </c>
      <c r="B19" s="188"/>
      <c r="C19" s="82"/>
    </row>
    <row r="20" spans="1:3" x14ac:dyDescent="0.25">
      <c r="A20" s="81" t="s">
        <v>317</v>
      </c>
      <c r="B20" s="185" t="s">
        <v>553</v>
      </c>
      <c r="C20" s="82"/>
    </row>
    <row r="21" spans="1:3" x14ac:dyDescent="0.25">
      <c r="A21" s="77" t="s">
        <v>323</v>
      </c>
      <c r="B21" s="185" t="s">
        <v>332</v>
      </c>
      <c r="C21" s="82"/>
    </row>
    <row r="23" spans="1:3" x14ac:dyDescent="0.25">
      <c r="B23" s="102" t="str">
        <f>HYPERLINK("#'Factor List'!A1","Back to Factor List")</f>
        <v>Back to Factor List</v>
      </c>
    </row>
    <row r="24" spans="1:3" x14ac:dyDescent="0.25">
      <c r="B24" s="102" t="s">
        <v>13</v>
      </c>
    </row>
    <row r="25" spans="1:3" ht="15.45" customHeight="1" x14ac:dyDescent="0.25">
      <c r="B25" s="102"/>
    </row>
  </sheetData>
  <sheetProtection algorithmName="SHA-512" hashValue="2hn2zVWi8MMVgFHHnDnYjl5EknPDB6CLpdRD707pqY3A+nyKcqc+OmqoPaxTs08BSTIgVfIPdzo2kWagtlboyQ==" saltValue="gfdu+qeb7b+ErRrgXXQO+Q==" spinCount="100000" sheet="1" objects="1" scenarios="1"/>
  <conditionalFormatting sqref="A6:A21">
    <cfRule type="expression" dxfId="679" priority="3" stopIfTrue="1">
      <formula>MOD(ROW(),2)=0</formula>
    </cfRule>
    <cfRule type="expression" dxfId="678" priority="4" stopIfTrue="1">
      <formula>MOD(ROW(),2)&lt;&gt;0</formula>
    </cfRule>
  </conditionalFormatting>
  <conditionalFormatting sqref="B6:C21">
    <cfRule type="expression" dxfId="677" priority="1" stopIfTrue="1">
      <formula>MOD(ROW(),2)=0</formula>
    </cfRule>
    <cfRule type="expression" dxfId="676" priority="2" stopIfTrue="1">
      <formula>MOD(ROW(),2)&lt;&gt;0</formula>
    </cfRule>
  </conditionalFormatting>
  <hyperlinks>
    <hyperlink ref="B24" location="Sheet1!A1" display="Assumptions" xr:uid="{CDD0905F-153D-4F96-AD8B-75175A035AF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8"/>
  <dimension ref="A1:I25"/>
  <sheetViews>
    <sheetView showGridLines="0" zoomScale="85" zoomScaleNormal="85" workbookViewId="0">
      <selection activeCell="A4" sqref="A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Scheme pays LTA - x-614</v>
      </c>
      <c r="B3" s="42"/>
      <c r="C3" s="42"/>
      <c r="D3" s="42"/>
      <c r="E3" s="42"/>
      <c r="F3" s="42"/>
      <c r="G3" s="42"/>
      <c r="H3" s="42"/>
      <c r="I3" s="42"/>
    </row>
    <row r="4" spans="1:9" x14ac:dyDescent="0.25">
      <c r="A4" s="44"/>
    </row>
    <row r="6" spans="1:9" x14ac:dyDescent="0.25">
      <c r="A6" s="87" t="s">
        <v>290</v>
      </c>
      <c r="B6" s="186" t="s">
        <v>291</v>
      </c>
      <c r="C6" s="88"/>
    </row>
    <row r="7" spans="1:9" x14ac:dyDescent="0.25">
      <c r="A7" s="81" t="s">
        <v>804</v>
      </c>
      <c r="B7" s="185" t="s">
        <v>345</v>
      </c>
      <c r="C7" s="82"/>
    </row>
    <row r="8" spans="1:9" x14ac:dyDescent="0.25">
      <c r="A8" s="81" t="s">
        <v>805</v>
      </c>
      <c r="B8" s="185" t="s">
        <v>396</v>
      </c>
      <c r="C8" s="82"/>
    </row>
    <row r="9" spans="1:9" x14ac:dyDescent="0.25">
      <c r="A9" s="81" t="s">
        <v>296</v>
      </c>
      <c r="B9" s="185" t="s">
        <v>549</v>
      </c>
      <c r="C9" s="82"/>
    </row>
    <row r="10" spans="1:9" x14ac:dyDescent="0.25">
      <c r="A10" s="81" t="s">
        <v>6</v>
      </c>
      <c r="B10" s="185" t="s">
        <v>557</v>
      </c>
      <c r="C10" s="82"/>
    </row>
    <row r="11" spans="1:9" x14ac:dyDescent="0.25">
      <c r="A11" s="81" t="s">
        <v>299</v>
      </c>
      <c r="B11" s="185" t="s">
        <v>327</v>
      </c>
      <c r="C11" s="82"/>
    </row>
    <row r="12" spans="1:9" x14ac:dyDescent="0.25">
      <c r="A12" s="81" t="s">
        <v>301</v>
      </c>
      <c r="B12" s="185" t="s">
        <v>373</v>
      </c>
      <c r="C12" s="82"/>
    </row>
    <row r="13" spans="1:9" x14ac:dyDescent="0.25">
      <c r="A13" s="81" t="s">
        <v>806</v>
      </c>
      <c r="B13" s="185">
        <v>1</v>
      </c>
      <c r="C13" s="82"/>
    </row>
    <row r="14" spans="1:9" x14ac:dyDescent="0.25">
      <c r="A14" s="81" t="s">
        <v>305</v>
      </c>
      <c r="B14" s="185">
        <v>614</v>
      </c>
      <c r="C14" s="82"/>
    </row>
    <row r="15" spans="1:9" x14ac:dyDescent="0.25">
      <c r="A15" s="81" t="s">
        <v>307</v>
      </c>
      <c r="B15" s="185" t="s">
        <v>558</v>
      </c>
      <c r="C15" s="82"/>
    </row>
    <row r="16" spans="1:9" x14ac:dyDescent="0.25">
      <c r="A16" s="81" t="s">
        <v>825</v>
      </c>
      <c r="B16" s="185" t="s">
        <v>559</v>
      </c>
      <c r="C16" s="82"/>
    </row>
    <row r="17" spans="1:3" x14ac:dyDescent="0.25">
      <c r="A17" s="81" t="s">
        <v>803</v>
      </c>
      <c r="B17" s="185"/>
      <c r="C17" s="82"/>
    </row>
    <row r="18" spans="1:3" x14ac:dyDescent="0.25">
      <c r="A18" s="81" t="s">
        <v>313</v>
      </c>
      <c r="B18" s="187">
        <v>45071</v>
      </c>
      <c r="C18" s="82"/>
    </row>
    <row r="19" spans="1:3" x14ac:dyDescent="0.25">
      <c r="A19" s="81" t="s">
        <v>315</v>
      </c>
      <c r="B19" s="188"/>
      <c r="C19" s="82"/>
    </row>
    <row r="20" spans="1:3" x14ac:dyDescent="0.25">
      <c r="A20" s="81" t="s">
        <v>317</v>
      </c>
      <c r="B20" s="185" t="s">
        <v>553</v>
      </c>
      <c r="C20" s="82"/>
    </row>
    <row r="21" spans="1:3" x14ac:dyDescent="0.25">
      <c r="A21" s="77" t="s">
        <v>323</v>
      </c>
      <c r="B21" s="185" t="s">
        <v>332</v>
      </c>
      <c r="C21" s="82"/>
    </row>
    <row r="23" spans="1:3" x14ac:dyDescent="0.25">
      <c r="B23" s="102" t="str">
        <f>HYPERLINK("#'Factor List'!A1","Back to Factor List")</f>
        <v>Back to Factor List</v>
      </c>
    </row>
    <row r="24" spans="1:3" x14ac:dyDescent="0.25">
      <c r="B24" s="102" t="s">
        <v>13</v>
      </c>
    </row>
    <row r="25" spans="1:3" x14ac:dyDescent="0.25">
      <c r="B25" s="102"/>
    </row>
  </sheetData>
  <sheetProtection algorithmName="SHA-512" hashValue="VSVJ+59/PY1fdwsatwGPQ9u9C7gJpQDLsvWt9+x0WM1vNOrfgnHtnnC8CFNKjulWrAm89z/AIp6c8OtDiASaqw==" saltValue="4gzN7IhTC43yGhqUEkQ47Q==" spinCount="100000" sheet="1" objects="1" scenarios="1"/>
  <conditionalFormatting sqref="A6:A21">
    <cfRule type="expression" dxfId="675" priority="3" stopIfTrue="1">
      <formula>MOD(ROW(),2)=0</formula>
    </cfRule>
    <cfRule type="expression" dxfId="674" priority="4" stopIfTrue="1">
      <formula>MOD(ROW(),2)&lt;&gt;0</formula>
    </cfRule>
  </conditionalFormatting>
  <conditionalFormatting sqref="B6:C21">
    <cfRule type="expression" dxfId="673" priority="1" stopIfTrue="1">
      <formula>MOD(ROW(),2)=0</formula>
    </cfRule>
    <cfRule type="expression" dxfId="672" priority="2" stopIfTrue="1">
      <formula>MOD(ROW(),2)&lt;&gt;0</formula>
    </cfRule>
  </conditionalFormatting>
  <hyperlinks>
    <hyperlink ref="B24" location="Sheet1!A1" display="Assumptions" xr:uid="{42870C89-9DB5-473C-925B-A2FBF42E730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9"/>
  <dimension ref="A1:I25"/>
  <sheetViews>
    <sheetView showGridLines="0" zoomScale="85" zoomScaleNormal="85" workbookViewId="0">
      <selection activeCell="A4" sqref="A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Scheme pays LTA - x-615</v>
      </c>
      <c r="B3" s="42"/>
      <c r="C3" s="42"/>
      <c r="D3" s="42"/>
      <c r="E3" s="42"/>
      <c r="F3" s="42"/>
      <c r="G3" s="42"/>
      <c r="H3" s="42"/>
      <c r="I3" s="42"/>
    </row>
    <row r="4" spans="1:9" x14ac:dyDescent="0.25">
      <c r="A4" s="44"/>
    </row>
    <row r="6" spans="1:9" x14ac:dyDescent="0.25">
      <c r="A6" s="87" t="s">
        <v>290</v>
      </c>
      <c r="B6" s="186" t="s">
        <v>291</v>
      </c>
      <c r="C6" s="88"/>
    </row>
    <row r="7" spans="1:9" x14ac:dyDescent="0.25">
      <c r="A7" s="81" t="s">
        <v>804</v>
      </c>
      <c r="B7" s="185" t="s">
        <v>345</v>
      </c>
      <c r="C7" s="82"/>
    </row>
    <row r="8" spans="1:9" x14ac:dyDescent="0.25">
      <c r="A8" s="81" t="s">
        <v>805</v>
      </c>
      <c r="B8" s="185" t="s">
        <v>396</v>
      </c>
      <c r="C8" s="82"/>
    </row>
    <row r="9" spans="1:9" x14ac:dyDescent="0.25">
      <c r="A9" s="81" t="s">
        <v>296</v>
      </c>
      <c r="B9" s="185" t="s">
        <v>549</v>
      </c>
      <c r="C9" s="82"/>
    </row>
    <row r="10" spans="1:9" ht="30.6" customHeight="1" x14ac:dyDescent="0.25">
      <c r="A10" s="81" t="s">
        <v>6</v>
      </c>
      <c r="B10" s="185" t="s">
        <v>554</v>
      </c>
      <c r="C10" s="82"/>
    </row>
    <row r="11" spans="1:9" x14ac:dyDescent="0.25">
      <c r="A11" s="81" t="s">
        <v>299</v>
      </c>
      <c r="B11" s="185" t="s">
        <v>327</v>
      </c>
      <c r="C11" s="82"/>
    </row>
    <row r="12" spans="1:9" x14ac:dyDescent="0.25">
      <c r="A12" s="81" t="s">
        <v>301</v>
      </c>
      <c r="B12" s="185" t="s">
        <v>373</v>
      </c>
      <c r="C12" s="82"/>
    </row>
    <row r="13" spans="1:9" x14ac:dyDescent="0.25">
      <c r="A13" s="81" t="s">
        <v>806</v>
      </c>
      <c r="B13" s="185">
        <v>1</v>
      </c>
      <c r="C13" s="82"/>
    </row>
    <row r="14" spans="1:9" x14ac:dyDescent="0.25">
      <c r="A14" s="81" t="s">
        <v>305</v>
      </c>
      <c r="B14" s="185">
        <v>615</v>
      </c>
      <c r="C14" s="82"/>
    </row>
    <row r="15" spans="1:9" x14ac:dyDescent="0.25">
      <c r="A15" s="81" t="s">
        <v>307</v>
      </c>
      <c r="B15" s="185" t="s">
        <v>560</v>
      </c>
      <c r="C15" s="82"/>
    </row>
    <row r="16" spans="1:9" x14ac:dyDescent="0.25">
      <c r="A16" s="81" t="s">
        <v>825</v>
      </c>
      <c r="B16" s="185" t="s">
        <v>561</v>
      </c>
      <c r="C16" s="82"/>
    </row>
    <row r="17" spans="1:3" ht="68.099999999999994" customHeight="1" x14ac:dyDescent="0.25">
      <c r="A17" s="81" t="s">
        <v>803</v>
      </c>
      <c r="B17" s="185"/>
      <c r="C17" s="82"/>
    </row>
    <row r="18" spans="1:3" x14ac:dyDescent="0.25">
      <c r="A18" s="81" t="s">
        <v>313</v>
      </c>
      <c r="B18" s="187">
        <v>45071</v>
      </c>
      <c r="C18" s="82"/>
    </row>
    <row r="19" spans="1:3" x14ac:dyDescent="0.25">
      <c r="A19" s="81" t="s">
        <v>315</v>
      </c>
      <c r="B19" s="188"/>
      <c r="C19" s="82"/>
    </row>
    <row r="20" spans="1:3" x14ac:dyDescent="0.25">
      <c r="A20" s="81" t="s">
        <v>317</v>
      </c>
      <c r="B20" s="185" t="s">
        <v>553</v>
      </c>
      <c r="C20" s="82"/>
    </row>
    <row r="21" spans="1:3" x14ac:dyDescent="0.25">
      <c r="A21" s="77" t="s">
        <v>323</v>
      </c>
      <c r="B21" s="185" t="s">
        <v>332</v>
      </c>
      <c r="C21" s="82"/>
    </row>
    <row r="23" spans="1:3" x14ac:dyDescent="0.25">
      <c r="B23" s="102" t="str">
        <f>HYPERLINK("#'Factor List'!A1","Back to Factor List")</f>
        <v>Back to Factor List</v>
      </c>
    </row>
    <row r="24" spans="1:3" x14ac:dyDescent="0.25">
      <c r="B24" s="102" t="s">
        <v>13</v>
      </c>
    </row>
    <row r="25" spans="1:3" x14ac:dyDescent="0.25">
      <c r="B25" s="102"/>
    </row>
  </sheetData>
  <sheetProtection algorithmName="SHA-512" hashValue="UOi7GGBKkNO6ELMlN33QNuP/KUcVmxH39jBxtfidru+QdjYXxoWvVhB5ko1NBF4Ycjde7tJ+1RZ4P1+k1NqeDQ==" saltValue="azZBetDcXV7bDAqYZAOMPw==" spinCount="100000" sheet="1" objects="1" scenarios="1"/>
  <conditionalFormatting sqref="A6:A21">
    <cfRule type="expression" dxfId="671" priority="3" stopIfTrue="1">
      <formula>MOD(ROW(),2)=0</formula>
    </cfRule>
    <cfRule type="expression" dxfId="670" priority="4" stopIfTrue="1">
      <formula>MOD(ROW(),2)&lt;&gt;0</formula>
    </cfRule>
  </conditionalFormatting>
  <conditionalFormatting sqref="B6:C21">
    <cfRule type="expression" dxfId="669" priority="1" stopIfTrue="1">
      <formula>MOD(ROW(),2)=0</formula>
    </cfRule>
    <cfRule type="expression" dxfId="668" priority="2" stopIfTrue="1">
      <formula>MOD(ROW(),2)&lt;&gt;0</formula>
    </cfRule>
  </conditionalFormatting>
  <hyperlinks>
    <hyperlink ref="B24" location="Sheet1!A1" display="Assumptions" xr:uid="{B71B4D74-1533-46DD-8E11-C0B530BC2F7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90"/>
  <dimension ref="A1:I127"/>
  <sheetViews>
    <sheetView showGridLines="0" topLeftCell="A13"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Scheme pays AA - x-616</v>
      </c>
      <c r="B3" s="42"/>
      <c r="C3" s="42"/>
      <c r="D3" s="42"/>
      <c r="E3" s="42"/>
      <c r="F3" s="42"/>
      <c r="G3" s="42"/>
      <c r="H3" s="42"/>
      <c r="I3" s="42"/>
    </row>
    <row r="4" spans="1:9" x14ac:dyDescent="0.25">
      <c r="A4" s="44"/>
    </row>
    <row r="6" spans="1:9" x14ac:dyDescent="0.25">
      <c r="A6" s="87" t="s">
        <v>290</v>
      </c>
      <c r="B6" s="185" t="s">
        <v>291</v>
      </c>
    </row>
    <row r="7" spans="1:9" ht="26.1" customHeight="1" x14ac:dyDescent="0.25">
      <c r="A7" s="81" t="s">
        <v>804</v>
      </c>
      <c r="B7" s="185" t="s">
        <v>324</v>
      </c>
    </row>
    <row r="8" spans="1:9" x14ac:dyDescent="0.25">
      <c r="A8" s="81" t="s">
        <v>805</v>
      </c>
      <c r="B8" s="185" t="s">
        <v>85</v>
      </c>
    </row>
    <row r="9" spans="1:9" x14ac:dyDescent="0.25">
      <c r="A9" s="81" t="s">
        <v>296</v>
      </c>
      <c r="B9" s="185" t="s">
        <v>514</v>
      </c>
    </row>
    <row r="10" spans="1:9" ht="15" customHeight="1" x14ac:dyDescent="0.25">
      <c r="A10" s="81" t="s">
        <v>6</v>
      </c>
      <c r="B10" s="185" t="s">
        <v>363</v>
      </c>
    </row>
    <row r="11" spans="1:9" x14ac:dyDescent="0.25">
      <c r="A11" s="81" t="s">
        <v>299</v>
      </c>
      <c r="B11" s="185" t="s">
        <v>364</v>
      </c>
    </row>
    <row r="12" spans="1:9" x14ac:dyDescent="0.25">
      <c r="A12" s="81" t="s">
        <v>301</v>
      </c>
      <c r="B12" s="185" t="s">
        <v>365</v>
      </c>
    </row>
    <row r="13" spans="1:9" x14ac:dyDescent="0.25">
      <c r="A13" s="81" t="s">
        <v>806</v>
      </c>
      <c r="B13" s="185">
        <v>0</v>
      </c>
    </row>
    <row r="14" spans="1:9" x14ac:dyDescent="0.25">
      <c r="A14" s="81" t="s">
        <v>305</v>
      </c>
      <c r="B14" s="185">
        <v>616</v>
      </c>
    </row>
    <row r="15" spans="1:9" x14ac:dyDescent="0.25">
      <c r="A15" s="81" t="s">
        <v>307</v>
      </c>
      <c r="B15" s="185" t="s">
        <v>562</v>
      </c>
    </row>
    <row r="16" spans="1:9" x14ac:dyDescent="0.25">
      <c r="A16" s="81" t="s">
        <v>825</v>
      </c>
      <c r="B16" s="185" t="s">
        <v>529</v>
      </c>
    </row>
    <row r="17" spans="1:2" ht="100.2" customHeight="1" x14ac:dyDescent="0.25">
      <c r="A17" s="81" t="s">
        <v>803</v>
      </c>
      <c r="B17" s="185"/>
    </row>
    <row r="18" spans="1:2" x14ac:dyDescent="0.25">
      <c r="A18" s="81" t="s">
        <v>313</v>
      </c>
      <c r="B18" s="188">
        <v>45071</v>
      </c>
    </row>
    <row r="19" spans="1:2" x14ac:dyDescent="0.25">
      <c r="A19" s="81" t="s">
        <v>315</v>
      </c>
      <c r="B19" s="188"/>
    </row>
    <row r="20" spans="1:2" x14ac:dyDescent="0.25">
      <c r="A20" s="81" t="s">
        <v>317</v>
      </c>
      <c r="B20" s="185" t="s">
        <v>331</v>
      </c>
    </row>
    <row r="21" spans="1:2" x14ac:dyDescent="0.25">
      <c r="A21" s="77" t="s">
        <v>323</v>
      </c>
      <c r="B21" s="185" t="s">
        <v>332</v>
      </c>
    </row>
    <row r="23" spans="1:2" x14ac:dyDescent="0.25">
      <c r="B23" s="102" t="str">
        <f>HYPERLINK("#'Factor List'!A1","Back to Factor List")</f>
        <v>Back to Factor List</v>
      </c>
    </row>
    <row r="24" spans="1:2" x14ac:dyDescent="0.25">
      <c r="B24" s="102" t="s">
        <v>13</v>
      </c>
    </row>
    <row r="25" spans="1:2" x14ac:dyDescent="0.25">
      <c r="B25" s="102"/>
    </row>
    <row r="26" spans="1:2" x14ac:dyDescent="0.25">
      <c r="A26" s="103" t="s">
        <v>948</v>
      </c>
      <c r="B26" s="103" t="s">
        <v>824</v>
      </c>
    </row>
    <row r="27" spans="1:2" x14ac:dyDescent="0.25">
      <c r="A27" s="104">
        <v>0</v>
      </c>
      <c r="B27" s="105">
        <v>1</v>
      </c>
    </row>
    <row r="28" spans="1:2" x14ac:dyDescent="0.25">
      <c r="A28" s="104">
        <v>1</v>
      </c>
      <c r="B28" s="105">
        <v>1.02</v>
      </c>
    </row>
    <row r="29" spans="1:2" x14ac:dyDescent="0.25">
      <c r="A29" s="104">
        <v>2</v>
      </c>
      <c r="B29" s="105">
        <v>1.04</v>
      </c>
    </row>
    <row r="30" spans="1:2" x14ac:dyDescent="0.25">
      <c r="A30" s="104">
        <v>3</v>
      </c>
      <c r="B30" s="105">
        <v>1.06</v>
      </c>
    </row>
    <row r="31" spans="1:2" x14ac:dyDescent="0.25">
      <c r="A31" s="104">
        <v>4</v>
      </c>
      <c r="B31" s="105">
        <v>1.08</v>
      </c>
    </row>
    <row r="32" spans="1:2" x14ac:dyDescent="0.25">
      <c r="A32" s="104">
        <v>5</v>
      </c>
      <c r="B32" s="105">
        <v>1.1000000000000001</v>
      </c>
    </row>
    <row r="33" spans="1:2" x14ac:dyDescent="0.25">
      <c r="A33" s="104">
        <v>6</v>
      </c>
      <c r="B33" s="105">
        <v>1.1299999999999999</v>
      </c>
    </row>
    <row r="34" spans="1:2" x14ac:dyDescent="0.25">
      <c r="A34" s="104">
        <v>7</v>
      </c>
      <c r="B34" s="105">
        <v>1.1499999999999999</v>
      </c>
    </row>
    <row r="35" spans="1:2" x14ac:dyDescent="0.25">
      <c r="A35" s="104">
        <v>8</v>
      </c>
      <c r="B35" s="105">
        <v>1.17</v>
      </c>
    </row>
    <row r="36" spans="1:2" x14ac:dyDescent="0.25">
      <c r="A36" s="104">
        <v>9</v>
      </c>
      <c r="B36" s="105">
        <v>1.2</v>
      </c>
    </row>
    <row r="37" spans="1:2" x14ac:dyDescent="0.25">
      <c r="A37" s="104">
        <v>10</v>
      </c>
      <c r="B37" s="105">
        <v>1.22</v>
      </c>
    </row>
    <row r="38" spans="1:2" x14ac:dyDescent="0.25">
      <c r="A38" s="104">
        <v>11</v>
      </c>
      <c r="B38" s="105">
        <v>1.24</v>
      </c>
    </row>
    <row r="39" spans="1:2" x14ac:dyDescent="0.25">
      <c r="A39" s="104">
        <v>12</v>
      </c>
      <c r="B39" s="105">
        <v>1.27</v>
      </c>
    </row>
    <row r="40" spans="1:2" x14ac:dyDescent="0.25">
      <c r="A40" s="104">
        <v>13</v>
      </c>
      <c r="B40" s="105">
        <v>1.29</v>
      </c>
    </row>
    <row r="41" spans="1:2" x14ac:dyDescent="0.25">
      <c r="A41" s="104">
        <v>14</v>
      </c>
      <c r="B41" s="105">
        <v>1.32</v>
      </c>
    </row>
    <row r="42" spans="1:2" x14ac:dyDescent="0.25">
      <c r="A42" s="104">
        <v>15</v>
      </c>
      <c r="B42" s="105">
        <v>1.35</v>
      </c>
    </row>
    <row r="43" spans="1:2" x14ac:dyDescent="0.25">
      <c r="A43" s="104">
        <v>16</v>
      </c>
      <c r="B43" s="105">
        <v>1.37</v>
      </c>
    </row>
    <row r="44" spans="1:2" x14ac:dyDescent="0.25">
      <c r="A44" s="104">
        <v>17</v>
      </c>
      <c r="B44" s="105">
        <v>1.4</v>
      </c>
    </row>
    <row r="45" spans="1:2" x14ac:dyDescent="0.25">
      <c r="A45" s="104">
        <v>18</v>
      </c>
      <c r="B45" s="105">
        <v>1.43</v>
      </c>
    </row>
    <row r="46" spans="1:2" x14ac:dyDescent="0.25">
      <c r="A46" s="104">
        <v>19</v>
      </c>
      <c r="B46" s="105">
        <v>1.46</v>
      </c>
    </row>
    <row r="47" spans="1:2" x14ac:dyDescent="0.25">
      <c r="A47" s="104">
        <v>20</v>
      </c>
      <c r="B47" s="105">
        <v>1.49</v>
      </c>
    </row>
    <row r="48" spans="1:2" x14ac:dyDescent="0.25">
      <c r="A48" s="104">
        <v>21</v>
      </c>
      <c r="B48" s="105">
        <v>1.52</v>
      </c>
    </row>
    <row r="49" spans="1:2" x14ac:dyDescent="0.25">
      <c r="A49" s="104">
        <v>22</v>
      </c>
      <c r="B49" s="105">
        <v>1.55</v>
      </c>
    </row>
    <row r="50" spans="1:2" x14ac:dyDescent="0.25">
      <c r="A50" s="104">
        <v>23</v>
      </c>
      <c r="B50" s="105">
        <v>1.58</v>
      </c>
    </row>
    <row r="51" spans="1:2" x14ac:dyDescent="0.25">
      <c r="A51" s="104">
        <v>24</v>
      </c>
      <c r="B51" s="105">
        <v>1.61</v>
      </c>
    </row>
    <row r="52" spans="1:2" x14ac:dyDescent="0.25">
      <c r="A52" s="104">
        <v>25</v>
      </c>
      <c r="B52" s="105">
        <v>1.64</v>
      </c>
    </row>
    <row r="53" spans="1:2" x14ac:dyDescent="0.25">
      <c r="A53" s="104">
        <v>26</v>
      </c>
      <c r="B53" s="105">
        <v>1.67</v>
      </c>
    </row>
    <row r="54" spans="1:2" x14ac:dyDescent="0.25">
      <c r="A54" s="104">
        <v>27</v>
      </c>
      <c r="B54" s="105">
        <v>1.71</v>
      </c>
    </row>
    <row r="55" spans="1:2" x14ac:dyDescent="0.25">
      <c r="A55" s="104">
        <v>28</v>
      </c>
      <c r="B55" s="105">
        <v>1.74</v>
      </c>
    </row>
    <row r="56" spans="1:2" x14ac:dyDescent="0.25">
      <c r="A56" s="104">
        <v>29</v>
      </c>
      <c r="B56" s="105">
        <v>1.78</v>
      </c>
    </row>
    <row r="57" spans="1:2" x14ac:dyDescent="0.25">
      <c r="A57" s="104">
        <v>30</v>
      </c>
      <c r="B57" s="105">
        <v>1.81</v>
      </c>
    </row>
    <row r="58" spans="1:2" x14ac:dyDescent="0.25">
      <c r="A58" s="104">
        <v>31</v>
      </c>
      <c r="B58" s="105">
        <v>1.85</v>
      </c>
    </row>
    <row r="59" spans="1:2" x14ac:dyDescent="0.25">
      <c r="A59" s="104">
        <v>32</v>
      </c>
      <c r="B59" s="105">
        <v>1.88</v>
      </c>
    </row>
    <row r="60" spans="1:2" x14ac:dyDescent="0.25">
      <c r="A60" s="104">
        <v>33</v>
      </c>
      <c r="B60" s="105">
        <v>1.92</v>
      </c>
    </row>
    <row r="61" spans="1:2" x14ac:dyDescent="0.25">
      <c r="A61" s="104">
        <v>34</v>
      </c>
      <c r="B61" s="105">
        <v>1.96</v>
      </c>
    </row>
    <row r="62" spans="1:2" x14ac:dyDescent="0.25">
      <c r="A62" s="104">
        <v>35</v>
      </c>
      <c r="B62" s="105">
        <v>2</v>
      </c>
    </row>
    <row r="63" spans="1:2" x14ac:dyDescent="0.25">
      <c r="A63" s="104">
        <v>36</v>
      </c>
      <c r="B63" s="105">
        <v>2.04</v>
      </c>
    </row>
    <row r="64" spans="1:2" x14ac:dyDescent="0.25">
      <c r="A64" s="104">
        <v>37</v>
      </c>
      <c r="B64" s="105">
        <v>2.08</v>
      </c>
    </row>
    <row r="65" spans="1:2" x14ac:dyDescent="0.25">
      <c r="A65" s="104">
        <v>38</v>
      </c>
      <c r="B65" s="105">
        <v>2.12</v>
      </c>
    </row>
    <row r="66" spans="1:2" x14ac:dyDescent="0.25">
      <c r="A66" s="104">
        <v>39</v>
      </c>
      <c r="B66" s="105">
        <v>2.16</v>
      </c>
    </row>
    <row r="67" spans="1:2" x14ac:dyDescent="0.25">
      <c r="A67" s="104">
        <v>40</v>
      </c>
      <c r="B67" s="105">
        <v>2.21</v>
      </c>
    </row>
    <row r="68" spans="1:2" x14ac:dyDescent="0.25">
      <c r="A68" s="104">
        <v>41</v>
      </c>
      <c r="B68" s="105">
        <v>2.25</v>
      </c>
    </row>
    <row r="69" spans="1:2" x14ac:dyDescent="0.25">
      <c r="A69" s="104">
        <v>42</v>
      </c>
      <c r="B69" s="105">
        <v>2.2999999999999998</v>
      </c>
    </row>
    <row r="70" spans="1:2" x14ac:dyDescent="0.25">
      <c r="A70" s="104">
        <v>43</v>
      </c>
      <c r="B70" s="105">
        <v>2.34</v>
      </c>
    </row>
    <row r="71" spans="1:2" x14ac:dyDescent="0.25">
      <c r="A71" s="104">
        <v>44</v>
      </c>
      <c r="B71" s="105">
        <v>2.39</v>
      </c>
    </row>
    <row r="72" spans="1:2" x14ac:dyDescent="0.25">
      <c r="A72" s="104">
        <v>45</v>
      </c>
      <c r="B72" s="105">
        <v>2.44</v>
      </c>
    </row>
    <row r="73" spans="1:2" x14ac:dyDescent="0.25">
      <c r="A73" s="104">
        <v>46</v>
      </c>
      <c r="B73" s="105">
        <v>2.4900000000000002</v>
      </c>
    </row>
    <row r="74" spans="1:2" x14ac:dyDescent="0.25">
      <c r="A74" s="104">
        <v>47</v>
      </c>
      <c r="B74" s="105">
        <v>2.54</v>
      </c>
    </row>
    <row r="75" spans="1:2" x14ac:dyDescent="0.25">
      <c r="A75" s="104">
        <v>48</v>
      </c>
      <c r="B75" s="105">
        <v>2.59</v>
      </c>
    </row>
    <row r="76" spans="1:2" x14ac:dyDescent="0.25">
      <c r="A76" s="104">
        <v>49</v>
      </c>
      <c r="B76" s="105">
        <v>2.64</v>
      </c>
    </row>
    <row r="77" spans="1:2" x14ac:dyDescent="0.25">
      <c r="A77" s="104">
        <v>50</v>
      </c>
      <c r="B77" s="105">
        <v>2.69</v>
      </c>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x14ac:dyDescent="0.25">
      <c r="A93"/>
      <c r="B93"/>
    </row>
    <row r="94" spans="1:2" ht="14.25" customHeight="1" x14ac:dyDescent="0.25">
      <c r="A94"/>
      <c r="B94"/>
    </row>
    <row r="95" spans="1:2" x14ac:dyDescent="0.25">
      <c r="A95"/>
      <c r="B95"/>
    </row>
    <row r="96" spans="1:2" ht="12.75" customHeight="1" x14ac:dyDescent="0.25">
      <c r="A96"/>
      <c r="B96"/>
    </row>
    <row r="97" spans="1:2" x14ac:dyDescent="0.25">
      <c r="A97"/>
      <c r="B97"/>
    </row>
    <row r="98" spans="1:2" x14ac:dyDescent="0.25">
      <c r="A98"/>
      <c r="B98"/>
    </row>
    <row r="99" spans="1:2" x14ac:dyDescent="0.25">
      <c r="A99"/>
      <c r="B99"/>
    </row>
    <row r="100" spans="1:2" x14ac:dyDescent="0.25">
      <c r="A100"/>
      <c r="B100"/>
    </row>
    <row r="101" spans="1:2" x14ac:dyDescent="0.25">
      <c r="A101"/>
      <c r="B101"/>
    </row>
    <row r="102" spans="1:2" x14ac:dyDescent="0.25">
      <c r="A102"/>
      <c r="B102"/>
    </row>
    <row r="103" spans="1:2" x14ac:dyDescent="0.25">
      <c r="A103"/>
      <c r="B103"/>
    </row>
    <row r="104" spans="1:2" x14ac:dyDescent="0.25">
      <c r="A104"/>
      <c r="B104"/>
    </row>
    <row r="105" spans="1:2" x14ac:dyDescent="0.25">
      <c r="A105"/>
      <c r="B105"/>
    </row>
    <row r="106" spans="1:2" x14ac:dyDescent="0.25">
      <c r="A106"/>
      <c r="B106"/>
    </row>
    <row r="107" spans="1:2" x14ac:dyDescent="0.25">
      <c r="A107"/>
      <c r="B107"/>
    </row>
    <row r="108" spans="1:2" x14ac:dyDescent="0.25">
      <c r="A108"/>
      <c r="B108"/>
    </row>
    <row r="109" spans="1:2" x14ac:dyDescent="0.25">
      <c r="A109"/>
      <c r="B109"/>
    </row>
    <row r="110" spans="1:2" x14ac:dyDescent="0.25">
      <c r="A110"/>
      <c r="B110"/>
    </row>
    <row r="111" spans="1:2" x14ac:dyDescent="0.25">
      <c r="A111"/>
      <c r="B111"/>
    </row>
    <row r="112" spans="1:2" x14ac:dyDescent="0.25">
      <c r="A112"/>
      <c r="B112"/>
    </row>
    <row r="113" spans="1:2" x14ac:dyDescent="0.25">
      <c r="A113"/>
      <c r="B113"/>
    </row>
    <row r="114" spans="1:2" x14ac:dyDescent="0.25">
      <c r="A114"/>
      <c r="B114"/>
    </row>
    <row r="115" spans="1:2" x14ac:dyDescent="0.25">
      <c r="A115"/>
      <c r="B115"/>
    </row>
    <row r="116" spans="1:2" x14ac:dyDescent="0.25">
      <c r="A116"/>
      <c r="B116"/>
    </row>
    <row r="117" spans="1:2" x14ac:dyDescent="0.25">
      <c r="A117"/>
      <c r="B117"/>
    </row>
    <row r="118" spans="1:2" x14ac:dyDescent="0.25">
      <c r="A118"/>
      <c r="B118"/>
    </row>
    <row r="119" spans="1:2" x14ac:dyDescent="0.25">
      <c r="A119"/>
      <c r="B119"/>
    </row>
    <row r="120" spans="1:2" x14ac:dyDescent="0.25">
      <c r="A120"/>
      <c r="B120"/>
    </row>
    <row r="121" spans="1:2" x14ac:dyDescent="0.25">
      <c r="A121"/>
      <c r="B121"/>
    </row>
    <row r="122" spans="1:2" x14ac:dyDescent="0.25">
      <c r="A122"/>
      <c r="B122"/>
    </row>
    <row r="123" spans="1:2" x14ac:dyDescent="0.25">
      <c r="A123"/>
      <c r="B123"/>
    </row>
    <row r="124" spans="1:2" x14ac:dyDescent="0.25">
      <c r="A124"/>
      <c r="B124"/>
    </row>
    <row r="125" spans="1:2" x14ac:dyDescent="0.25">
      <c r="A125"/>
      <c r="B125"/>
    </row>
    <row r="126" spans="1:2" x14ac:dyDescent="0.25">
      <c r="A126"/>
      <c r="B126"/>
    </row>
    <row r="127" spans="1:2" x14ac:dyDescent="0.25">
      <c r="A127"/>
      <c r="B127"/>
    </row>
  </sheetData>
  <sheetProtection algorithmName="SHA-512" hashValue="TBf7n+3LxpfJFuSNfGyNo15guozWNFwXdnufc3dtcTaVswPBGx5qAG4nTXb6bL1+TqzDQzpew8pvaaMpSv3WtA==" saltValue="98fFh7KfRZEnxduHidMgZA==" spinCount="100000" sheet="1" objects="1" scenarios="1"/>
  <conditionalFormatting sqref="A6:A21">
    <cfRule type="expression" dxfId="667" priority="1" stopIfTrue="1">
      <formula>MOD(ROW(),2)=0</formula>
    </cfRule>
    <cfRule type="expression" dxfId="666" priority="2" stopIfTrue="1">
      <formula>MOD(ROW(),2)&lt;&gt;0</formula>
    </cfRule>
  </conditionalFormatting>
  <conditionalFormatting sqref="A26:A77">
    <cfRule type="expression" dxfId="665" priority="5" stopIfTrue="1">
      <formula>MOD(ROW(),2)=0</formula>
    </cfRule>
    <cfRule type="expression" dxfId="664" priority="6" stopIfTrue="1">
      <formula>MOD(ROW(),2)&lt;&gt;0</formula>
    </cfRule>
  </conditionalFormatting>
  <conditionalFormatting sqref="B6:B21">
    <cfRule type="expression" dxfId="663" priority="35" stopIfTrue="1">
      <formula>MOD(ROW(),2)=0</formula>
    </cfRule>
    <cfRule type="expression" dxfId="662" priority="36" stopIfTrue="1">
      <formula>MOD(ROW(),2)&lt;&gt;0</formula>
    </cfRule>
  </conditionalFormatting>
  <conditionalFormatting sqref="B17:B21">
    <cfRule type="expression" dxfId="661" priority="3" stopIfTrue="1">
      <formula>MOD(ROW(),2)=0</formula>
    </cfRule>
    <cfRule type="expression" dxfId="660" priority="4" stopIfTrue="1">
      <formula>MOD(ROW(),2)&lt;&gt;0</formula>
    </cfRule>
  </conditionalFormatting>
  <conditionalFormatting sqref="B26:B77">
    <cfRule type="expression" dxfId="659" priority="7" stopIfTrue="1">
      <formula>MOD(ROW(),2)=0</formula>
    </cfRule>
    <cfRule type="expression" dxfId="658" priority="8" stopIfTrue="1">
      <formula>MOD(ROW(),2)&lt;&gt;0</formula>
    </cfRule>
  </conditionalFormatting>
  <hyperlinks>
    <hyperlink ref="B24" location="Sheet1!A1" display="Assumptions" xr:uid="{7EB14C19-6E90-4479-8BF5-677A0D0961E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91"/>
  <dimension ref="A1:I127"/>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Scheme pays AA - x-617</v>
      </c>
      <c r="B3" s="42"/>
      <c r="C3" s="42"/>
      <c r="D3" s="42"/>
      <c r="E3" s="42"/>
      <c r="F3" s="42"/>
      <c r="G3" s="42"/>
      <c r="H3" s="42"/>
      <c r="I3" s="42"/>
    </row>
    <row r="4" spans="1:9" x14ac:dyDescent="0.25">
      <c r="A4" s="44"/>
    </row>
    <row r="6" spans="1:9" x14ac:dyDescent="0.25">
      <c r="A6" s="87" t="s">
        <v>290</v>
      </c>
      <c r="B6" s="185" t="s">
        <v>291</v>
      </c>
    </row>
    <row r="7" spans="1:9" ht="29.1" customHeight="1" x14ac:dyDescent="0.25">
      <c r="A7" s="81" t="s">
        <v>804</v>
      </c>
      <c r="B7" s="185" t="s">
        <v>345</v>
      </c>
    </row>
    <row r="8" spans="1:9" x14ac:dyDescent="0.25">
      <c r="A8" s="81" t="s">
        <v>805</v>
      </c>
      <c r="B8" s="185" t="s">
        <v>89</v>
      </c>
    </row>
    <row r="9" spans="1:9" x14ac:dyDescent="0.25">
      <c r="A9" s="81" t="s">
        <v>296</v>
      </c>
      <c r="B9" s="185" t="s">
        <v>514</v>
      </c>
    </row>
    <row r="10" spans="1:9" ht="21" customHeight="1" x14ac:dyDescent="0.25">
      <c r="A10" s="81" t="s">
        <v>6</v>
      </c>
      <c r="B10" s="185" t="s">
        <v>368</v>
      </c>
    </row>
    <row r="11" spans="1:9" x14ac:dyDescent="0.25">
      <c r="A11" s="81" t="s">
        <v>299</v>
      </c>
      <c r="B11" s="185" t="s">
        <v>364</v>
      </c>
    </row>
    <row r="12" spans="1:9" x14ac:dyDescent="0.25">
      <c r="A12" s="81" t="s">
        <v>301</v>
      </c>
      <c r="B12" s="185" t="s">
        <v>365</v>
      </c>
    </row>
    <row r="13" spans="1:9" x14ac:dyDescent="0.25">
      <c r="A13" s="81" t="s">
        <v>806</v>
      </c>
      <c r="B13" s="185">
        <v>1</v>
      </c>
    </row>
    <row r="14" spans="1:9" x14ac:dyDescent="0.25">
      <c r="A14" s="81" t="s">
        <v>305</v>
      </c>
      <c r="B14" s="185">
        <v>617</v>
      </c>
    </row>
    <row r="15" spans="1:9" x14ac:dyDescent="0.25">
      <c r="A15" s="81" t="s">
        <v>307</v>
      </c>
      <c r="B15" s="185" t="s">
        <v>563</v>
      </c>
    </row>
    <row r="16" spans="1:9" x14ac:dyDescent="0.25">
      <c r="A16" s="81" t="s">
        <v>825</v>
      </c>
      <c r="B16" s="185" t="s">
        <v>564</v>
      </c>
    </row>
    <row r="17" spans="1:2" ht="105.6" customHeight="1" x14ac:dyDescent="0.25">
      <c r="A17" s="81" t="s">
        <v>803</v>
      </c>
      <c r="B17" s="185"/>
    </row>
    <row r="18" spans="1:2" x14ac:dyDescent="0.25">
      <c r="A18" s="81" t="s">
        <v>313</v>
      </c>
      <c r="B18" s="188">
        <v>45071</v>
      </c>
    </row>
    <row r="19" spans="1:2" x14ac:dyDescent="0.25">
      <c r="A19" s="81" t="s">
        <v>315</v>
      </c>
      <c r="B19" s="188"/>
    </row>
    <row r="20" spans="1:2" x14ac:dyDescent="0.25">
      <c r="A20" s="81" t="s">
        <v>317</v>
      </c>
      <c r="B20" s="185" t="s">
        <v>331</v>
      </c>
    </row>
    <row r="21" spans="1:2" x14ac:dyDescent="0.25">
      <c r="A21" s="77" t="s">
        <v>323</v>
      </c>
      <c r="B21" s="185" t="s">
        <v>332</v>
      </c>
    </row>
    <row r="23" spans="1:2" x14ac:dyDescent="0.25">
      <c r="B23" s="102" t="str">
        <f>HYPERLINK("#'Factor List'!A1","Back to Factor List")</f>
        <v>Back to Factor List</v>
      </c>
    </row>
    <row r="24" spans="1:2" x14ac:dyDescent="0.25">
      <c r="B24" s="102" t="s">
        <v>13</v>
      </c>
    </row>
    <row r="25" spans="1:2" x14ac:dyDescent="0.25">
      <c r="B25" s="102"/>
    </row>
    <row r="26" spans="1:2" x14ac:dyDescent="0.25">
      <c r="A26" s="103" t="s">
        <v>948</v>
      </c>
      <c r="B26" s="103" t="s">
        <v>824</v>
      </c>
    </row>
    <row r="27" spans="1:2" x14ac:dyDescent="0.25">
      <c r="A27" s="104">
        <v>0</v>
      </c>
      <c r="B27" s="105">
        <v>1</v>
      </c>
    </row>
    <row r="28" spans="1:2" x14ac:dyDescent="0.25">
      <c r="A28" s="104">
        <v>1</v>
      </c>
      <c r="B28" s="105">
        <v>1.02</v>
      </c>
    </row>
    <row r="29" spans="1:2" x14ac:dyDescent="0.25">
      <c r="A29" s="104">
        <v>2</v>
      </c>
      <c r="B29" s="105">
        <v>1.04</v>
      </c>
    </row>
    <row r="30" spans="1:2" x14ac:dyDescent="0.25">
      <c r="A30" s="104">
        <v>3</v>
      </c>
      <c r="B30" s="105">
        <v>1.06</v>
      </c>
    </row>
    <row r="31" spans="1:2" x14ac:dyDescent="0.25">
      <c r="A31" s="104">
        <v>4</v>
      </c>
      <c r="B31" s="105">
        <v>1.08</v>
      </c>
    </row>
    <row r="32" spans="1:2" x14ac:dyDescent="0.25">
      <c r="A32" s="104">
        <v>5</v>
      </c>
      <c r="B32" s="105">
        <v>1.1000000000000001</v>
      </c>
    </row>
    <row r="33" spans="1:2" x14ac:dyDescent="0.25">
      <c r="A33" s="104">
        <v>6</v>
      </c>
      <c r="B33" s="105">
        <v>1.1299999999999999</v>
      </c>
    </row>
    <row r="34" spans="1:2" x14ac:dyDescent="0.25">
      <c r="A34" s="104">
        <v>7</v>
      </c>
      <c r="B34" s="105">
        <v>1.1499999999999999</v>
      </c>
    </row>
    <row r="35" spans="1:2" x14ac:dyDescent="0.25">
      <c r="A35" s="104">
        <v>8</v>
      </c>
      <c r="B35" s="105">
        <v>1.17</v>
      </c>
    </row>
    <row r="36" spans="1:2" x14ac:dyDescent="0.25">
      <c r="A36" s="104">
        <v>9</v>
      </c>
      <c r="B36" s="105">
        <v>1.2</v>
      </c>
    </row>
    <row r="37" spans="1:2" x14ac:dyDescent="0.25">
      <c r="A37" s="104">
        <v>10</v>
      </c>
      <c r="B37" s="105">
        <v>1.22</v>
      </c>
    </row>
    <row r="38" spans="1:2" x14ac:dyDescent="0.25">
      <c r="A38" s="104">
        <v>11</v>
      </c>
      <c r="B38" s="105">
        <v>1.24</v>
      </c>
    </row>
    <row r="39" spans="1:2" x14ac:dyDescent="0.25">
      <c r="A39" s="104">
        <v>12</v>
      </c>
      <c r="B39" s="105">
        <v>1.27</v>
      </c>
    </row>
    <row r="40" spans="1:2" x14ac:dyDescent="0.25">
      <c r="A40" s="104">
        <v>13</v>
      </c>
      <c r="B40" s="105">
        <v>1.29</v>
      </c>
    </row>
    <row r="41" spans="1:2" x14ac:dyDescent="0.25">
      <c r="A41" s="104">
        <v>14</v>
      </c>
      <c r="B41" s="105">
        <v>1.32</v>
      </c>
    </row>
    <row r="42" spans="1:2" x14ac:dyDescent="0.25">
      <c r="A42" s="104">
        <v>15</v>
      </c>
      <c r="B42" s="105">
        <v>1.35</v>
      </c>
    </row>
    <row r="43" spans="1:2" x14ac:dyDescent="0.25">
      <c r="A43" s="104">
        <v>16</v>
      </c>
      <c r="B43" s="105">
        <v>1.37</v>
      </c>
    </row>
    <row r="44" spans="1:2" x14ac:dyDescent="0.25">
      <c r="A44" s="104">
        <v>17</v>
      </c>
      <c r="B44" s="105">
        <v>1.4</v>
      </c>
    </row>
    <row r="45" spans="1:2" x14ac:dyDescent="0.25">
      <c r="A45" s="104">
        <v>18</v>
      </c>
      <c r="B45" s="105">
        <v>1.43</v>
      </c>
    </row>
    <row r="46" spans="1:2" x14ac:dyDescent="0.25">
      <c r="A46" s="104">
        <v>19</v>
      </c>
      <c r="B46" s="105">
        <v>1.46</v>
      </c>
    </row>
    <row r="47" spans="1:2" x14ac:dyDescent="0.25">
      <c r="A47" s="104">
        <v>20</v>
      </c>
      <c r="B47" s="105">
        <v>1.49</v>
      </c>
    </row>
    <row r="48" spans="1:2" x14ac:dyDescent="0.25">
      <c r="A48" s="104">
        <v>21</v>
      </c>
      <c r="B48" s="105">
        <v>1.52</v>
      </c>
    </row>
    <row r="49" spans="1:2" x14ac:dyDescent="0.25">
      <c r="A49" s="104">
        <v>22</v>
      </c>
      <c r="B49" s="105">
        <v>1.55</v>
      </c>
    </row>
    <row r="50" spans="1:2" x14ac:dyDescent="0.25">
      <c r="A50" s="104">
        <v>23</v>
      </c>
      <c r="B50" s="105">
        <v>1.58</v>
      </c>
    </row>
    <row r="51" spans="1:2" x14ac:dyDescent="0.25">
      <c r="A51" s="104">
        <v>24</v>
      </c>
      <c r="B51" s="105">
        <v>1.61</v>
      </c>
    </row>
    <row r="52" spans="1:2" x14ac:dyDescent="0.25">
      <c r="A52" s="104">
        <v>25</v>
      </c>
      <c r="B52" s="105">
        <v>1.64</v>
      </c>
    </row>
    <row r="53" spans="1:2" x14ac:dyDescent="0.25">
      <c r="A53" s="104">
        <v>26</v>
      </c>
      <c r="B53" s="105">
        <v>1.67</v>
      </c>
    </row>
    <row r="54" spans="1:2" x14ac:dyDescent="0.25">
      <c r="A54" s="104">
        <v>27</v>
      </c>
      <c r="B54" s="105">
        <v>1.71</v>
      </c>
    </row>
    <row r="55" spans="1:2" x14ac:dyDescent="0.25">
      <c r="A55" s="104">
        <v>28</v>
      </c>
      <c r="B55" s="105">
        <v>1.74</v>
      </c>
    </row>
    <row r="56" spans="1:2" x14ac:dyDescent="0.25">
      <c r="A56" s="104">
        <v>29</v>
      </c>
      <c r="B56" s="105">
        <v>1.78</v>
      </c>
    </row>
    <row r="57" spans="1:2" x14ac:dyDescent="0.25">
      <c r="A57" s="104">
        <v>30</v>
      </c>
      <c r="B57" s="105">
        <v>1.81</v>
      </c>
    </row>
    <row r="58" spans="1:2" x14ac:dyDescent="0.25">
      <c r="A58" s="104">
        <v>31</v>
      </c>
      <c r="B58" s="105">
        <v>1.85</v>
      </c>
    </row>
    <row r="59" spans="1:2" x14ac:dyDescent="0.25">
      <c r="A59" s="104">
        <v>32</v>
      </c>
      <c r="B59" s="105">
        <v>1.88</v>
      </c>
    </row>
    <row r="60" spans="1:2" x14ac:dyDescent="0.25">
      <c r="A60" s="104">
        <v>33</v>
      </c>
      <c r="B60" s="105">
        <v>1.92</v>
      </c>
    </row>
    <row r="61" spans="1:2" x14ac:dyDescent="0.25">
      <c r="A61" s="104">
        <v>34</v>
      </c>
      <c r="B61" s="105">
        <v>1.96</v>
      </c>
    </row>
    <row r="62" spans="1:2" x14ac:dyDescent="0.25">
      <c r="A62" s="104">
        <v>35</v>
      </c>
      <c r="B62" s="105">
        <v>2</v>
      </c>
    </row>
    <row r="63" spans="1:2" x14ac:dyDescent="0.25">
      <c r="A63" s="104">
        <v>36</v>
      </c>
      <c r="B63" s="105">
        <v>2.04</v>
      </c>
    </row>
    <row r="64" spans="1:2" x14ac:dyDescent="0.25">
      <c r="A64" s="104">
        <v>37</v>
      </c>
      <c r="B64" s="105">
        <v>2.08</v>
      </c>
    </row>
    <row r="65" spans="1:2" x14ac:dyDescent="0.25">
      <c r="A65" s="104">
        <v>38</v>
      </c>
      <c r="B65" s="105">
        <v>2.12</v>
      </c>
    </row>
    <row r="66" spans="1:2" x14ac:dyDescent="0.25">
      <c r="A66" s="104">
        <v>39</v>
      </c>
      <c r="B66" s="105">
        <v>2.16</v>
      </c>
    </row>
    <row r="67" spans="1:2" x14ac:dyDescent="0.25">
      <c r="A67" s="104">
        <v>40</v>
      </c>
      <c r="B67" s="105">
        <v>2.21</v>
      </c>
    </row>
    <row r="68" spans="1:2" x14ac:dyDescent="0.25">
      <c r="A68" s="104">
        <v>41</v>
      </c>
      <c r="B68" s="105">
        <v>2.25</v>
      </c>
    </row>
    <row r="69" spans="1:2" x14ac:dyDescent="0.25">
      <c r="A69" s="104">
        <v>42</v>
      </c>
      <c r="B69" s="105">
        <v>2.2999999999999998</v>
      </c>
    </row>
    <row r="70" spans="1:2" x14ac:dyDescent="0.25">
      <c r="A70" s="104">
        <v>43</v>
      </c>
      <c r="B70" s="105">
        <v>2.34</v>
      </c>
    </row>
    <row r="71" spans="1:2" x14ac:dyDescent="0.25">
      <c r="A71" s="104">
        <v>44</v>
      </c>
      <c r="B71" s="105">
        <v>2.39</v>
      </c>
    </row>
    <row r="72" spans="1:2" x14ac:dyDescent="0.25">
      <c r="A72" s="104">
        <v>45</v>
      </c>
      <c r="B72" s="105">
        <v>2.44</v>
      </c>
    </row>
    <row r="73" spans="1:2" x14ac:dyDescent="0.25">
      <c r="A73" s="104">
        <v>46</v>
      </c>
      <c r="B73" s="105">
        <v>2.4900000000000002</v>
      </c>
    </row>
    <row r="74" spans="1:2" x14ac:dyDescent="0.25">
      <c r="A74" s="104">
        <v>47</v>
      </c>
      <c r="B74" s="105">
        <v>2.54</v>
      </c>
    </row>
    <row r="75" spans="1:2" x14ac:dyDescent="0.25">
      <c r="A75" s="104">
        <v>48</v>
      </c>
      <c r="B75" s="105">
        <v>2.59</v>
      </c>
    </row>
    <row r="76" spans="1:2" x14ac:dyDescent="0.25">
      <c r="A76" s="104">
        <v>49</v>
      </c>
      <c r="B76" s="105">
        <v>2.64</v>
      </c>
    </row>
    <row r="77" spans="1:2" x14ac:dyDescent="0.25">
      <c r="A77" s="104">
        <v>50</v>
      </c>
      <c r="B77" s="105">
        <v>2.69</v>
      </c>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x14ac:dyDescent="0.25">
      <c r="A93"/>
      <c r="B93"/>
    </row>
    <row r="94" spans="1:2" ht="12.75" customHeight="1" x14ac:dyDescent="0.25">
      <c r="A94"/>
      <c r="B94"/>
    </row>
    <row r="95" spans="1:2" x14ac:dyDescent="0.25">
      <c r="A95"/>
      <c r="B95"/>
    </row>
    <row r="96" spans="1:2" ht="11.25" customHeight="1" x14ac:dyDescent="0.25">
      <c r="A96"/>
      <c r="B96"/>
    </row>
    <row r="97" spans="1:2" x14ac:dyDescent="0.25">
      <c r="A97"/>
      <c r="B97"/>
    </row>
    <row r="98" spans="1:2" x14ac:dyDescent="0.25">
      <c r="A98"/>
      <c r="B98"/>
    </row>
    <row r="99" spans="1:2" x14ac:dyDescent="0.25">
      <c r="A99"/>
      <c r="B99"/>
    </row>
    <row r="100" spans="1:2" x14ac:dyDescent="0.25">
      <c r="A100"/>
      <c r="B100"/>
    </row>
    <row r="101" spans="1:2" x14ac:dyDescent="0.25">
      <c r="A101"/>
      <c r="B101"/>
    </row>
    <row r="102" spans="1:2" x14ac:dyDescent="0.25">
      <c r="A102"/>
      <c r="B102"/>
    </row>
    <row r="103" spans="1:2" x14ac:dyDescent="0.25">
      <c r="A103"/>
      <c r="B103"/>
    </row>
    <row r="104" spans="1:2" x14ac:dyDescent="0.25">
      <c r="A104"/>
      <c r="B104"/>
    </row>
    <row r="105" spans="1:2" x14ac:dyDescent="0.25">
      <c r="A105"/>
      <c r="B105"/>
    </row>
    <row r="106" spans="1:2" x14ac:dyDescent="0.25">
      <c r="A106"/>
      <c r="B106"/>
    </row>
    <row r="107" spans="1:2" x14ac:dyDescent="0.25">
      <c r="A107"/>
      <c r="B107"/>
    </row>
    <row r="108" spans="1:2" x14ac:dyDescent="0.25">
      <c r="A108"/>
      <c r="B108"/>
    </row>
    <row r="109" spans="1:2" x14ac:dyDescent="0.25">
      <c r="A109"/>
      <c r="B109"/>
    </row>
    <row r="110" spans="1:2" x14ac:dyDescent="0.25">
      <c r="A110"/>
      <c r="B110"/>
    </row>
    <row r="111" spans="1:2" x14ac:dyDescent="0.25">
      <c r="A111"/>
      <c r="B111"/>
    </row>
    <row r="112" spans="1:2" x14ac:dyDescent="0.25">
      <c r="A112"/>
      <c r="B112"/>
    </row>
    <row r="113" spans="1:2" x14ac:dyDescent="0.25">
      <c r="A113"/>
      <c r="B113"/>
    </row>
    <row r="114" spans="1:2" x14ac:dyDescent="0.25">
      <c r="A114"/>
      <c r="B114"/>
    </row>
    <row r="115" spans="1:2" x14ac:dyDescent="0.25">
      <c r="A115"/>
      <c r="B115"/>
    </row>
    <row r="116" spans="1:2" x14ac:dyDescent="0.25">
      <c r="A116"/>
      <c r="B116"/>
    </row>
    <row r="117" spans="1:2" x14ac:dyDescent="0.25">
      <c r="A117"/>
      <c r="B117"/>
    </row>
    <row r="118" spans="1:2" x14ac:dyDescent="0.25">
      <c r="A118"/>
      <c r="B118"/>
    </row>
    <row r="119" spans="1:2" x14ac:dyDescent="0.25">
      <c r="A119"/>
      <c r="B119"/>
    </row>
    <row r="120" spans="1:2" x14ac:dyDescent="0.25">
      <c r="A120"/>
      <c r="B120"/>
    </row>
    <row r="121" spans="1:2" x14ac:dyDescent="0.25">
      <c r="A121"/>
      <c r="B121"/>
    </row>
    <row r="122" spans="1:2" x14ac:dyDescent="0.25">
      <c r="A122"/>
      <c r="B122"/>
    </row>
    <row r="123" spans="1:2" x14ac:dyDescent="0.25">
      <c r="A123"/>
      <c r="B123"/>
    </row>
    <row r="124" spans="1:2" x14ac:dyDescent="0.25">
      <c r="A124"/>
      <c r="B124"/>
    </row>
    <row r="125" spans="1:2" x14ac:dyDescent="0.25">
      <c r="A125"/>
      <c r="B125"/>
    </row>
    <row r="126" spans="1:2" x14ac:dyDescent="0.25">
      <c r="A126"/>
      <c r="B126"/>
    </row>
    <row r="127" spans="1:2" x14ac:dyDescent="0.25">
      <c r="A127"/>
      <c r="B127"/>
    </row>
  </sheetData>
  <sheetProtection algorithmName="SHA-512" hashValue="MYu6OSUm4VpWYZ7TWg6u8OQtVU72EVhIpafCgoKqEjiV925ydi0Lvh113mV/N28h5BvjdgPT+lH7xvIuZnPUXA==" saltValue="F4UTeOqx4XpNWdQmRAEZ7Q==" spinCount="100000" sheet="1" objects="1" scenarios="1"/>
  <conditionalFormatting sqref="A6:A21">
    <cfRule type="expression" dxfId="657" priority="1" stopIfTrue="1">
      <formula>MOD(ROW(),2)=0</formula>
    </cfRule>
    <cfRule type="expression" dxfId="656" priority="2" stopIfTrue="1">
      <formula>MOD(ROW(),2)&lt;&gt;0</formula>
    </cfRule>
  </conditionalFormatting>
  <conditionalFormatting sqref="A26:A77">
    <cfRule type="expression" dxfId="655" priority="5" stopIfTrue="1">
      <formula>MOD(ROW(),2)=0</formula>
    </cfRule>
    <cfRule type="expression" dxfId="654" priority="6" stopIfTrue="1">
      <formula>MOD(ROW(),2)&lt;&gt;0</formula>
    </cfRule>
  </conditionalFormatting>
  <conditionalFormatting sqref="B6 B8:B16">
    <cfRule type="expression" dxfId="653" priority="39" stopIfTrue="1">
      <formula>MOD(ROW(),2)=0</formula>
    </cfRule>
    <cfRule type="expression" dxfId="652" priority="40" stopIfTrue="1">
      <formula>MOD(ROW(),2)&lt;&gt;0</formula>
    </cfRule>
  </conditionalFormatting>
  <conditionalFormatting sqref="B6:B21">
    <cfRule type="expression" dxfId="651" priority="25" stopIfTrue="1">
      <formula>MOD(ROW(),2)=0</formula>
    </cfRule>
    <cfRule type="expression" dxfId="650" priority="26" stopIfTrue="1">
      <formula>MOD(ROW(),2)&lt;&gt;0</formula>
    </cfRule>
  </conditionalFormatting>
  <conditionalFormatting sqref="B17:B21">
    <cfRule type="expression" dxfId="649" priority="3" stopIfTrue="1">
      <formula>MOD(ROW(),2)=0</formula>
    </cfRule>
    <cfRule type="expression" dxfId="648" priority="4" stopIfTrue="1">
      <formula>MOD(ROW(),2)&lt;&gt;0</formula>
    </cfRule>
  </conditionalFormatting>
  <conditionalFormatting sqref="B26:B77">
    <cfRule type="expression" dxfId="647" priority="7" stopIfTrue="1">
      <formula>MOD(ROW(),2)=0</formula>
    </cfRule>
    <cfRule type="expression" dxfId="646" priority="8" stopIfTrue="1">
      <formula>MOD(ROW(),2)&lt;&gt;0</formula>
    </cfRule>
  </conditionalFormatting>
  <hyperlinks>
    <hyperlink ref="B24" location="Sheet1!A1" display="Assumptions" xr:uid="{454E88D4-AA09-49F8-A61F-10B83BC2E52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34"/>
  <dimension ref="A1:I65"/>
  <sheetViews>
    <sheetView showGridLines="0" zoomScale="85" zoomScaleNormal="85" workbookViewId="0">
      <selection activeCell="A4" sqref="A4"/>
    </sheetView>
  </sheetViews>
  <sheetFormatPr defaultColWidth="10" defaultRowHeight="13.2" x14ac:dyDescent="0.25"/>
  <cols>
    <col min="1" max="1" width="31.5546875" style="27" customWidth="1"/>
    <col min="2" max="7" width="22.5546875" style="27" customWidth="1"/>
    <col min="8"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ARBO - x-701</v>
      </c>
      <c r="B3" s="42"/>
      <c r="C3" s="42"/>
      <c r="D3" s="42"/>
      <c r="E3" s="42"/>
      <c r="F3" s="42"/>
      <c r="G3" s="42"/>
      <c r="H3" s="42"/>
      <c r="I3" s="42"/>
    </row>
    <row r="4" spans="1:9" x14ac:dyDescent="0.25">
      <c r="A4" s="44"/>
    </row>
    <row r="6" spans="1:9" x14ac:dyDescent="0.25">
      <c r="A6" s="76" t="s">
        <v>290</v>
      </c>
      <c r="B6" s="129" t="s">
        <v>291</v>
      </c>
      <c r="C6" s="129"/>
      <c r="D6" s="129"/>
      <c r="E6" s="129"/>
      <c r="F6" s="129"/>
      <c r="G6" s="129"/>
    </row>
    <row r="7" spans="1:9" x14ac:dyDescent="0.25">
      <c r="A7" s="77" t="s">
        <v>804</v>
      </c>
      <c r="B7" s="129" t="s">
        <v>324</v>
      </c>
      <c r="C7" s="129"/>
      <c r="D7" s="129"/>
      <c r="E7" s="129"/>
      <c r="F7" s="129"/>
      <c r="G7" s="129"/>
    </row>
    <row r="8" spans="1:9" x14ac:dyDescent="0.25">
      <c r="A8" s="77" t="s">
        <v>805</v>
      </c>
      <c r="B8" s="129" t="s">
        <v>85</v>
      </c>
      <c r="C8" s="129"/>
      <c r="D8" s="129"/>
      <c r="E8" s="129"/>
      <c r="F8" s="129"/>
      <c r="G8" s="129"/>
    </row>
    <row r="9" spans="1:9" x14ac:dyDescent="0.25">
      <c r="A9" s="77" t="s">
        <v>296</v>
      </c>
      <c r="B9" s="129" t="s">
        <v>565</v>
      </c>
      <c r="C9" s="129"/>
      <c r="D9" s="129"/>
      <c r="E9" s="129"/>
      <c r="F9" s="129"/>
      <c r="G9" s="129"/>
    </row>
    <row r="10" spans="1:9" x14ac:dyDescent="0.25">
      <c r="A10" s="77" t="s">
        <v>6</v>
      </c>
      <c r="B10" s="129" t="s">
        <v>566</v>
      </c>
      <c r="C10" s="129"/>
      <c r="D10" s="129"/>
      <c r="E10" s="129"/>
      <c r="F10" s="129"/>
      <c r="G10" s="129"/>
    </row>
    <row r="11" spans="1:9" x14ac:dyDescent="0.25">
      <c r="A11" s="77" t="s">
        <v>299</v>
      </c>
      <c r="B11" s="129" t="s">
        <v>364</v>
      </c>
      <c r="C11" s="129"/>
      <c r="D11" s="129"/>
      <c r="E11" s="129"/>
      <c r="F11" s="129"/>
      <c r="G11" s="129"/>
    </row>
    <row r="12" spans="1:9" x14ac:dyDescent="0.25">
      <c r="A12" s="77" t="s">
        <v>301</v>
      </c>
      <c r="B12" s="129" t="s">
        <v>567</v>
      </c>
      <c r="C12" s="129"/>
      <c r="D12" s="129"/>
      <c r="E12" s="129"/>
      <c r="F12" s="129"/>
      <c r="G12" s="129"/>
    </row>
    <row r="13" spans="1:9" x14ac:dyDescent="0.25">
      <c r="A13" s="77" t="s">
        <v>806</v>
      </c>
      <c r="B13" s="129">
        <v>0</v>
      </c>
      <c r="C13" s="129"/>
      <c r="D13" s="129"/>
      <c r="E13" s="129"/>
      <c r="F13" s="129"/>
      <c r="G13" s="129"/>
    </row>
    <row r="14" spans="1:9" x14ac:dyDescent="0.25">
      <c r="A14" s="77" t="s">
        <v>305</v>
      </c>
      <c r="B14" s="129">
        <v>701</v>
      </c>
      <c r="C14" s="129"/>
      <c r="D14" s="129"/>
      <c r="E14" s="129"/>
      <c r="F14" s="129"/>
      <c r="G14" s="129"/>
    </row>
    <row r="15" spans="1:9" x14ac:dyDescent="0.25">
      <c r="A15" s="77" t="s">
        <v>307</v>
      </c>
      <c r="B15" s="129" t="s">
        <v>568</v>
      </c>
      <c r="C15" s="129"/>
      <c r="D15" s="129"/>
      <c r="E15" s="129"/>
      <c r="F15" s="129"/>
      <c r="G15" s="129"/>
    </row>
    <row r="16" spans="1:9" x14ac:dyDescent="0.25">
      <c r="A16" s="77" t="s">
        <v>309</v>
      </c>
      <c r="B16" s="129" t="s">
        <v>569</v>
      </c>
      <c r="C16" s="129"/>
      <c r="D16" s="129"/>
      <c r="E16" s="129"/>
      <c r="F16" s="129"/>
      <c r="G16" s="129"/>
    </row>
    <row r="17" spans="1:7" x14ac:dyDescent="0.25">
      <c r="A17" s="77" t="s">
        <v>803</v>
      </c>
      <c r="B17" s="129"/>
      <c r="C17" s="129"/>
      <c r="D17" s="129"/>
      <c r="E17" s="129"/>
      <c r="F17" s="129"/>
      <c r="G17" s="129"/>
    </row>
    <row r="18" spans="1:7" x14ac:dyDescent="0.25">
      <c r="A18" s="77" t="s">
        <v>313</v>
      </c>
      <c r="B18" s="187">
        <v>45135</v>
      </c>
      <c r="C18" s="129"/>
      <c r="D18" s="129"/>
      <c r="E18" s="129"/>
      <c r="F18" s="129"/>
      <c r="G18" s="129"/>
    </row>
    <row r="19" spans="1:7" x14ac:dyDescent="0.25">
      <c r="A19" s="77" t="s">
        <v>315</v>
      </c>
      <c r="B19" s="187"/>
      <c r="C19" s="129"/>
      <c r="D19" s="129"/>
      <c r="E19" s="129"/>
      <c r="F19" s="129"/>
      <c r="G19" s="129"/>
    </row>
    <row r="20" spans="1:7" x14ac:dyDescent="0.25">
      <c r="A20" s="77" t="s">
        <v>317</v>
      </c>
      <c r="B20" s="129" t="s">
        <v>331</v>
      </c>
      <c r="C20" s="129"/>
      <c r="D20" s="129"/>
      <c r="E20" s="129"/>
      <c r="F20" s="129"/>
      <c r="G20" s="129"/>
    </row>
    <row r="21" spans="1:7" x14ac:dyDescent="0.25">
      <c r="A21" s="77" t="s">
        <v>323</v>
      </c>
      <c r="B21" s="129" t="s">
        <v>332</v>
      </c>
      <c r="C21" s="129"/>
      <c r="D21" s="129"/>
      <c r="E21" s="129"/>
      <c r="F21" s="129"/>
      <c r="G21" s="129"/>
    </row>
    <row r="23" spans="1:7" x14ac:dyDescent="0.25">
      <c r="B23" s="102" t="str">
        <f>HYPERLINK("#'Factor List'!A1","Back to Factor List")</f>
        <v>Back to Factor List</v>
      </c>
    </row>
    <row r="24" spans="1:7" x14ac:dyDescent="0.25">
      <c r="B24" s="102" t="s">
        <v>13</v>
      </c>
    </row>
    <row r="25" spans="1:7" x14ac:dyDescent="0.25">
      <c r="B25" s="102"/>
    </row>
    <row r="26" spans="1:7" x14ac:dyDescent="0.25">
      <c r="A26" s="103" t="s">
        <v>855</v>
      </c>
      <c r="B26" s="103">
        <v>55</v>
      </c>
      <c r="C26" s="103">
        <v>56</v>
      </c>
      <c r="D26" s="103">
        <v>57</v>
      </c>
      <c r="E26" s="103">
        <v>58</v>
      </c>
      <c r="F26" s="103">
        <v>59</v>
      </c>
      <c r="G26" s="103">
        <v>60</v>
      </c>
    </row>
    <row r="27" spans="1:7" x14ac:dyDescent="0.25">
      <c r="A27" s="104">
        <v>0</v>
      </c>
      <c r="B27" s="105">
        <v>4.75</v>
      </c>
      <c r="C27" s="105">
        <v>3.84</v>
      </c>
      <c r="D27" s="105">
        <v>2.9</v>
      </c>
      <c r="E27" s="105">
        <v>1.95</v>
      </c>
      <c r="F27" s="105">
        <v>0.99</v>
      </c>
      <c r="G27" s="105">
        <v>0</v>
      </c>
    </row>
    <row r="28" spans="1:7" x14ac:dyDescent="0.25">
      <c r="A28" s="104">
        <v>1</v>
      </c>
      <c r="B28" s="105">
        <v>4.68</v>
      </c>
      <c r="C28" s="105">
        <v>3.76</v>
      </c>
      <c r="D28" s="105">
        <v>2.83</v>
      </c>
      <c r="E28" s="105">
        <v>1.87</v>
      </c>
      <c r="F28" s="105">
        <v>0.9</v>
      </c>
      <c r="G28" s="105"/>
    </row>
    <row r="29" spans="1:7" x14ac:dyDescent="0.25">
      <c r="A29" s="104">
        <v>2</v>
      </c>
      <c r="B29" s="105">
        <v>4.5999999999999996</v>
      </c>
      <c r="C29" s="105">
        <v>3.68</v>
      </c>
      <c r="D29" s="105">
        <v>2.75</v>
      </c>
      <c r="E29" s="105">
        <v>1.79</v>
      </c>
      <c r="F29" s="105">
        <v>0.82</v>
      </c>
      <c r="G29" s="105"/>
    </row>
    <row r="30" spans="1:7" x14ac:dyDescent="0.25">
      <c r="A30" s="104">
        <v>3</v>
      </c>
      <c r="B30" s="105">
        <v>4.5199999999999996</v>
      </c>
      <c r="C30" s="105">
        <v>3.6</v>
      </c>
      <c r="D30" s="105">
        <v>2.67</v>
      </c>
      <c r="E30" s="105">
        <v>1.71</v>
      </c>
      <c r="F30" s="105">
        <v>0.74</v>
      </c>
      <c r="G30" s="105"/>
    </row>
    <row r="31" spans="1:7" x14ac:dyDescent="0.25">
      <c r="A31" s="104">
        <v>4</v>
      </c>
      <c r="B31" s="105">
        <v>4.45</v>
      </c>
      <c r="C31" s="105">
        <v>3.53</v>
      </c>
      <c r="D31" s="105">
        <v>2.59</v>
      </c>
      <c r="E31" s="105">
        <v>1.63</v>
      </c>
      <c r="F31" s="105">
        <v>0.66</v>
      </c>
      <c r="G31" s="105"/>
    </row>
    <row r="32" spans="1:7" x14ac:dyDescent="0.25">
      <c r="A32" s="104">
        <v>5</v>
      </c>
      <c r="B32" s="105">
        <v>4.37</v>
      </c>
      <c r="C32" s="105">
        <v>3.45</v>
      </c>
      <c r="D32" s="105">
        <v>2.5099999999999998</v>
      </c>
      <c r="E32" s="105">
        <v>1.55</v>
      </c>
      <c r="F32" s="105">
        <v>0.57999999999999996</v>
      </c>
      <c r="G32" s="105"/>
    </row>
    <row r="33" spans="1:7" x14ac:dyDescent="0.25">
      <c r="A33" s="104">
        <v>6</v>
      </c>
      <c r="B33" s="105">
        <v>4.29</v>
      </c>
      <c r="C33" s="105">
        <v>3.37</v>
      </c>
      <c r="D33" s="105">
        <v>2.4300000000000002</v>
      </c>
      <c r="E33" s="105">
        <v>1.47</v>
      </c>
      <c r="F33" s="105">
        <v>0.49</v>
      </c>
      <c r="G33" s="105"/>
    </row>
    <row r="34" spans="1:7" x14ac:dyDescent="0.25">
      <c r="A34" s="104">
        <v>7</v>
      </c>
      <c r="B34" s="105">
        <v>4.22</v>
      </c>
      <c r="C34" s="105">
        <v>3.29</v>
      </c>
      <c r="D34" s="105">
        <v>2.35</v>
      </c>
      <c r="E34" s="105">
        <v>1.39</v>
      </c>
      <c r="F34" s="105">
        <v>0.41</v>
      </c>
      <c r="G34" s="105"/>
    </row>
    <row r="35" spans="1:7" x14ac:dyDescent="0.25">
      <c r="A35" s="104">
        <v>8</v>
      </c>
      <c r="B35" s="105">
        <v>4.1399999999999997</v>
      </c>
      <c r="C35" s="105">
        <v>3.22</v>
      </c>
      <c r="D35" s="105">
        <v>2.27</v>
      </c>
      <c r="E35" s="105">
        <v>1.31</v>
      </c>
      <c r="F35" s="105">
        <v>0.33</v>
      </c>
      <c r="G35" s="105"/>
    </row>
    <row r="36" spans="1:7" x14ac:dyDescent="0.25">
      <c r="A36" s="104">
        <v>9</v>
      </c>
      <c r="B36" s="105">
        <v>4.07</v>
      </c>
      <c r="C36" s="105">
        <v>3.14</v>
      </c>
      <c r="D36" s="105">
        <v>2.19</v>
      </c>
      <c r="E36" s="105">
        <v>1.23</v>
      </c>
      <c r="F36" s="105">
        <v>0.25</v>
      </c>
      <c r="G36" s="105"/>
    </row>
    <row r="37" spans="1:7" x14ac:dyDescent="0.25">
      <c r="A37" s="104">
        <v>10</v>
      </c>
      <c r="B37" s="105">
        <v>3.99</v>
      </c>
      <c r="C37" s="105">
        <v>3.06</v>
      </c>
      <c r="D37" s="105">
        <v>2.11</v>
      </c>
      <c r="E37" s="105">
        <v>1.1499999999999999</v>
      </c>
      <c r="F37" s="105">
        <v>0.16</v>
      </c>
      <c r="G37" s="105"/>
    </row>
    <row r="38" spans="1:7" x14ac:dyDescent="0.25">
      <c r="A38" s="104">
        <v>11</v>
      </c>
      <c r="B38" s="105">
        <v>3.91</v>
      </c>
      <c r="C38" s="105">
        <v>2.98</v>
      </c>
      <c r="D38" s="105">
        <v>2.0299999999999998</v>
      </c>
      <c r="E38" s="105">
        <v>1.07</v>
      </c>
      <c r="F38" s="105">
        <v>0.08</v>
      </c>
      <c r="G38" s="105"/>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 customHeight="1" x14ac:dyDescent="0.25">
      <c r="A44"/>
      <c r="B44"/>
    </row>
    <row r="45" spans="1:7" x14ac:dyDescent="0.25">
      <c r="A45"/>
      <c r="B45"/>
    </row>
    <row r="46" spans="1:7" ht="27.6"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56CatyBb5mJGCnvUIh8z1/W63Id0O2Z7FZiZqlgFnmRLWXg+DhsfZDKFur7QCsaHV2/OuHDYVlxaIW2w32VyjA==" saltValue="6QF1qUZlNJWqid0AwctTSg==" spinCount="100000" sheet="1" objects="1" scenarios="1"/>
  <conditionalFormatting sqref="A6:A21">
    <cfRule type="expression" dxfId="645" priority="1" stopIfTrue="1">
      <formula>MOD(ROW(),2)=0</formula>
    </cfRule>
    <cfRule type="expression" dxfId="644" priority="2" stopIfTrue="1">
      <formula>MOD(ROW(),2)&lt;&gt;0</formula>
    </cfRule>
  </conditionalFormatting>
  <conditionalFormatting sqref="A26:A38">
    <cfRule type="expression" dxfId="643" priority="9" stopIfTrue="1">
      <formula>MOD(ROW(),2)=0</formula>
    </cfRule>
    <cfRule type="expression" dxfId="642" priority="10" stopIfTrue="1">
      <formula>MOD(ROW(),2)&lt;&gt;0</formula>
    </cfRule>
  </conditionalFormatting>
  <conditionalFormatting sqref="B17:B21">
    <cfRule type="expression" dxfId="641" priority="5" stopIfTrue="1">
      <formula>MOD(ROW(),2)=0</formula>
    </cfRule>
    <cfRule type="expression" dxfId="640" priority="6" stopIfTrue="1">
      <formula>MOD(ROW(),2)&lt;&gt;0</formula>
    </cfRule>
  </conditionalFormatting>
  <conditionalFormatting sqref="B6:G21">
    <cfRule type="expression" dxfId="639" priority="23" stopIfTrue="1">
      <formula>MOD(ROW(),2)=0</formula>
    </cfRule>
    <cfRule type="expression" dxfId="638" priority="24" stopIfTrue="1">
      <formula>MOD(ROW(),2)&lt;&gt;0</formula>
    </cfRule>
  </conditionalFormatting>
  <conditionalFormatting sqref="B26:G38">
    <cfRule type="expression" dxfId="637" priority="11" stopIfTrue="1">
      <formula>MOD(ROW(),2)=0</formula>
    </cfRule>
    <cfRule type="expression" dxfId="636" priority="12" stopIfTrue="1">
      <formula>MOD(ROW(),2)&lt;&gt;0</formula>
    </cfRule>
  </conditionalFormatting>
  <hyperlinks>
    <hyperlink ref="B24" location="Sheet1!A1" display="Assumptions" xr:uid="{5F7144A1-9C8C-4CCF-AA0D-ADA71A3D535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35"/>
  <dimension ref="A1:L65"/>
  <sheetViews>
    <sheetView showGridLines="0" zoomScale="85" zoomScaleNormal="85" workbookViewId="0">
      <selection activeCell="A4" sqref="A4"/>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39" t="s">
        <v>0</v>
      </c>
      <c r="B1" s="40"/>
      <c r="C1" s="40"/>
      <c r="D1" s="40"/>
      <c r="E1" s="40"/>
      <c r="F1" s="40"/>
      <c r="G1" s="40"/>
      <c r="H1" s="40"/>
      <c r="I1" s="40"/>
    </row>
    <row r="2" spans="1:12"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2" ht="15.6" x14ac:dyDescent="0.3">
      <c r="A3" s="43" t="str">
        <f>TABLE_FACTOR_TYPE_1&amp;" - x-"&amp;TABLE_SERIES_NUMBER_1</f>
        <v>ARBO - x-702</v>
      </c>
      <c r="B3" s="42"/>
      <c r="C3" s="42"/>
      <c r="D3" s="42"/>
      <c r="E3" s="42"/>
      <c r="F3" s="42"/>
      <c r="G3" s="42"/>
      <c r="H3" s="42"/>
      <c r="I3" s="42"/>
    </row>
    <row r="4" spans="1:12" x14ac:dyDescent="0.25">
      <c r="A4" s="44"/>
    </row>
    <row r="6" spans="1:12" x14ac:dyDescent="0.25">
      <c r="A6" s="76" t="s">
        <v>290</v>
      </c>
      <c r="B6" s="129" t="s">
        <v>291</v>
      </c>
      <c r="C6" s="129"/>
      <c r="D6" s="129"/>
      <c r="E6" s="129"/>
      <c r="F6" s="129"/>
      <c r="G6" s="129"/>
      <c r="H6" s="129"/>
      <c r="I6" s="129"/>
      <c r="J6" s="129"/>
      <c r="K6" s="129"/>
      <c r="L6" s="129"/>
    </row>
    <row r="7" spans="1:12" x14ac:dyDescent="0.25">
      <c r="A7" s="77" t="s">
        <v>804</v>
      </c>
      <c r="B7" s="129" t="s">
        <v>324</v>
      </c>
      <c r="C7" s="129"/>
      <c r="D7" s="129"/>
      <c r="E7" s="129"/>
      <c r="F7" s="129"/>
      <c r="G7" s="129"/>
      <c r="H7" s="129"/>
      <c r="I7" s="129"/>
      <c r="J7" s="129"/>
      <c r="K7" s="129"/>
      <c r="L7" s="129"/>
    </row>
    <row r="8" spans="1:12" x14ac:dyDescent="0.25">
      <c r="A8" s="77" t="s">
        <v>805</v>
      </c>
      <c r="B8" s="129" t="s">
        <v>85</v>
      </c>
      <c r="C8" s="129"/>
      <c r="D8" s="129"/>
      <c r="E8" s="129"/>
      <c r="F8" s="129"/>
      <c r="G8" s="129"/>
      <c r="H8" s="129"/>
      <c r="I8" s="129"/>
      <c r="J8" s="129"/>
      <c r="K8" s="129"/>
      <c r="L8" s="129"/>
    </row>
    <row r="9" spans="1:12" x14ac:dyDescent="0.25">
      <c r="A9" s="77" t="s">
        <v>296</v>
      </c>
      <c r="B9" s="129" t="s">
        <v>565</v>
      </c>
      <c r="C9" s="129"/>
      <c r="D9" s="129"/>
      <c r="E9" s="129"/>
      <c r="F9" s="129"/>
      <c r="G9" s="129"/>
      <c r="H9" s="129"/>
      <c r="I9" s="129"/>
      <c r="J9" s="129"/>
      <c r="K9" s="129"/>
      <c r="L9" s="129"/>
    </row>
    <row r="10" spans="1:12" x14ac:dyDescent="0.25">
      <c r="A10" s="77" t="s">
        <v>6</v>
      </c>
      <c r="B10" s="129" t="s">
        <v>570</v>
      </c>
      <c r="C10" s="129"/>
      <c r="D10" s="129"/>
      <c r="E10" s="129"/>
      <c r="F10" s="129"/>
      <c r="G10" s="129"/>
      <c r="H10" s="129"/>
      <c r="I10" s="129"/>
      <c r="J10" s="129"/>
      <c r="K10" s="129"/>
      <c r="L10" s="129"/>
    </row>
    <row r="11" spans="1:12" x14ac:dyDescent="0.25">
      <c r="A11" s="77" t="s">
        <v>299</v>
      </c>
      <c r="B11" s="129" t="s">
        <v>364</v>
      </c>
      <c r="C11" s="129"/>
      <c r="D11" s="129"/>
      <c r="E11" s="129"/>
      <c r="F11" s="129"/>
      <c r="G11" s="129"/>
      <c r="H11" s="129"/>
      <c r="I11" s="129"/>
      <c r="J11" s="129"/>
      <c r="K11" s="129"/>
      <c r="L11" s="129"/>
    </row>
    <row r="12" spans="1:12" x14ac:dyDescent="0.25">
      <c r="A12" s="77" t="s">
        <v>301</v>
      </c>
      <c r="B12" s="129" t="s">
        <v>567</v>
      </c>
      <c r="C12" s="129"/>
      <c r="D12" s="129"/>
      <c r="E12" s="129"/>
      <c r="F12" s="129"/>
      <c r="G12" s="129"/>
      <c r="H12" s="129"/>
      <c r="I12" s="129"/>
      <c r="J12" s="129"/>
      <c r="K12" s="129"/>
      <c r="L12" s="129"/>
    </row>
    <row r="13" spans="1:12" x14ac:dyDescent="0.25">
      <c r="A13" s="77" t="s">
        <v>806</v>
      </c>
      <c r="B13" s="129">
        <v>0</v>
      </c>
      <c r="C13" s="129"/>
      <c r="D13" s="129"/>
      <c r="E13" s="129"/>
      <c r="F13" s="129"/>
      <c r="G13" s="129"/>
      <c r="H13" s="129"/>
      <c r="I13" s="129"/>
      <c r="J13" s="129"/>
      <c r="K13" s="129"/>
      <c r="L13" s="129"/>
    </row>
    <row r="14" spans="1:12" x14ac:dyDescent="0.25">
      <c r="A14" s="77" t="s">
        <v>305</v>
      </c>
      <c r="B14" s="129">
        <v>702</v>
      </c>
      <c r="C14" s="129"/>
      <c r="D14" s="129"/>
      <c r="E14" s="129"/>
      <c r="F14" s="129"/>
      <c r="G14" s="129"/>
      <c r="H14" s="129"/>
      <c r="I14" s="129"/>
      <c r="J14" s="129"/>
      <c r="K14" s="129"/>
      <c r="L14" s="129"/>
    </row>
    <row r="15" spans="1:12" x14ac:dyDescent="0.25">
      <c r="A15" s="77" t="s">
        <v>307</v>
      </c>
      <c r="B15" s="129" t="s">
        <v>571</v>
      </c>
      <c r="C15" s="129"/>
      <c r="D15" s="129"/>
      <c r="E15" s="129"/>
      <c r="F15" s="129"/>
      <c r="G15" s="129"/>
      <c r="H15" s="129"/>
      <c r="I15" s="129"/>
      <c r="J15" s="129"/>
      <c r="K15" s="129"/>
      <c r="L15" s="129"/>
    </row>
    <row r="16" spans="1:12" x14ac:dyDescent="0.25">
      <c r="A16" s="77" t="s">
        <v>309</v>
      </c>
      <c r="B16" s="129" t="s">
        <v>572</v>
      </c>
      <c r="C16" s="129"/>
      <c r="D16" s="129"/>
      <c r="E16" s="129"/>
      <c r="F16" s="129"/>
      <c r="G16" s="129"/>
      <c r="H16" s="129"/>
      <c r="I16" s="129"/>
      <c r="J16" s="129"/>
      <c r="K16" s="129"/>
      <c r="L16" s="129"/>
    </row>
    <row r="17" spans="1:12" x14ac:dyDescent="0.25">
      <c r="A17" s="77" t="s">
        <v>803</v>
      </c>
      <c r="B17" s="129"/>
      <c r="C17" s="129"/>
      <c r="D17" s="129"/>
      <c r="E17" s="129"/>
      <c r="F17" s="129"/>
      <c r="G17" s="129"/>
      <c r="H17" s="129"/>
      <c r="I17" s="129"/>
      <c r="J17" s="129"/>
      <c r="K17" s="129"/>
      <c r="L17" s="129"/>
    </row>
    <row r="18" spans="1:12" x14ac:dyDescent="0.25">
      <c r="A18" s="77" t="s">
        <v>313</v>
      </c>
      <c r="B18" s="187">
        <v>45135</v>
      </c>
      <c r="C18" s="129"/>
      <c r="D18" s="129"/>
      <c r="E18" s="129"/>
      <c r="F18" s="129"/>
      <c r="G18" s="129"/>
      <c r="H18" s="129"/>
      <c r="I18" s="129"/>
      <c r="J18" s="129"/>
      <c r="K18" s="129"/>
      <c r="L18" s="129"/>
    </row>
    <row r="19" spans="1:12" x14ac:dyDescent="0.25">
      <c r="A19" s="77" t="s">
        <v>315</v>
      </c>
      <c r="B19" s="187"/>
      <c r="C19" s="129"/>
      <c r="D19" s="129"/>
      <c r="E19" s="129"/>
      <c r="F19" s="129"/>
      <c r="G19" s="129"/>
      <c r="H19" s="129"/>
      <c r="I19" s="129"/>
      <c r="J19" s="129"/>
      <c r="K19" s="129"/>
      <c r="L19" s="129"/>
    </row>
    <row r="20" spans="1:12" x14ac:dyDescent="0.25">
      <c r="A20" s="77" t="s">
        <v>317</v>
      </c>
      <c r="B20" s="129" t="s">
        <v>331</v>
      </c>
      <c r="C20" s="129"/>
      <c r="D20" s="129"/>
      <c r="E20" s="129"/>
      <c r="F20" s="129"/>
      <c r="G20" s="129"/>
      <c r="H20" s="129"/>
      <c r="I20" s="129"/>
      <c r="J20" s="129"/>
      <c r="K20" s="129"/>
      <c r="L20" s="129"/>
    </row>
    <row r="21" spans="1:12" x14ac:dyDescent="0.25">
      <c r="A21" s="77" t="s">
        <v>323</v>
      </c>
      <c r="B21" s="129" t="s">
        <v>332</v>
      </c>
      <c r="C21" s="129"/>
      <c r="D21" s="129"/>
      <c r="E21" s="129"/>
      <c r="F21" s="129"/>
      <c r="G21" s="129"/>
      <c r="H21" s="129"/>
      <c r="I21" s="129"/>
      <c r="J21" s="129"/>
      <c r="K21" s="129"/>
      <c r="L21" s="129"/>
    </row>
    <row r="23" spans="1:12" x14ac:dyDescent="0.25">
      <c r="B23" s="102" t="str">
        <f>HYPERLINK("#'Factor List'!A1","Back to Factor List")</f>
        <v>Back to Factor List</v>
      </c>
    </row>
    <row r="24" spans="1:12" x14ac:dyDescent="0.25">
      <c r="B24" s="102" t="s">
        <v>13</v>
      </c>
    </row>
    <row r="25" spans="1:12" x14ac:dyDescent="0.25">
      <c r="B25" s="102"/>
    </row>
    <row r="26" spans="1:12" x14ac:dyDescent="0.25">
      <c r="A26" s="103" t="s">
        <v>855</v>
      </c>
      <c r="B26" s="103">
        <v>55</v>
      </c>
      <c r="C26" s="103">
        <v>56</v>
      </c>
      <c r="D26" s="103">
        <v>57</v>
      </c>
      <c r="E26" s="103">
        <v>58</v>
      </c>
      <c r="F26" s="103">
        <v>59</v>
      </c>
      <c r="G26" s="103">
        <v>60</v>
      </c>
      <c r="H26" s="103">
        <v>61</v>
      </c>
      <c r="I26" s="103">
        <v>62</v>
      </c>
      <c r="J26" s="103">
        <v>63</v>
      </c>
      <c r="K26" s="103">
        <v>64</v>
      </c>
      <c r="L26" s="103">
        <v>65</v>
      </c>
    </row>
    <row r="27" spans="1:12" x14ac:dyDescent="0.25">
      <c r="A27" s="104">
        <v>0</v>
      </c>
      <c r="B27" s="105">
        <v>9.0399999999999991</v>
      </c>
      <c r="C27" s="105">
        <v>8.1999999999999993</v>
      </c>
      <c r="D27" s="105">
        <v>7.36</v>
      </c>
      <c r="E27" s="105">
        <v>6.49</v>
      </c>
      <c r="F27" s="105">
        <v>5.62</v>
      </c>
      <c r="G27" s="105">
        <v>4.72</v>
      </c>
      <c r="H27" s="105">
        <v>3.82</v>
      </c>
      <c r="I27" s="105">
        <v>2.89</v>
      </c>
      <c r="J27" s="105">
        <v>1.95</v>
      </c>
      <c r="K27" s="105">
        <v>0.98</v>
      </c>
      <c r="L27" s="105">
        <v>0</v>
      </c>
    </row>
    <row r="28" spans="1:12" x14ac:dyDescent="0.25">
      <c r="A28" s="104">
        <v>1</v>
      </c>
      <c r="B28" s="105">
        <v>8.9700000000000006</v>
      </c>
      <c r="C28" s="105">
        <v>8.1300000000000008</v>
      </c>
      <c r="D28" s="105">
        <v>7.28</v>
      </c>
      <c r="E28" s="105">
        <v>6.42</v>
      </c>
      <c r="F28" s="105">
        <v>5.54</v>
      </c>
      <c r="G28" s="105">
        <v>4.6500000000000004</v>
      </c>
      <c r="H28" s="105">
        <v>3.74</v>
      </c>
      <c r="I28" s="105">
        <v>2.81</v>
      </c>
      <c r="J28" s="105">
        <v>1.87</v>
      </c>
      <c r="K28" s="105">
        <v>0.9</v>
      </c>
      <c r="L28" s="105"/>
    </row>
    <row r="29" spans="1:12" x14ac:dyDescent="0.25">
      <c r="A29" s="104">
        <v>2</v>
      </c>
      <c r="B29" s="105">
        <v>8.9</v>
      </c>
      <c r="C29" s="105">
        <v>8.06</v>
      </c>
      <c r="D29" s="105">
        <v>7.21</v>
      </c>
      <c r="E29" s="105">
        <v>6.35</v>
      </c>
      <c r="F29" s="105">
        <v>5.47</v>
      </c>
      <c r="G29" s="105">
        <v>4.57</v>
      </c>
      <c r="H29" s="105">
        <v>3.66</v>
      </c>
      <c r="I29" s="105">
        <v>2.73</v>
      </c>
      <c r="J29" s="105">
        <v>1.79</v>
      </c>
      <c r="K29" s="105">
        <v>0.82</v>
      </c>
      <c r="L29" s="105"/>
    </row>
    <row r="30" spans="1:12" x14ac:dyDescent="0.25">
      <c r="A30" s="104">
        <v>3</v>
      </c>
      <c r="B30" s="105">
        <v>8.83</v>
      </c>
      <c r="C30" s="105">
        <v>7.99</v>
      </c>
      <c r="D30" s="105">
        <v>7.14</v>
      </c>
      <c r="E30" s="105">
        <v>6.27</v>
      </c>
      <c r="F30" s="105">
        <v>5.39</v>
      </c>
      <c r="G30" s="105">
        <v>4.5</v>
      </c>
      <c r="H30" s="105">
        <v>3.58</v>
      </c>
      <c r="I30" s="105">
        <v>2.65</v>
      </c>
      <c r="J30" s="105">
        <v>1.71</v>
      </c>
      <c r="K30" s="105">
        <v>0.74</v>
      </c>
      <c r="L30" s="105"/>
    </row>
    <row r="31" spans="1:12" x14ac:dyDescent="0.25">
      <c r="A31" s="104">
        <v>4</v>
      </c>
      <c r="B31" s="105">
        <v>8.76</v>
      </c>
      <c r="C31" s="105">
        <v>7.92</v>
      </c>
      <c r="D31" s="105">
        <v>7.07</v>
      </c>
      <c r="E31" s="105">
        <v>6.2</v>
      </c>
      <c r="F31" s="105">
        <v>5.32</v>
      </c>
      <c r="G31" s="105">
        <v>4.42</v>
      </c>
      <c r="H31" s="105">
        <v>3.51</v>
      </c>
      <c r="I31" s="105">
        <v>2.58</v>
      </c>
      <c r="J31" s="105">
        <v>1.63</v>
      </c>
      <c r="K31" s="105">
        <v>0.66</v>
      </c>
      <c r="L31" s="105"/>
    </row>
    <row r="32" spans="1:12" x14ac:dyDescent="0.25">
      <c r="A32" s="104">
        <v>5</v>
      </c>
      <c r="B32" s="105">
        <v>8.69</v>
      </c>
      <c r="C32" s="105">
        <v>7.85</v>
      </c>
      <c r="D32" s="105">
        <v>7</v>
      </c>
      <c r="E32" s="105">
        <v>6.13</v>
      </c>
      <c r="F32" s="105">
        <v>5.24</v>
      </c>
      <c r="G32" s="105">
        <v>4.3499999999999996</v>
      </c>
      <c r="H32" s="105">
        <v>3.43</v>
      </c>
      <c r="I32" s="105">
        <v>2.5</v>
      </c>
      <c r="J32" s="105">
        <v>1.55</v>
      </c>
      <c r="K32" s="105">
        <v>0.56999999999999995</v>
      </c>
      <c r="L32" s="105"/>
    </row>
    <row r="33" spans="1:12" x14ac:dyDescent="0.25">
      <c r="A33" s="104">
        <v>6</v>
      </c>
      <c r="B33" s="105">
        <v>8.6199999999999992</v>
      </c>
      <c r="C33" s="105">
        <v>7.78</v>
      </c>
      <c r="D33" s="105">
        <v>6.92</v>
      </c>
      <c r="E33" s="105">
        <v>6.06</v>
      </c>
      <c r="F33" s="105">
        <v>5.17</v>
      </c>
      <c r="G33" s="105">
        <v>4.2699999999999996</v>
      </c>
      <c r="H33" s="105">
        <v>3.35</v>
      </c>
      <c r="I33" s="105">
        <v>2.42</v>
      </c>
      <c r="J33" s="105">
        <v>1.46</v>
      </c>
      <c r="K33" s="105">
        <v>0.49</v>
      </c>
      <c r="L33" s="105"/>
    </row>
    <row r="34" spans="1:12" x14ac:dyDescent="0.25">
      <c r="A34" s="104">
        <v>7</v>
      </c>
      <c r="B34" s="105">
        <v>8.5500000000000007</v>
      </c>
      <c r="C34" s="105">
        <v>7.71</v>
      </c>
      <c r="D34" s="105">
        <v>6.85</v>
      </c>
      <c r="E34" s="105">
        <v>5.98</v>
      </c>
      <c r="F34" s="105">
        <v>5.0999999999999996</v>
      </c>
      <c r="G34" s="105">
        <v>4.1900000000000004</v>
      </c>
      <c r="H34" s="105">
        <v>3.28</v>
      </c>
      <c r="I34" s="105">
        <v>2.34</v>
      </c>
      <c r="J34" s="105">
        <v>1.38</v>
      </c>
      <c r="K34" s="105">
        <v>0.41</v>
      </c>
      <c r="L34" s="105"/>
    </row>
    <row r="35" spans="1:12" x14ac:dyDescent="0.25">
      <c r="A35" s="104">
        <v>8</v>
      </c>
      <c r="B35" s="105">
        <v>8.48</v>
      </c>
      <c r="C35" s="105">
        <v>7.64</v>
      </c>
      <c r="D35" s="105">
        <v>6.78</v>
      </c>
      <c r="E35" s="105">
        <v>5.91</v>
      </c>
      <c r="F35" s="105">
        <v>5.0199999999999996</v>
      </c>
      <c r="G35" s="105">
        <v>4.12</v>
      </c>
      <c r="H35" s="105">
        <v>3.2</v>
      </c>
      <c r="I35" s="105">
        <v>2.2599999999999998</v>
      </c>
      <c r="J35" s="105">
        <v>1.3</v>
      </c>
      <c r="K35" s="105">
        <v>0.33</v>
      </c>
      <c r="L35" s="105"/>
    </row>
    <row r="36" spans="1:12" x14ac:dyDescent="0.25">
      <c r="A36" s="104">
        <v>9</v>
      </c>
      <c r="B36" s="105">
        <v>8.41</v>
      </c>
      <c r="C36" s="105">
        <v>7.57</v>
      </c>
      <c r="D36" s="105">
        <v>6.71</v>
      </c>
      <c r="E36" s="105">
        <v>5.84</v>
      </c>
      <c r="F36" s="105">
        <v>4.95</v>
      </c>
      <c r="G36" s="105">
        <v>4.04</v>
      </c>
      <c r="H36" s="105">
        <v>3.12</v>
      </c>
      <c r="I36" s="105">
        <v>2.1800000000000002</v>
      </c>
      <c r="J36" s="105">
        <v>1.22</v>
      </c>
      <c r="K36" s="105">
        <v>0.25</v>
      </c>
      <c r="L36" s="105"/>
    </row>
    <row r="37" spans="1:12" x14ac:dyDescent="0.25">
      <c r="A37" s="104">
        <v>10</v>
      </c>
      <c r="B37" s="105">
        <v>8.34</v>
      </c>
      <c r="C37" s="105">
        <v>7.5</v>
      </c>
      <c r="D37" s="105">
        <v>6.64</v>
      </c>
      <c r="E37" s="105">
        <v>5.76</v>
      </c>
      <c r="F37" s="105">
        <v>4.87</v>
      </c>
      <c r="G37" s="105">
        <v>3.97</v>
      </c>
      <c r="H37" s="105">
        <v>3.04</v>
      </c>
      <c r="I37" s="105">
        <v>2.1</v>
      </c>
      <c r="J37" s="105">
        <v>1.1399999999999999</v>
      </c>
      <c r="K37" s="105">
        <v>0.16</v>
      </c>
      <c r="L37" s="105"/>
    </row>
    <row r="38" spans="1:12" x14ac:dyDescent="0.25">
      <c r="A38" s="104">
        <v>11</v>
      </c>
      <c r="B38" s="105">
        <v>8.27</v>
      </c>
      <c r="C38" s="105">
        <v>7.43</v>
      </c>
      <c r="D38" s="105">
        <v>6.57</v>
      </c>
      <c r="E38" s="105">
        <v>5.69</v>
      </c>
      <c r="F38" s="105">
        <v>4.8</v>
      </c>
      <c r="G38" s="105">
        <v>3.89</v>
      </c>
      <c r="H38" s="105">
        <v>2.97</v>
      </c>
      <c r="I38" s="105">
        <v>2.02</v>
      </c>
      <c r="J38" s="105">
        <v>1.06</v>
      </c>
      <c r="K38" s="105">
        <v>0.08</v>
      </c>
      <c r="L38" s="105"/>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FfUgKYPnf2qiHE6xXJrFAv+4J6WJlNM8dc1n8WnvFgx0V44DDcXRK8ekFuLfSm0YjRcCJQTQgKchn6F5EIlPEA==" saltValue="//nWvRruShSVVojMcS09TQ==" spinCount="100000" sheet="1" objects="1" scenarios="1"/>
  <conditionalFormatting sqref="A6:A21">
    <cfRule type="expression" dxfId="635" priority="1" stopIfTrue="1">
      <formula>MOD(ROW(),2)=0</formula>
    </cfRule>
    <cfRule type="expression" dxfId="634" priority="2" stopIfTrue="1">
      <formula>MOD(ROW(),2)&lt;&gt;0</formula>
    </cfRule>
  </conditionalFormatting>
  <conditionalFormatting sqref="A26:A38">
    <cfRule type="expression" dxfId="633" priority="9" stopIfTrue="1">
      <formula>MOD(ROW(),2)=0</formula>
    </cfRule>
    <cfRule type="expression" dxfId="632" priority="10" stopIfTrue="1">
      <formula>MOD(ROW(),2)&lt;&gt;0</formula>
    </cfRule>
  </conditionalFormatting>
  <conditionalFormatting sqref="B17:B21">
    <cfRule type="expression" dxfId="631" priority="5" stopIfTrue="1">
      <formula>MOD(ROW(),2)=0</formula>
    </cfRule>
    <cfRule type="expression" dxfId="630" priority="6" stopIfTrue="1">
      <formula>MOD(ROW(),2)&lt;&gt;0</formula>
    </cfRule>
  </conditionalFormatting>
  <conditionalFormatting sqref="B6:L21">
    <cfRule type="expression" dxfId="629" priority="27" stopIfTrue="1">
      <formula>MOD(ROW(),2)=0</formula>
    </cfRule>
    <cfRule type="expression" dxfId="628" priority="28" stopIfTrue="1">
      <formula>MOD(ROW(),2)&lt;&gt;0</formula>
    </cfRule>
  </conditionalFormatting>
  <conditionalFormatting sqref="B26:L38">
    <cfRule type="expression" dxfId="627" priority="11" stopIfTrue="1">
      <formula>MOD(ROW(),2)=0</formula>
    </cfRule>
    <cfRule type="expression" dxfId="626" priority="12" stopIfTrue="1">
      <formula>MOD(ROW(),2)&lt;&gt;0</formula>
    </cfRule>
  </conditionalFormatting>
  <hyperlinks>
    <hyperlink ref="B24" location="Sheet1!A1" display="Assumptions" xr:uid="{E2E76CBC-4426-49EC-AE76-26BC0941629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36"/>
  <dimension ref="A1:M65"/>
  <sheetViews>
    <sheetView showGridLines="0" zoomScale="85" zoomScaleNormal="85" workbookViewId="0">
      <selection activeCell="A4" sqref="A4"/>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39" t="s">
        <v>0</v>
      </c>
      <c r="B1" s="40"/>
      <c r="C1" s="40"/>
      <c r="D1" s="40"/>
      <c r="E1" s="40"/>
      <c r="F1" s="40"/>
      <c r="G1" s="40"/>
      <c r="H1" s="40"/>
      <c r="I1" s="40"/>
    </row>
    <row r="2" spans="1:13"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3" ht="15.6" x14ac:dyDescent="0.3">
      <c r="A3" s="43" t="str">
        <f>TABLE_FACTOR_TYPE_1&amp;" - x-"&amp;TABLE_SERIES_NUMBER_1</f>
        <v>ARBO - x-703</v>
      </c>
      <c r="B3" s="42"/>
      <c r="C3" s="42"/>
      <c r="D3" s="42"/>
      <c r="E3" s="42"/>
      <c r="F3" s="42"/>
      <c r="G3" s="42"/>
      <c r="H3" s="42"/>
      <c r="I3" s="42"/>
    </row>
    <row r="4" spans="1:13" x14ac:dyDescent="0.25">
      <c r="A4" s="44"/>
    </row>
    <row r="6" spans="1:13" x14ac:dyDescent="0.25">
      <c r="A6" s="76" t="s">
        <v>290</v>
      </c>
      <c r="B6" s="129" t="s">
        <v>291</v>
      </c>
      <c r="C6" s="129"/>
      <c r="D6" s="129"/>
      <c r="E6" s="129"/>
      <c r="F6" s="129"/>
      <c r="G6" s="129"/>
      <c r="H6" s="129"/>
      <c r="I6" s="129"/>
      <c r="J6" s="129"/>
      <c r="K6" s="129"/>
      <c r="L6" s="129"/>
      <c r="M6" s="129"/>
    </row>
    <row r="7" spans="1:13" x14ac:dyDescent="0.25">
      <c r="A7" s="77" t="s">
        <v>804</v>
      </c>
      <c r="B7" s="129" t="s">
        <v>324</v>
      </c>
      <c r="C7" s="129"/>
      <c r="D7" s="129"/>
      <c r="E7" s="129"/>
      <c r="F7" s="129"/>
      <c r="G7" s="129"/>
      <c r="H7" s="129"/>
      <c r="I7" s="129"/>
      <c r="J7" s="129"/>
      <c r="K7" s="129"/>
      <c r="L7" s="129"/>
      <c r="M7" s="129"/>
    </row>
    <row r="8" spans="1:13" x14ac:dyDescent="0.25">
      <c r="A8" s="77" t="s">
        <v>805</v>
      </c>
      <c r="B8" s="129" t="s">
        <v>85</v>
      </c>
      <c r="C8" s="129"/>
      <c r="D8" s="129"/>
      <c r="E8" s="129"/>
      <c r="F8" s="129"/>
      <c r="G8" s="129"/>
      <c r="H8" s="129"/>
      <c r="I8" s="129"/>
      <c r="J8" s="129"/>
      <c r="K8" s="129"/>
      <c r="L8" s="129"/>
      <c r="M8" s="129"/>
    </row>
    <row r="9" spans="1:13" x14ac:dyDescent="0.25">
      <c r="A9" s="77" t="s">
        <v>296</v>
      </c>
      <c r="B9" s="129" t="s">
        <v>565</v>
      </c>
      <c r="C9" s="129"/>
      <c r="D9" s="129"/>
      <c r="E9" s="129"/>
      <c r="F9" s="129"/>
      <c r="G9" s="129"/>
      <c r="H9" s="129"/>
      <c r="I9" s="129"/>
      <c r="J9" s="129"/>
      <c r="K9" s="129"/>
      <c r="L9" s="129"/>
      <c r="M9" s="129"/>
    </row>
    <row r="10" spans="1:13" x14ac:dyDescent="0.25">
      <c r="A10" s="77" t="s">
        <v>6</v>
      </c>
      <c r="B10" s="129" t="s">
        <v>573</v>
      </c>
      <c r="C10" s="129"/>
      <c r="D10" s="129"/>
      <c r="E10" s="129"/>
      <c r="F10" s="129"/>
      <c r="G10" s="129"/>
      <c r="H10" s="129"/>
      <c r="I10" s="129"/>
      <c r="J10" s="129"/>
      <c r="K10" s="129"/>
      <c r="L10" s="129"/>
      <c r="M10" s="129"/>
    </row>
    <row r="11" spans="1:13" x14ac:dyDescent="0.25">
      <c r="A11" s="77" t="s">
        <v>299</v>
      </c>
      <c r="B11" s="129" t="s">
        <v>364</v>
      </c>
      <c r="C11" s="129"/>
      <c r="D11" s="129"/>
      <c r="E11" s="129"/>
      <c r="F11" s="129"/>
      <c r="G11" s="129"/>
      <c r="H11" s="129"/>
      <c r="I11" s="129"/>
      <c r="J11" s="129"/>
      <c r="K11" s="129"/>
      <c r="L11" s="129"/>
      <c r="M11" s="129"/>
    </row>
    <row r="12" spans="1:13" x14ac:dyDescent="0.25">
      <c r="A12" s="77" t="s">
        <v>301</v>
      </c>
      <c r="B12" s="129" t="s">
        <v>567</v>
      </c>
      <c r="C12" s="129"/>
      <c r="D12" s="129"/>
      <c r="E12" s="129"/>
      <c r="F12" s="129"/>
      <c r="G12" s="129"/>
      <c r="H12" s="129"/>
      <c r="I12" s="129"/>
      <c r="J12" s="129"/>
      <c r="K12" s="129"/>
      <c r="L12" s="129"/>
      <c r="M12" s="129"/>
    </row>
    <row r="13" spans="1:13" x14ac:dyDescent="0.25">
      <c r="A13" s="77" t="s">
        <v>806</v>
      </c>
      <c r="B13" s="129">
        <v>0</v>
      </c>
      <c r="C13" s="129"/>
      <c r="D13" s="129"/>
      <c r="E13" s="129"/>
      <c r="F13" s="129"/>
      <c r="G13" s="129"/>
      <c r="H13" s="129"/>
      <c r="I13" s="129"/>
      <c r="J13" s="129"/>
      <c r="K13" s="129"/>
      <c r="L13" s="129"/>
      <c r="M13" s="129"/>
    </row>
    <row r="14" spans="1:13" x14ac:dyDescent="0.25">
      <c r="A14" s="77" t="s">
        <v>305</v>
      </c>
      <c r="B14" s="129">
        <v>703</v>
      </c>
      <c r="C14" s="129"/>
      <c r="D14" s="129"/>
      <c r="E14" s="129"/>
      <c r="F14" s="129"/>
      <c r="G14" s="129"/>
      <c r="H14" s="129"/>
      <c r="I14" s="129"/>
      <c r="J14" s="129"/>
      <c r="K14" s="129"/>
      <c r="L14" s="129"/>
      <c r="M14" s="129"/>
    </row>
    <row r="15" spans="1:13" x14ac:dyDescent="0.25">
      <c r="A15" s="77" t="s">
        <v>307</v>
      </c>
      <c r="B15" s="129" t="s">
        <v>574</v>
      </c>
      <c r="C15" s="129"/>
      <c r="D15" s="129"/>
      <c r="E15" s="129"/>
      <c r="F15" s="129"/>
      <c r="G15" s="129"/>
      <c r="H15" s="129"/>
      <c r="I15" s="129"/>
      <c r="J15" s="129"/>
      <c r="K15" s="129"/>
      <c r="L15" s="129"/>
      <c r="M15" s="129"/>
    </row>
    <row r="16" spans="1:13" x14ac:dyDescent="0.25">
      <c r="A16" s="77" t="s">
        <v>309</v>
      </c>
      <c r="B16" s="129" t="s">
        <v>575</v>
      </c>
      <c r="C16" s="129"/>
      <c r="D16" s="129"/>
      <c r="E16" s="129"/>
      <c r="F16" s="129"/>
      <c r="G16" s="129"/>
      <c r="H16" s="129"/>
      <c r="I16" s="129"/>
      <c r="J16" s="129"/>
      <c r="K16" s="129"/>
      <c r="L16" s="129"/>
      <c r="M16" s="129"/>
    </row>
    <row r="17" spans="1:13" x14ac:dyDescent="0.25">
      <c r="A17" s="77" t="s">
        <v>803</v>
      </c>
      <c r="B17" s="129"/>
      <c r="C17" s="129"/>
      <c r="D17" s="129"/>
      <c r="E17" s="129"/>
      <c r="F17" s="129"/>
      <c r="G17" s="129"/>
      <c r="H17" s="129"/>
      <c r="I17" s="129"/>
      <c r="J17" s="129"/>
      <c r="K17" s="129"/>
      <c r="L17" s="129"/>
      <c r="M17" s="129"/>
    </row>
    <row r="18" spans="1:13" x14ac:dyDescent="0.25">
      <c r="A18" s="77" t="s">
        <v>313</v>
      </c>
      <c r="B18" s="187">
        <v>45135</v>
      </c>
      <c r="C18" s="129"/>
      <c r="D18" s="129"/>
      <c r="E18" s="129"/>
      <c r="F18" s="129"/>
      <c r="G18" s="129"/>
      <c r="H18" s="129"/>
      <c r="I18" s="129"/>
      <c r="J18" s="129"/>
      <c r="K18" s="129"/>
      <c r="L18" s="129"/>
      <c r="M18" s="129"/>
    </row>
    <row r="19" spans="1:13" x14ac:dyDescent="0.25">
      <c r="A19" s="77" t="s">
        <v>315</v>
      </c>
      <c r="B19" s="187"/>
      <c r="C19" s="129"/>
      <c r="D19" s="129"/>
      <c r="E19" s="129"/>
      <c r="F19" s="129"/>
      <c r="G19" s="129"/>
      <c r="H19" s="129"/>
      <c r="I19" s="129"/>
      <c r="J19" s="129"/>
      <c r="K19" s="129"/>
      <c r="L19" s="129"/>
      <c r="M19" s="129"/>
    </row>
    <row r="20" spans="1:13" x14ac:dyDescent="0.25">
      <c r="A20" s="77" t="s">
        <v>317</v>
      </c>
      <c r="B20" s="129" t="s">
        <v>331</v>
      </c>
      <c r="C20" s="129"/>
      <c r="D20" s="129"/>
      <c r="E20" s="129"/>
      <c r="F20" s="129"/>
      <c r="G20" s="129"/>
      <c r="H20" s="129"/>
      <c r="I20" s="129"/>
      <c r="J20" s="129"/>
      <c r="K20" s="129"/>
      <c r="L20" s="129"/>
      <c r="M20" s="129"/>
    </row>
    <row r="21" spans="1:13" x14ac:dyDescent="0.25">
      <c r="A21" s="77" t="s">
        <v>323</v>
      </c>
      <c r="B21" s="129" t="s">
        <v>332</v>
      </c>
      <c r="C21" s="129"/>
      <c r="D21" s="129"/>
      <c r="E21" s="129"/>
      <c r="F21" s="129"/>
      <c r="G21" s="129"/>
      <c r="H21" s="129"/>
      <c r="I21" s="129"/>
      <c r="J21" s="129"/>
      <c r="K21" s="129"/>
      <c r="L21" s="129"/>
      <c r="M21" s="129"/>
    </row>
    <row r="23" spans="1:13" x14ac:dyDescent="0.25">
      <c r="B23" s="102" t="str">
        <f>HYPERLINK("#'Factor List'!A1","Back to Factor List")</f>
        <v>Back to Factor List</v>
      </c>
    </row>
    <row r="24" spans="1:13" x14ac:dyDescent="0.25">
      <c r="B24" s="102" t="s">
        <v>13</v>
      </c>
    </row>
    <row r="25" spans="1:13" x14ac:dyDescent="0.25">
      <c r="B25" s="102"/>
    </row>
    <row r="26" spans="1:13" x14ac:dyDescent="0.25">
      <c r="A26" s="103" t="s">
        <v>855</v>
      </c>
      <c r="B26" s="103">
        <v>55</v>
      </c>
      <c r="C26" s="103">
        <v>56</v>
      </c>
      <c r="D26" s="103">
        <v>57</v>
      </c>
      <c r="E26" s="103">
        <v>58</v>
      </c>
      <c r="F26" s="103">
        <v>59</v>
      </c>
      <c r="G26" s="103">
        <v>60</v>
      </c>
      <c r="H26" s="103">
        <v>61</v>
      </c>
      <c r="I26" s="103">
        <v>62</v>
      </c>
      <c r="J26" s="103">
        <v>63</v>
      </c>
      <c r="K26" s="103">
        <v>64</v>
      </c>
      <c r="L26" s="103">
        <v>65</v>
      </c>
      <c r="M26" s="103">
        <v>66</v>
      </c>
    </row>
    <row r="27" spans="1:13" x14ac:dyDescent="0.25">
      <c r="A27" s="104">
        <v>0</v>
      </c>
      <c r="B27" s="105">
        <v>9.84</v>
      </c>
      <c r="C27" s="105">
        <v>9.02</v>
      </c>
      <c r="D27" s="105">
        <v>8.19</v>
      </c>
      <c r="E27" s="105">
        <v>7.34</v>
      </c>
      <c r="F27" s="105">
        <v>6.48</v>
      </c>
      <c r="G27" s="105">
        <v>5.61</v>
      </c>
      <c r="H27" s="105">
        <v>4.72</v>
      </c>
      <c r="I27" s="105">
        <v>3.81</v>
      </c>
      <c r="J27" s="105">
        <v>2.89</v>
      </c>
      <c r="K27" s="105">
        <v>1.94</v>
      </c>
      <c r="L27" s="105">
        <v>0.98</v>
      </c>
      <c r="M27" s="105">
        <v>0</v>
      </c>
    </row>
    <row r="28" spans="1:13" x14ac:dyDescent="0.25">
      <c r="A28" s="104">
        <v>1</v>
      </c>
      <c r="B28" s="105">
        <v>9.77</v>
      </c>
      <c r="C28" s="105">
        <v>8.9499999999999993</v>
      </c>
      <c r="D28" s="105">
        <v>8.1199999999999992</v>
      </c>
      <c r="E28" s="105">
        <v>7.27</v>
      </c>
      <c r="F28" s="105">
        <v>6.41</v>
      </c>
      <c r="G28" s="105">
        <v>5.53</v>
      </c>
      <c r="H28" s="105">
        <v>4.6399999999999997</v>
      </c>
      <c r="I28" s="105">
        <v>3.73</v>
      </c>
      <c r="J28" s="105">
        <v>2.81</v>
      </c>
      <c r="K28" s="105">
        <v>1.86</v>
      </c>
      <c r="L28" s="105">
        <v>0.9</v>
      </c>
      <c r="M28" s="105"/>
    </row>
    <row r="29" spans="1:13" x14ac:dyDescent="0.25">
      <c r="A29" s="104">
        <v>2</v>
      </c>
      <c r="B29" s="105">
        <v>9.6999999999999993</v>
      </c>
      <c r="C29" s="105">
        <v>8.8800000000000008</v>
      </c>
      <c r="D29" s="105">
        <v>8.0500000000000007</v>
      </c>
      <c r="E29" s="105">
        <v>7.2</v>
      </c>
      <c r="F29" s="105">
        <v>6.34</v>
      </c>
      <c r="G29" s="105">
        <v>5.46</v>
      </c>
      <c r="H29" s="105">
        <v>4.57</v>
      </c>
      <c r="I29" s="105">
        <v>3.66</v>
      </c>
      <c r="J29" s="105">
        <v>2.73</v>
      </c>
      <c r="K29" s="105">
        <v>1.78</v>
      </c>
      <c r="L29" s="105">
        <v>0.82</v>
      </c>
      <c r="M29" s="105"/>
    </row>
    <row r="30" spans="1:13" x14ac:dyDescent="0.25">
      <c r="A30" s="104">
        <v>3</v>
      </c>
      <c r="B30" s="105">
        <v>9.6300000000000008</v>
      </c>
      <c r="C30" s="105">
        <v>8.81</v>
      </c>
      <c r="D30" s="105">
        <v>7.98</v>
      </c>
      <c r="E30" s="105">
        <v>7.13</v>
      </c>
      <c r="F30" s="105">
        <v>6.26</v>
      </c>
      <c r="G30" s="105">
        <v>5.38</v>
      </c>
      <c r="H30" s="105">
        <v>4.49</v>
      </c>
      <c r="I30" s="105">
        <v>3.58</v>
      </c>
      <c r="J30" s="105">
        <v>2.65</v>
      </c>
      <c r="K30" s="105">
        <v>1.7</v>
      </c>
      <c r="L30" s="105">
        <v>0.74</v>
      </c>
      <c r="M30" s="105"/>
    </row>
    <row r="31" spans="1:13" x14ac:dyDescent="0.25">
      <c r="A31" s="104">
        <v>4</v>
      </c>
      <c r="B31" s="105">
        <v>9.57</v>
      </c>
      <c r="C31" s="105">
        <v>8.74</v>
      </c>
      <c r="D31" s="105">
        <v>7.91</v>
      </c>
      <c r="E31" s="105">
        <v>7.06</v>
      </c>
      <c r="F31" s="105">
        <v>6.19</v>
      </c>
      <c r="G31" s="105">
        <v>5.31</v>
      </c>
      <c r="H31" s="105">
        <v>4.41</v>
      </c>
      <c r="I31" s="105">
        <v>3.5</v>
      </c>
      <c r="J31" s="105">
        <v>2.57</v>
      </c>
      <c r="K31" s="105">
        <v>1.62</v>
      </c>
      <c r="L31" s="105">
        <v>0.66</v>
      </c>
      <c r="M31" s="105"/>
    </row>
    <row r="32" spans="1:13" x14ac:dyDescent="0.25">
      <c r="A32" s="104">
        <v>5</v>
      </c>
      <c r="B32" s="105">
        <v>9.5</v>
      </c>
      <c r="C32" s="105">
        <v>8.67</v>
      </c>
      <c r="D32" s="105">
        <v>7.84</v>
      </c>
      <c r="E32" s="105">
        <v>6.98</v>
      </c>
      <c r="F32" s="105">
        <v>6.12</v>
      </c>
      <c r="G32" s="105">
        <v>5.24</v>
      </c>
      <c r="H32" s="105">
        <v>4.34</v>
      </c>
      <c r="I32" s="105">
        <v>3.43</v>
      </c>
      <c r="J32" s="105">
        <v>2.4900000000000002</v>
      </c>
      <c r="K32" s="105">
        <v>1.54</v>
      </c>
      <c r="L32" s="105">
        <v>0.56999999999999995</v>
      </c>
      <c r="M32" s="105"/>
    </row>
    <row r="33" spans="1:13" x14ac:dyDescent="0.25">
      <c r="A33" s="104">
        <v>6</v>
      </c>
      <c r="B33" s="105">
        <v>9.43</v>
      </c>
      <c r="C33" s="105">
        <v>8.6</v>
      </c>
      <c r="D33" s="105">
        <v>7.77</v>
      </c>
      <c r="E33" s="105">
        <v>6.91</v>
      </c>
      <c r="F33" s="105">
        <v>6.05</v>
      </c>
      <c r="G33" s="105">
        <v>5.16</v>
      </c>
      <c r="H33" s="105">
        <v>4.26</v>
      </c>
      <c r="I33" s="105">
        <v>3.35</v>
      </c>
      <c r="J33" s="105">
        <v>2.42</v>
      </c>
      <c r="K33" s="105">
        <v>1.46</v>
      </c>
      <c r="L33" s="105">
        <v>0.49</v>
      </c>
      <c r="M33" s="105"/>
    </row>
    <row r="34" spans="1:13" x14ac:dyDescent="0.25">
      <c r="A34" s="104">
        <v>7</v>
      </c>
      <c r="B34" s="105">
        <v>9.36</v>
      </c>
      <c r="C34" s="105">
        <v>8.5399999999999991</v>
      </c>
      <c r="D34" s="105">
        <v>7.7</v>
      </c>
      <c r="E34" s="105">
        <v>6.84</v>
      </c>
      <c r="F34" s="105">
        <v>5.97</v>
      </c>
      <c r="G34" s="105">
        <v>5.09</v>
      </c>
      <c r="H34" s="105">
        <v>4.1900000000000004</v>
      </c>
      <c r="I34" s="105">
        <v>3.27</v>
      </c>
      <c r="J34" s="105">
        <v>2.34</v>
      </c>
      <c r="K34" s="105">
        <v>1.38</v>
      </c>
      <c r="L34" s="105">
        <v>0.41</v>
      </c>
      <c r="M34" s="105"/>
    </row>
    <row r="35" spans="1:13" x14ac:dyDescent="0.25">
      <c r="A35" s="104">
        <v>8</v>
      </c>
      <c r="B35" s="105">
        <v>9.2899999999999991</v>
      </c>
      <c r="C35" s="105">
        <v>8.4700000000000006</v>
      </c>
      <c r="D35" s="105">
        <v>7.62</v>
      </c>
      <c r="E35" s="105">
        <v>6.77</v>
      </c>
      <c r="F35" s="105">
        <v>5.9</v>
      </c>
      <c r="G35" s="105">
        <v>5.01</v>
      </c>
      <c r="H35" s="105">
        <v>4.1100000000000003</v>
      </c>
      <c r="I35" s="105">
        <v>3.19</v>
      </c>
      <c r="J35" s="105">
        <v>2.2599999999999998</v>
      </c>
      <c r="K35" s="105">
        <v>1.3</v>
      </c>
      <c r="L35" s="105">
        <v>0.33</v>
      </c>
      <c r="M35" s="105"/>
    </row>
    <row r="36" spans="1:13" x14ac:dyDescent="0.25">
      <c r="A36" s="104">
        <v>9</v>
      </c>
      <c r="B36" s="105">
        <v>9.23</v>
      </c>
      <c r="C36" s="105">
        <v>8.4</v>
      </c>
      <c r="D36" s="105">
        <v>7.55</v>
      </c>
      <c r="E36" s="105">
        <v>6.7</v>
      </c>
      <c r="F36" s="105">
        <v>5.83</v>
      </c>
      <c r="G36" s="105">
        <v>4.9400000000000004</v>
      </c>
      <c r="H36" s="105">
        <v>4.04</v>
      </c>
      <c r="I36" s="105">
        <v>3.12</v>
      </c>
      <c r="J36" s="105">
        <v>2.1800000000000002</v>
      </c>
      <c r="K36" s="105">
        <v>1.22</v>
      </c>
      <c r="L36" s="105">
        <v>0.25</v>
      </c>
      <c r="M36" s="105"/>
    </row>
    <row r="37" spans="1:13" x14ac:dyDescent="0.25">
      <c r="A37" s="104">
        <v>10</v>
      </c>
      <c r="B37" s="105">
        <v>9.16</v>
      </c>
      <c r="C37" s="105">
        <v>8.33</v>
      </c>
      <c r="D37" s="105">
        <v>7.48</v>
      </c>
      <c r="E37" s="105">
        <v>6.63</v>
      </c>
      <c r="F37" s="105">
        <v>5.75</v>
      </c>
      <c r="G37" s="105">
        <v>4.87</v>
      </c>
      <c r="H37" s="105">
        <v>3.96</v>
      </c>
      <c r="I37" s="105">
        <v>3.04</v>
      </c>
      <c r="J37" s="105">
        <v>2.1</v>
      </c>
      <c r="K37" s="105">
        <v>1.1399999999999999</v>
      </c>
      <c r="L37" s="105">
        <v>0.16</v>
      </c>
      <c r="M37" s="105"/>
    </row>
    <row r="38" spans="1:13" x14ac:dyDescent="0.25">
      <c r="A38" s="104">
        <v>11</v>
      </c>
      <c r="B38" s="105">
        <v>9.09</v>
      </c>
      <c r="C38" s="105">
        <v>8.26</v>
      </c>
      <c r="D38" s="105">
        <v>7.41</v>
      </c>
      <c r="E38" s="105">
        <v>6.55</v>
      </c>
      <c r="F38" s="105">
        <v>5.68</v>
      </c>
      <c r="G38" s="105">
        <v>4.79</v>
      </c>
      <c r="H38" s="105">
        <v>3.89</v>
      </c>
      <c r="I38" s="105">
        <v>2.96</v>
      </c>
      <c r="J38" s="105">
        <v>2.02</v>
      </c>
      <c r="K38" s="105">
        <v>1.06</v>
      </c>
      <c r="L38" s="105">
        <v>0.08</v>
      </c>
      <c r="M38" s="105"/>
    </row>
    <row r="39" spans="1:13" x14ac:dyDescent="0.25">
      <c r="A39"/>
      <c r="B39"/>
    </row>
    <row r="40" spans="1:13" x14ac:dyDescent="0.25">
      <c r="A40"/>
      <c r="B40"/>
    </row>
    <row r="41" spans="1:13" x14ac:dyDescent="0.25">
      <c r="A41"/>
      <c r="B41"/>
    </row>
    <row r="42" spans="1:13" x14ac:dyDescent="0.25">
      <c r="A42"/>
      <c r="B42"/>
    </row>
    <row r="43" spans="1:13" x14ac:dyDescent="0.25">
      <c r="A43"/>
      <c r="B43"/>
    </row>
    <row r="44" spans="1:13" ht="39.6" customHeight="1" x14ac:dyDescent="0.25">
      <c r="A44"/>
      <c r="B44"/>
    </row>
    <row r="45" spans="1:13" x14ac:dyDescent="0.25">
      <c r="A45"/>
      <c r="B45"/>
    </row>
    <row r="46" spans="1:13" ht="27.6" customHeight="1"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C4R8xHpL1cWihmMc1+hAKsihrzYpBaI+iaznyVXcyMib78QR9DS6c2z0KakmgpofUnd8M4ADca2dMpidwX9zag==" saltValue="lnH1qUoJAJPgxPnY4xytPA==" spinCount="100000" sheet="1" objects="1" scenarios="1"/>
  <conditionalFormatting sqref="A6:A21">
    <cfRule type="expression" dxfId="625" priority="1" stopIfTrue="1">
      <formula>MOD(ROW(),2)=0</formula>
    </cfRule>
    <cfRule type="expression" dxfId="624" priority="2" stopIfTrue="1">
      <formula>MOD(ROW(),2)&lt;&gt;0</formula>
    </cfRule>
  </conditionalFormatting>
  <conditionalFormatting sqref="A26:A38">
    <cfRule type="expression" dxfId="623" priority="9" stopIfTrue="1">
      <formula>MOD(ROW(),2)=0</formula>
    </cfRule>
    <cfRule type="expression" dxfId="622" priority="10" stopIfTrue="1">
      <formula>MOD(ROW(),2)&lt;&gt;0</formula>
    </cfRule>
  </conditionalFormatting>
  <conditionalFormatting sqref="B17:B21">
    <cfRule type="expression" dxfId="621" priority="5" stopIfTrue="1">
      <formula>MOD(ROW(),2)=0</formula>
    </cfRule>
    <cfRule type="expression" dxfId="620" priority="6" stopIfTrue="1">
      <formula>MOD(ROW(),2)&lt;&gt;0</formula>
    </cfRule>
  </conditionalFormatting>
  <conditionalFormatting sqref="B6:M21">
    <cfRule type="expression" dxfId="619" priority="27" stopIfTrue="1">
      <formula>MOD(ROW(),2)=0</formula>
    </cfRule>
    <cfRule type="expression" dxfId="618" priority="28" stopIfTrue="1">
      <formula>MOD(ROW(),2)&lt;&gt;0</formula>
    </cfRule>
  </conditionalFormatting>
  <conditionalFormatting sqref="B26:M38">
    <cfRule type="expression" dxfId="617" priority="11" stopIfTrue="1">
      <formula>MOD(ROW(),2)=0</formula>
    </cfRule>
    <cfRule type="expression" dxfId="616" priority="12" stopIfTrue="1">
      <formula>MOD(ROW(),2)&lt;&gt;0</formula>
    </cfRule>
  </conditionalFormatting>
  <hyperlinks>
    <hyperlink ref="B24" location="Sheet1!A1" display="Assumptions" xr:uid="{DD8009C8-B230-4451-97EA-4013E3AEB9B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37"/>
  <dimension ref="A1:N65"/>
  <sheetViews>
    <sheetView showGridLines="0" zoomScale="85" zoomScaleNormal="85" workbookViewId="0">
      <selection activeCell="A4" sqref="A4"/>
    </sheetView>
  </sheetViews>
  <sheetFormatPr defaultColWidth="10" defaultRowHeight="13.2" x14ac:dyDescent="0.25"/>
  <cols>
    <col min="1" max="1" width="31.5546875" style="27" customWidth="1"/>
    <col min="2" max="14" width="22.5546875" style="27" customWidth="1"/>
    <col min="15" max="16384" width="10" style="27"/>
  </cols>
  <sheetData>
    <row r="1" spans="1:14" ht="21" x14ac:dyDescent="0.4">
      <c r="A1" s="39" t="s">
        <v>0</v>
      </c>
      <c r="B1" s="40"/>
      <c r="C1" s="40"/>
      <c r="D1" s="40"/>
      <c r="E1" s="40"/>
      <c r="F1" s="40"/>
      <c r="G1" s="40"/>
      <c r="H1" s="40"/>
      <c r="I1" s="40"/>
    </row>
    <row r="2" spans="1:14"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4" ht="15.6" x14ac:dyDescent="0.3">
      <c r="A3" s="43" t="str">
        <f>TABLE_FACTOR_TYPE_1&amp;" - x-"&amp;TABLE_SERIES_NUMBER_1</f>
        <v>ARBO - x-704</v>
      </c>
      <c r="B3" s="42"/>
      <c r="C3" s="42"/>
      <c r="D3" s="42"/>
      <c r="E3" s="42"/>
      <c r="F3" s="42"/>
      <c r="G3" s="42"/>
      <c r="H3" s="42"/>
      <c r="I3" s="42"/>
    </row>
    <row r="4" spans="1:14" x14ac:dyDescent="0.25">
      <c r="A4" s="44"/>
    </row>
    <row r="6" spans="1:14" x14ac:dyDescent="0.25">
      <c r="A6" s="76" t="s">
        <v>290</v>
      </c>
      <c r="B6" s="129" t="s">
        <v>291</v>
      </c>
      <c r="C6" s="129"/>
      <c r="D6" s="129"/>
      <c r="E6" s="129"/>
      <c r="F6" s="129"/>
      <c r="G6" s="129"/>
      <c r="H6" s="129"/>
      <c r="I6" s="129"/>
      <c r="J6" s="129"/>
      <c r="K6" s="129"/>
      <c r="L6" s="129"/>
      <c r="M6" s="129"/>
      <c r="N6" s="129"/>
    </row>
    <row r="7" spans="1:14" x14ac:dyDescent="0.25">
      <c r="A7" s="77" t="s">
        <v>804</v>
      </c>
      <c r="B7" s="129" t="s">
        <v>324</v>
      </c>
      <c r="C7" s="129"/>
      <c r="D7" s="129"/>
      <c r="E7" s="129"/>
      <c r="F7" s="129"/>
      <c r="G7" s="129"/>
      <c r="H7" s="129"/>
      <c r="I7" s="129"/>
      <c r="J7" s="129"/>
      <c r="K7" s="129"/>
      <c r="L7" s="129"/>
      <c r="M7" s="129"/>
      <c r="N7" s="129"/>
    </row>
    <row r="8" spans="1:14" x14ac:dyDescent="0.25">
      <c r="A8" s="77" t="s">
        <v>805</v>
      </c>
      <c r="B8" s="129" t="s">
        <v>85</v>
      </c>
      <c r="C8" s="129"/>
      <c r="D8" s="129"/>
      <c r="E8" s="129"/>
      <c r="F8" s="129"/>
      <c r="G8" s="129"/>
      <c r="H8" s="129"/>
      <c r="I8" s="129"/>
      <c r="J8" s="129"/>
      <c r="K8" s="129"/>
      <c r="L8" s="129"/>
      <c r="M8" s="129"/>
      <c r="N8" s="129"/>
    </row>
    <row r="9" spans="1:14" x14ac:dyDescent="0.25">
      <c r="A9" s="77" t="s">
        <v>296</v>
      </c>
      <c r="B9" s="129" t="s">
        <v>565</v>
      </c>
      <c r="C9" s="129"/>
      <c r="D9" s="129"/>
      <c r="E9" s="129"/>
      <c r="F9" s="129"/>
      <c r="G9" s="129"/>
      <c r="H9" s="129"/>
      <c r="I9" s="129"/>
      <c r="J9" s="129"/>
      <c r="K9" s="129"/>
      <c r="L9" s="129"/>
      <c r="M9" s="129"/>
      <c r="N9" s="129"/>
    </row>
    <row r="10" spans="1:14" x14ac:dyDescent="0.25">
      <c r="A10" s="77" t="s">
        <v>6</v>
      </c>
      <c r="B10" s="129" t="s">
        <v>576</v>
      </c>
      <c r="C10" s="129"/>
      <c r="D10" s="129"/>
      <c r="E10" s="129"/>
      <c r="F10" s="129"/>
      <c r="G10" s="129"/>
      <c r="H10" s="129"/>
      <c r="I10" s="129"/>
      <c r="J10" s="129"/>
      <c r="K10" s="129"/>
      <c r="L10" s="129"/>
      <c r="M10" s="129"/>
      <c r="N10" s="129"/>
    </row>
    <row r="11" spans="1:14" x14ac:dyDescent="0.25">
      <c r="A11" s="77" t="s">
        <v>299</v>
      </c>
      <c r="B11" s="129" t="s">
        <v>364</v>
      </c>
      <c r="C11" s="129"/>
      <c r="D11" s="129"/>
      <c r="E11" s="129"/>
      <c r="F11" s="129"/>
      <c r="G11" s="129"/>
      <c r="H11" s="129"/>
      <c r="I11" s="129"/>
      <c r="J11" s="129"/>
      <c r="K11" s="129"/>
      <c r="L11" s="129"/>
      <c r="M11" s="129"/>
      <c r="N11" s="129"/>
    </row>
    <row r="12" spans="1:14" x14ac:dyDescent="0.25">
      <c r="A12" s="77" t="s">
        <v>301</v>
      </c>
      <c r="B12" s="129" t="s">
        <v>567</v>
      </c>
      <c r="C12" s="129"/>
      <c r="D12" s="129"/>
      <c r="E12" s="129"/>
      <c r="F12" s="129"/>
      <c r="G12" s="129"/>
      <c r="H12" s="129"/>
      <c r="I12" s="129"/>
      <c r="J12" s="129"/>
      <c r="K12" s="129"/>
      <c r="L12" s="129"/>
      <c r="M12" s="129"/>
      <c r="N12" s="129"/>
    </row>
    <row r="13" spans="1:14" x14ac:dyDescent="0.25">
      <c r="A13" s="77" t="s">
        <v>806</v>
      </c>
      <c r="B13" s="129">
        <v>0</v>
      </c>
      <c r="C13" s="129"/>
      <c r="D13" s="129"/>
      <c r="E13" s="129"/>
      <c r="F13" s="129"/>
      <c r="G13" s="129"/>
      <c r="H13" s="129"/>
      <c r="I13" s="129"/>
      <c r="J13" s="129"/>
      <c r="K13" s="129"/>
      <c r="L13" s="129"/>
      <c r="M13" s="129"/>
      <c r="N13" s="129"/>
    </row>
    <row r="14" spans="1:14" x14ac:dyDescent="0.25">
      <c r="A14" s="77" t="s">
        <v>305</v>
      </c>
      <c r="B14" s="129">
        <v>704</v>
      </c>
      <c r="C14" s="129"/>
      <c r="D14" s="129"/>
      <c r="E14" s="129"/>
      <c r="F14" s="129"/>
      <c r="G14" s="129"/>
      <c r="H14" s="129"/>
      <c r="I14" s="129"/>
      <c r="J14" s="129"/>
      <c r="K14" s="129"/>
      <c r="L14" s="129"/>
      <c r="M14" s="129"/>
      <c r="N14" s="129"/>
    </row>
    <row r="15" spans="1:14" x14ac:dyDescent="0.25">
      <c r="A15" s="77" t="s">
        <v>307</v>
      </c>
      <c r="B15" s="129" t="s">
        <v>577</v>
      </c>
      <c r="C15" s="129"/>
      <c r="D15" s="129"/>
      <c r="E15" s="129"/>
      <c r="F15" s="129"/>
      <c r="G15" s="129"/>
      <c r="H15" s="129"/>
      <c r="I15" s="129"/>
      <c r="J15" s="129"/>
      <c r="K15" s="129"/>
      <c r="L15" s="129"/>
      <c r="M15" s="129"/>
      <c r="N15" s="129"/>
    </row>
    <row r="16" spans="1:14" x14ac:dyDescent="0.25">
      <c r="A16" s="77" t="s">
        <v>309</v>
      </c>
      <c r="B16" s="129" t="s">
        <v>578</v>
      </c>
      <c r="C16" s="129"/>
      <c r="D16" s="129"/>
      <c r="E16" s="129"/>
      <c r="F16" s="129"/>
      <c r="G16" s="129"/>
      <c r="H16" s="129"/>
      <c r="I16" s="129"/>
      <c r="J16" s="129"/>
      <c r="K16" s="129"/>
      <c r="L16" s="129"/>
      <c r="M16" s="129"/>
      <c r="N16" s="129"/>
    </row>
    <row r="17" spans="1:14" x14ac:dyDescent="0.25">
      <c r="A17" s="77" t="s">
        <v>803</v>
      </c>
      <c r="B17" s="129"/>
      <c r="C17" s="129"/>
      <c r="D17" s="129"/>
      <c r="E17" s="129"/>
      <c r="F17" s="129"/>
      <c r="G17" s="129"/>
      <c r="H17" s="129"/>
      <c r="I17" s="129"/>
      <c r="J17" s="129"/>
      <c r="K17" s="129"/>
      <c r="L17" s="129"/>
      <c r="M17" s="129"/>
      <c r="N17" s="129"/>
    </row>
    <row r="18" spans="1:14" x14ac:dyDescent="0.25">
      <c r="A18" s="77" t="s">
        <v>313</v>
      </c>
      <c r="B18" s="187">
        <v>45135</v>
      </c>
      <c r="C18" s="129"/>
      <c r="D18" s="129"/>
      <c r="E18" s="129"/>
      <c r="F18" s="129"/>
      <c r="G18" s="129"/>
      <c r="H18" s="129"/>
      <c r="I18" s="129"/>
      <c r="J18" s="129"/>
      <c r="K18" s="129"/>
      <c r="L18" s="129"/>
      <c r="M18" s="129"/>
      <c r="N18" s="129"/>
    </row>
    <row r="19" spans="1:14" x14ac:dyDescent="0.25">
      <c r="A19" s="77" t="s">
        <v>315</v>
      </c>
      <c r="B19" s="187"/>
      <c r="C19" s="129"/>
      <c r="D19" s="129"/>
      <c r="E19" s="129"/>
      <c r="F19" s="129"/>
      <c r="G19" s="129"/>
      <c r="H19" s="129"/>
      <c r="I19" s="129"/>
      <c r="J19" s="129"/>
      <c r="K19" s="129"/>
      <c r="L19" s="129"/>
      <c r="M19" s="129"/>
      <c r="N19" s="129"/>
    </row>
    <row r="20" spans="1:14" x14ac:dyDescent="0.25">
      <c r="A20" s="77" t="s">
        <v>317</v>
      </c>
      <c r="B20" s="129" t="s">
        <v>331</v>
      </c>
      <c r="C20" s="129"/>
      <c r="D20" s="129"/>
      <c r="E20" s="129"/>
      <c r="F20" s="129"/>
      <c r="G20" s="129"/>
      <c r="H20" s="129"/>
      <c r="I20" s="129"/>
      <c r="J20" s="129"/>
      <c r="K20" s="129"/>
      <c r="L20" s="129"/>
      <c r="M20" s="129"/>
      <c r="N20" s="129"/>
    </row>
    <row r="21" spans="1:14" x14ac:dyDescent="0.25">
      <c r="A21" s="77" t="s">
        <v>323</v>
      </c>
      <c r="B21" s="129" t="s">
        <v>332</v>
      </c>
      <c r="C21" s="129"/>
      <c r="D21" s="129"/>
      <c r="E21" s="129"/>
      <c r="F21" s="129"/>
      <c r="G21" s="129"/>
      <c r="H21" s="129"/>
      <c r="I21" s="129"/>
      <c r="J21" s="129"/>
      <c r="K21" s="129"/>
      <c r="L21" s="129"/>
      <c r="M21" s="129"/>
      <c r="N21" s="129"/>
    </row>
    <row r="23" spans="1:14" x14ac:dyDescent="0.25">
      <c r="B23" s="102" t="str">
        <f>HYPERLINK("#'Factor List'!A1","Back to Factor List")</f>
        <v>Back to Factor List</v>
      </c>
    </row>
    <row r="24" spans="1:14" x14ac:dyDescent="0.25">
      <c r="B24" s="102" t="s">
        <v>13</v>
      </c>
    </row>
    <row r="25" spans="1:14" x14ac:dyDescent="0.25">
      <c r="B25" s="102"/>
    </row>
    <row r="26" spans="1:14" x14ac:dyDescent="0.25">
      <c r="A26" s="103" t="s">
        <v>855</v>
      </c>
      <c r="B26" s="103">
        <v>55</v>
      </c>
      <c r="C26" s="103">
        <v>56</v>
      </c>
      <c r="D26" s="103">
        <v>57</v>
      </c>
      <c r="E26" s="103">
        <v>58</v>
      </c>
      <c r="F26" s="103">
        <v>59</v>
      </c>
      <c r="G26" s="103">
        <v>60</v>
      </c>
      <c r="H26" s="103">
        <v>61</v>
      </c>
      <c r="I26" s="103">
        <v>62</v>
      </c>
      <c r="J26" s="103">
        <v>63</v>
      </c>
      <c r="K26" s="103">
        <v>64</v>
      </c>
      <c r="L26" s="103">
        <v>65</v>
      </c>
      <c r="M26" s="103">
        <v>66</v>
      </c>
      <c r="N26" s="103">
        <v>67</v>
      </c>
    </row>
    <row r="27" spans="1:14" x14ac:dyDescent="0.25">
      <c r="A27" s="104">
        <v>0</v>
      </c>
      <c r="B27" s="105">
        <v>10.62</v>
      </c>
      <c r="C27" s="105">
        <v>9.82</v>
      </c>
      <c r="D27" s="105">
        <v>9</v>
      </c>
      <c r="E27" s="105">
        <v>8.17</v>
      </c>
      <c r="F27" s="105">
        <v>7.33</v>
      </c>
      <c r="G27" s="105">
        <v>6.47</v>
      </c>
      <c r="H27" s="105">
        <v>5.6</v>
      </c>
      <c r="I27" s="105">
        <v>4.71</v>
      </c>
      <c r="J27" s="105">
        <v>3.8</v>
      </c>
      <c r="K27" s="105">
        <v>2.88</v>
      </c>
      <c r="L27" s="105">
        <v>1.94</v>
      </c>
      <c r="M27" s="105">
        <v>0.98</v>
      </c>
      <c r="N27" s="105">
        <v>0</v>
      </c>
    </row>
    <row r="28" spans="1:14" x14ac:dyDescent="0.25">
      <c r="A28" s="104">
        <v>1</v>
      </c>
      <c r="B28" s="105">
        <v>10.56</v>
      </c>
      <c r="C28" s="105">
        <v>9.75</v>
      </c>
      <c r="D28" s="105">
        <v>8.93</v>
      </c>
      <c r="E28" s="105">
        <v>8.1</v>
      </c>
      <c r="F28" s="105">
        <v>7.26</v>
      </c>
      <c r="G28" s="105">
        <v>6.4</v>
      </c>
      <c r="H28" s="105">
        <v>5.52</v>
      </c>
      <c r="I28" s="105">
        <v>4.63</v>
      </c>
      <c r="J28" s="105">
        <v>3.73</v>
      </c>
      <c r="K28" s="105">
        <v>2.8</v>
      </c>
      <c r="L28" s="105">
        <v>1.86</v>
      </c>
      <c r="M28" s="105">
        <v>0.9</v>
      </c>
      <c r="N28" s="105"/>
    </row>
    <row r="29" spans="1:14" x14ac:dyDescent="0.25">
      <c r="A29" s="104">
        <v>2</v>
      </c>
      <c r="B29" s="105">
        <v>10.49</v>
      </c>
      <c r="C29" s="105">
        <v>9.68</v>
      </c>
      <c r="D29" s="105">
        <v>8.86</v>
      </c>
      <c r="E29" s="105">
        <v>8.0299999999999994</v>
      </c>
      <c r="F29" s="105">
        <v>7.19</v>
      </c>
      <c r="G29" s="105">
        <v>6.32</v>
      </c>
      <c r="H29" s="105">
        <v>5.45</v>
      </c>
      <c r="I29" s="105">
        <v>4.5599999999999996</v>
      </c>
      <c r="J29" s="105">
        <v>3.65</v>
      </c>
      <c r="K29" s="105">
        <v>2.73</v>
      </c>
      <c r="L29" s="105">
        <v>1.78</v>
      </c>
      <c r="M29" s="105">
        <v>0.82</v>
      </c>
      <c r="N29" s="105"/>
    </row>
    <row r="30" spans="1:14" x14ac:dyDescent="0.25">
      <c r="A30" s="104">
        <v>3</v>
      </c>
      <c r="B30" s="105">
        <v>10.42</v>
      </c>
      <c r="C30" s="105">
        <v>9.61</v>
      </c>
      <c r="D30" s="105">
        <v>8.7899999999999991</v>
      </c>
      <c r="E30" s="105">
        <v>7.96</v>
      </c>
      <c r="F30" s="105">
        <v>7.11</v>
      </c>
      <c r="G30" s="105">
        <v>6.25</v>
      </c>
      <c r="H30" s="105">
        <v>5.38</v>
      </c>
      <c r="I30" s="105">
        <v>4.4800000000000004</v>
      </c>
      <c r="J30" s="105">
        <v>3.57</v>
      </c>
      <c r="K30" s="105">
        <v>2.65</v>
      </c>
      <c r="L30" s="105">
        <v>1.7</v>
      </c>
      <c r="M30" s="105">
        <v>0.74</v>
      </c>
      <c r="N30" s="105"/>
    </row>
    <row r="31" spans="1:14" x14ac:dyDescent="0.25">
      <c r="A31" s="104">
        <v>4</v>
      </c>
      <c r="B31" s="105">
        <v>10.35</v>
      </c>
      <c r="C31" s="105">
        <v>9.5500000000000007</v>
      </c>
      <c r="D31" s="105">
        <v>8.73</v>
      </c>
      <c r="E31" s="105">
        <v>7.89</v>
      </c>
      <c r="F31" s="105">
        <v>7.04</v>
      </c>
      <c r="G31" s="105">
        <v>6.18</v>
      </c>
      <c r="H31" s="105">
        <v>5.3</v>
      </c>
      <c r="I31" s="105">
        <v>4.41</v>
      </c>
      <c r="J31" s="105">
        <v>3.5</v>
      </c>
      <c r="K31" s="105">
        <v>2.57</v>
      </c>
      <c r="L31" s="105">
        <v>1.62</v>
      </c>
      <c r="M31" s="105">
        <v>0.65</v>
      </c>
      <c r="N31" s="105"/>
    </row>
    <row r="32" spans="1:14" x14ac:dyDescent="0.25">
      <c r="A32" s="104">
        <v>5</v>
      </c>
      <c r="B32" s="105">
        <v>10.29</v>
      </c>
      <c r="C32" s="105">
        <v>9.48</v>
      </c>
      <c r="D32" s="105">
        <v>8.66</v>
      </c>
      <c r="E32" s="105">
        <v>7.82</v>
      </c>
      <c r="F32" s="105">
        <v>6.97</v>
      </c>
      <c r="G32" s="105">
        <v>6.11</v>
      </c>
      <c r="H32" s="105">
        <v>5.23</v>
      </c>
      <c r="I32" s="105">
        <v>4.33</v>
      </c>
      <c r="J32" s="105">
        <v>3.42</v>
      </c>
      <c r="K32" s="105">
        <v>2.4900000000000002</v>
      </c>
      <c r="L32" s="105">
        <v>1.54</v>
      </c>
      <c r="M32" s="105">
        <v>0.56999999999999995</v>
      </c>
      <c r="N32" s="105"/>
    </row>
    <row r="33" spans="1:14" x14ac:dyDescent="0.25">
      <c r="A33" s="104">
        <v>6</v>
      </c>
      <c r="B33" s="105">
        <v>10.220000000000001</v>
      </c>
      <c r="C33" s="105">
        <v>9.41</v>
      </c>
      <c r="D33" s="105">
        <v>8.59</v>
      </c>
      <c r="E33" s="105">
        <v>7.75</v>
      </c>
      <c r="F33" s="105">
        <v>6.9</v>
      </c>
      <c r="G33" s="105">
        <v>6.03</v>
      </c>
      <c r="H33" s="105">
        <v>5.15</v>
      </c>
      <c r="I33" s="105">
        <v>4.26</v>
      </c>
      <c r="J33" s="105">
        <v>3.34</v>
      </c>
      <c r="K33" s="105">
        <v>2.41</v>
      </c>
      <c r="L33" s="105">
        <v>1.46</v>
      </c>
      <c r="M33" s="105">
        <v>0.49</v>
      </c>
      <c r="N33" s="105"/>
    </row>
    <row r="34" spans="1:14" x14ac:dyDescent="0.25">
      <c r="A34" s="104">
        <v>7</v>
      </c>
      <c r="B34" s="105">
        <v>10.15</v>
      </c>
      <c r="C34" s="105">
        <v>9.34</v>
      </c>
      <c r="D34" s="105">
        <v>8.52</v>
      </c>
      <c r="E34" s="105">
        <v>7.68</v>
      </c>
      <c r="F34" s="105">
        <v>6.83</v>
      </c>
      <c r="G34" s="105">
        <v>5.96</v>
      </c>
      <c r="H34" s="105">
        <v>5.08</v>
      </c>
      <c r="I34" s="105">
        <v>4.18</v>
      </c>
      <c r="J34" s="105">
        <v>3.27</v>
      </c>
      <c r="K34" s="105">
        <v>2.33</v>
      </c>
      <c r="L34" s="105">
        <v>1.38</v>
      </c>
      <c r="M34" s="105">
        <v>0.41</v>
      </c>
      <c r="N34" s="105"/>
    </row>
    <row r="35" spans="1:14" x14ac:dyDescent="0.25">
      <c r="A35" s="104">
        <v>8</v>
      </c>
      <c r="B35" s="105">
        <v>10.09</v>
      </c>
      <c r="C35" s="105">
        <v>9.27</v>
      </c>
      <c r="D35" s="105">
        <v>8.4499999999999993</v>
      </c>
      <c r="E35" s="105">
        <v>7.61</v>
      </c>
      <c r="F35" s="105">
        <v>6.76</v>
      </c>
      <c r="G35" s="105">
        <v>5.89</v>
      </c>
      <c r="H35" s="105">
        <v>5</v>
      </c>
      <c r="I35" s="105">
        <v>4.1100000000000003</v>
      </c>
      <c r="J35" s="105">
        <v>3.19</v>
      </c>
      <c r="K35" s="105">
        <v>2.2599999999999998</v>
      </c>
      <c r="L35" s="105">
        <v>1.3</v>
      </c>
      <c r="M35" s="105">
        <v>0.33</v>
      </c>
      <c r="N35" s="105"/>
    </row>
    <row r="36" spans="1:14" x14ac:dyDescent="0.25">
      <c r="A36" s="104">
        <v>9</v>
      </c>
      <c r="B36" s="105">
        <v>10.02</v>
      </c>
      <c r="C36" s="105">
        <v>9.2100000000000009</v>
      </c>
      <c r="D36" s="105">
        <v>8.3800000000000008</v>
      </c>
      <c r="E36" s="105">
        <v>7.54</v>
      </c>
      <c r="F36" s="105">
        <v>6.68</v>
      </c>
      <c r="G36" s="105">
        <v>5.82</v>
      </c>
      <c r="H36" s="105">
        <v>4.93</v>
      </c>
      <c r="I36" s="105">
        <v>4.03</v>
      </c>
      <c r="J36" s="105">
        <v>3.11</v>
      </c>
      <c r="K36" s="105">
        <v>2.1800000000000002</v>
      </c>
      <c r="L36" s="105">
        <v>1.22</v>
      </c>
      <c r="M36" s="105">
        <v>0.25</v>
      </c>
      <c r="N36" s="105"/>
    </row>
    <row r="37" spans="1:14" x14ac:dyDescent="0.25">
      <c r="A37" s="104">
        <v>10</v>
      </c>
      <c r="B37" s="105">
        <v>9.9499999999999993</v>
      </c>
      <c r="C37" s="105">
        <v>9.14</v>
      </c>
      <c r="D37" s="105">
        <v>8.31</v>
      </c>
      <c r="E37" s="105">
        <v>7.47</v>
      </c>
      <c r="F37" s="105">
        <v>6.61</v>
      </c>
      <c r="G37" s="105">
        <v>5.74</v>
      </c>
      <c r="H37" s="105">
        <v>4.8600000000000003</v>
      </c>
      <c r="I37" s="105">
        <v>3.96</v>
      </c>
      <c r="J37" s="105">
        <v>3.04</v>
      </c>
      <c r="K37" s="105">
        <v>2.1</v>
      </c>
      <c r="L37" s="105">
        <v>1.1399999999999999</v>
      </c>
      <c r="M37" s="105">
        <v>0.16</v>
      </c>
      <c r="N37" s="105"/>
    </row>
    <row r="38" spans="1:14" x14ac:dyDescent="0.25">
      <c r="A38" s="104">
        <v>11</v>
      </c>
      <c r="B38" s="105">
        <v>9.89</v>
      </c>
      <c r="C38" s="105">
        <v>9.07</v>
      </c>
      <c r="D38" s="105">
        <v>8.24</v>
      </c>
      <c r="E38" s="105">
        <v>7.4</v>
      </c>
      <c r="F38" s="105">
        <v>6.54</v>
      </c>
      <c r="G38" s="105">
        <v>5.67</v>
      </c>
      <c r="H38" s="105">
        <v>4.78</v>
      </c>
      <c r="I38" s="105">
        <v>3.88</v>
      </c>
      <c r="J38" s="105">
        <v>2.96</v>
      </c>
      <c r="K38" s="105">
        <v>2.02</v>
      </c>
      <c r="L38" s="105">
        <v>1.06</v>
      </c>
      <c r="M38" s="105">
        <v>0.08</v>
      </c>
      <c r="N38" s="105"/>
    </row>
    <row r="39" spans="1:14" x14ac:dyDescent="0.25">
      <c r="A39"/>
      <c r="B39"/>
    </row>
    <row r="40" spans="1:14" x14ac:dyDescent="0.25">
      <c r="A40"/>
      <c r="B40"/>
    </row>
    <row r="41" spans="1:14" x14ac:dyDescent="0.25">
      <c r="A41"/>
      <c r="B41"/>
    </row>
    <row r="42" spans="1:14" x14ac:dyDescent="0.25">
      <c r="A42"/>
      <c r="B42"/>
    </row>
    <row r="43" spans="1:14" x14ac:dyDescent="0.25">
      <c r="A43"/>
      <c r="B43"/>
    </row>
    <row r="44" spans="1:14" ht="39.6" customHeight="1" x14ac:dyDescent="0.25">
      <c r="A44"/>
      <c r="B44"/>
    </row>
    <row r="45" spans="1:14" x14ac:dyDescent="0.25">
      <c r="A45"/>
      <c r="B45"/>
    </row>
    <row r="46" spans="1:14" ht="27.6" customHeight="1" x14ac:dyDescent="0.25">
      <c r="A46"/>
      <c r="B46"/>
    </row>
    <row r="47" spans="1:14" x14ac:dyDescent="0.25">
      <c r="A47"/>
      <c r="B47"/>
    </row>
    <row r="48" spans="1: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1EM9FbL6DDaEr0VZP15toZBhFsfVugrIXbKXIuHsAX6DGuu2llaZgYcAsSZuSXXp3n8h/YKq0hpkA9TT91iMzA==" saltValue="YkM4WupL6CB0qCB/xrE8KA==" spinCount="100000" sheet="1" objects="1" scenarios="1"/>
  <conditionalFormatting sqref="A6:A21">
    <cfRule type="expression" dxfId="615" priority="1" stopIfTrue="1">
      <formula>MOD(ROW(),2)=0</formula>
    </cfRule>
    <cfRule type="expression" dxfId="614" priority="2" stopIfTrue="1">
      <formula>MOD(ROW(),2)&lt;&gt;0</formula>
    </cfRule>
  </conditionalFormatting>
  <conditionalFormatting sqref="A26:A38">
    <cfRule type="expression" dxfId="613" priority="9" stopIfTrue="1">
      <formula>MOD(ROW(),2)=0</formula>
    </cfRule>
    <cfRule type="expression" dxfId="612" priority="10" stopIfTrue="1">
      <formula>MOD(ROW(),2)&lt;&gt;0</formula>
    </cfRule>
  </conditionalFormatting>
  <conditionalFormatting sqref="B17:B21">
    <cfRule type="expression" dxfId="611" priority="5" stopIfTrue="1">
      <formula>MOD(ROW(),2)=0</formula>
    </cfRule>
    <cfRule type="expression" dxfId="610" priority="6" stopIfTrue="1">
      <formula>MOD(ROW(),2)&lt;&gt;0</formula>
    </cfRule>
  </conditionalFormatting>
  <conditionalFormatting sqref="B6:N21">
    <cfRule type="expression" dxfId="609" priority="27" stopIfTrue="1">
      <formula>MOD(ROW(),2)=0</formula>
    </cfRule>
    <cfRule type="expression" dxfId="608" priority="28" stopIfTrue="1">
      <formula>MOD(ROW(),2)&lt;&gt;0</formula>
    </cfRule>
  </conditionalFormatting>
  <conditionalFormatting sqref="B26:N38">
    <cfRule type="expression" dxfId="607" priority="11" stopIfTrue="1">
      <formula>MOD(ROW(),2)=0</formula>
    </cfRule>
    <cfRule type="expression" dxfId="606" priority="12" stopIfTrue="1">
      <formula>MOD(ROW(),2)&lt;&gt;0</formula>
    </cfRule>
  </conditionalFormatting>
  <hyperlinks>
    <hyperlink ref="B24" location="Sheet1!A1" display="Assumptions" xr:uid="{169A9038-2A08-46B0-AD50-7FBE20FA41D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EA95D-F7BF-47A0-8EE9-A2840E46D1C8}">
  <sheetPr codeName="Sheet4">
    <tabColor rgb="FF00B0F0"/>
  </sheetPr>
  <dimension ref="A1:I55"/>
  <sheetViews>
    <sheetView showGridLines="0" zoomScale="60" zoomScaleNormal="60" workbookViewId="0">
      <selection activeCell="A3" sqref="A3"/>
    </sheetView>
  </sheetViews>
  <sheetFormatPr defaultRowHeight="13.2" x14ac:dyDescent="0.25"/>
  <cols>
    <col min="1" max="1" width="55.77734375" customWidth="1"/>
    <col min="2" max="2" width="61.21875" customWidth="1"/>
  </cols>
  <sheetData>
    <row r="1" spans="1:9" ht="21" x14ac:dyDescent="0.4">
      <c r="A1" s="4" t="s">
        <v>0</v>
      </c>
      <c r="B1" s="10"/>
      <c r="C1" s="10"/>
      <c r="D1" s="10"/>
      <c r="E1" s="10"/>
      <c r="F1" s="10"/>
      <c r="G1" s="10"/>
      <c r="H1" s="10"/>
      <c r="I1" s="10"/>
    </row>
    <row r="2" spans="1:9" ht="15.6" x14ac:dyDescent="0.3">
      <c r="A2" s="11" t="str">
        <f>IF(title="&gt;Cover! Enter workbook title here","Enter workbook title in Cover sheet",title)</f>
        <v>Civil Service Pension Schemes - Consolidated Factor Spreadsheet</v>
      </c>
      <c r="B2" s="9"/>
      <c r="C2" s="9"/>
      <c r="D2" s="9"/>
      <c r="E2" s="9"/>
      <c r="F2" s="9"/>
      <c r="G2" s="9"/>
      <c r="H2" s="9"/>
      <c r="I2" s="9"/>
    </row>
    <row r="3" spans="1:9" ht="15.6" x14ac:dyDescent="0.3">
      <c r="A3" s="6" t="s">
        <v>13</v>
      </c>
      <c r="B3" s="9"/>
      <c r="C3" s="9"/>
      <c r="D3" s="9"/>
      <c r="E3" s="9"/>
      <c r="F3" s="9"/>
      <c r="G3" s="9"/>
      <c r="H3" s="9"/>
      <c r="I3" s="9"/>
    </row>
    <row r="4" spans="1:9" x14ac:dyDescent="0.25">
      <c r="A4" s="7"/>
      <c r="B4" s="140"/>
    </row>
    <row r="5" spans="1:9" x14ac:dyDescent="0.25">
      <c r="A5" s="150"/>
      <c r="B5" s="150"/>
    </row>
    <row r="6" spans="1:9" x14ac:dyDescent="0.25">
      <c r="A6" s="151"/>
      <c r="B6" s="150"/>
    </row>
    <row r="7" spans="1:9" x14ac:dyDescent="0.25">
      <c r="A7" s="140"/>
      <c r="B7" s="140"/>
    </row>
    <row r="8" spans="1:9" ht="15.6" x14ac:dyDescent="0.3">
      <c r="A8" s="152" t="s">
        <v>739</v>
      </c>
      <c r="B8" s="153" t="s">
        <v>332</v>
      </c>
    </row>
    <row r="9" spans="1:9" ht="15.6" x14ac:dyDescent="0.3">
      <c r="A9" s="154"/>
      <c r="B9" s="155"/>
    </row>
    <row r="10" spans="1:9" ht="15.6" x14ac:dyDescent="0.3">
      <c r="A10" s="153" t="s">
        <v>740</v>
      </c>
      <c r="B10" s="156"/>
    </row>
    <row r="11" spans="1:9" ht="15" x14ac:dyDescent="0.25">
      <c r="A11" s="157" t="s">
        <v>741</v>
      </c>
      <c r="B11" s="181">
        <v>3.7339999999999998E-2</v>
      </c>
    </row>
    <row r="12" spans="1:9" ht="15" x14ac:dyDescent="0.25">
      <c r="A12" s="156" t="s">
        <v>742</v>
      </c>
      <c r="B12" s="159">
        <v>0.02</v>
      </c>
    </row>
    <row r="13" spans="1:9" ht="15" x14ac:dyDescent="0.25">
      <c r="A13" s="160" t="s">
        <v>743</v>
      </c>
      <c r="B13" s="158" t="s">
        <v>744</v>
      </c>
    </row>
    <row r="14" spans="1:9" ht="15" x14ac:dyDescent="0.25">
      <c r="A14" s="156" t="s">
        <v>745</v>
      </c>
      <c r="B14" s="159" t="s">
        <v>744</v>
      </c>
    </row>
    <row r="15" spans="1:9" ht="15" x14ac:dyDescent="0.25">
      <c r="A15" s="157" t="s">
        <v>746</v>
      </c>
      <c r="B15" s="158">
        <v>1.4E-2</v>
      </c>
    </row>
    <row r="16" spans="1:9" ht="15" x14ac:dyDescent="0.25">
      <c r="A16" s="156" t="s">
        <v>747</v>
      </c>
      <c r="B16" s="159">
        <v>3.7999999999999999E-2</v>
      </c>
    </row>
    <row r="17" spans="1:2" ht="15" x14ac:dyDescent="0.25">
      <c r="A17" s="157" t="s">
        <v>748</v>
      </c>
      <c r="B17" s="158">
        <v>0.02</v>
      </c>
    </row>
    <row r="18" spans="1:2" ht="15" x14ac:dyDescent="0.25">
      <c r="A18" s="156" t="s">
        <v>749</v>
      </c>
      <c r="B18" s="159">
        <v>1.7000000000000001E-2</v>
      </c>
    </row>
    <row r="19" spans="1:2" ht="15" x14ac:dyDescent="0.25">
      <c r="A19" s="157" t="s">
        <v>750</v>
      </c>
      <c r="B19" s="181">
        <v>2.3019999999999999E-2</v>
      </c>
    </row>
    <row r="20" spans="1:2" ht="15" x14ac:dyDescent="0.25">
      <c r="A20" s="156" t="s">
        <v>751</v>
      </c>
      <c r="B20" s="156" t="s">
        <v>752</v>
      </c>
    </row>
    <row r="21" spans="1:2" ht="15" x14ac:dyDescent="0.25">
      <c r="A21" s="157" t="s">
        <v>753</v>
      </c>
      <c r="B21" s="161" t="s">
        <v>754</v>
      </c>
    </row>
    <row r="22" spans="1:2" ht="15" x14ac:dyDescent="0.25">
      <c r="A22" s="156"/>
      <c r="B22" s="162"/>
    </row>
    <row r="23" spans="1:2" ht="15.6" x14ac:dyDescent="0.3">
      <c r="A23" s="155" t="s">
        <v>755</v>
      </c>
      <c r="B23" s="157"/>
    </row>
    <row r="24" spans="1:2" ht="15" x14ac:dyDescent="0.25">
      <c r="A24" s="156" t="s">
        <v>756</v>
      </c>
      <c r="B24" s="156" t="s">
        <v>757</v>
      </c>
    </row>
    <row r="25" spans="1:2" ht="15" x14ac:dyDescent="0.25">
      <c r="A25" s="157" t="s">
        <v>758</v>
      </c>
      <c r="B25" s="157" t="s">
        <v>759</v>
      </c>
    </row>
    <row r="26" spans="1:2" ht="15" x14ac:dyDescent="0.25">
      <c r="A26" s="156" t="s">
        <v>760</v>
      </c>
      <c r="B26" s="156" t="s">
        <v>757</v>
      </c>
    </row>
    <row r="27" spans="1:2" ht="15" x14ac:dyDescent="0.25">
      <c r="A27" s="157" t="s">
        <v>761</v>
      </c>
      <c r="B27" s="157" t="s">
        <v>759</v>
      </c>
    </row>
    <row r="28" spans="1:2" ht="15" x14ac:dyDescent="0.25">
      <c r="A28" s="156" t="s">
        <v>762</v>
      </c>
      <c r="B28" s="156" t="s">
        <v>763</v>
      </c>
    </row>
    <row r="29" spans="1:2" ht="15" x14ac:dyDescent="0.25">
      <c r="A29" s="157" t="s">
        <v>764</v>
      </c>
      <c r="B29" s="157" t="s">
        <v>765</v>
      </c>
    </row>
    <row r="30" spans="1:2" ht="15" x14ac:dyDescent="0.25">
      <c r="A30" s="156" t="s">
        <v>766</v>
      </c>
      <c r="B30" s="156" t="s">
        <v>767</v>
      </c>
    </row>
    <row r="31" spans="1:2" ht="15" x14ac:dyDescent="0.25">
      <c r="A31" s="157" t="s">
        <v>768</v>
      </c>
      <c r="B31" s="157">
        <v>2024</v>
      </c>
    </row>
    <row r="32" spans="1:2" ht="15" x14ac:dyDescent="0.25">
      <c r="A32" s="156" t="s">
        <v>769</v>
      </c>
      <c r="B32" s="156" t="s">
        <v>752</v>
      </c>
    </row>
    <row r="33" spans="1:4" ht="15" x14ac:dyDescent="0.25">
      <c r="A33" s="157"/>
      <c r="B33" s="157"/>
    </row>
    <row r="34" spans="1:4" ht="15.6" x14ac:dyDescent="0.3">
      <c r="A34" s="153" t="s">
        <v>770</v>
      </c>
      <c r="B34" s="156"/>
    </row>
    <row r="35" spans="1:4" ht="15" x14ac:dyDescent="0.25">
      <c r="A35" s="157" t="s">
        <v>771</v>
      </c>
      <c r="B35" s="163">
        <v>0.5</v>
      </c>
    </row>
    <row r="36" spans="1:4" ht="15" x14ac:dyDescent="0.25">
      <c r="A36" s="156" t="s">
        <v>772</v>
      </c>
      <c r="B36" s="164">
        <v>0.5</v>
      </c>
    </row>
    <row r="37" spans="1:4" ht="30" x14ac:dyDescent="0.25">
      <c r="A37" s="157" t="s">
        <v>773</v>
      </c>
      <c r="B37" s="157" t="s">
        <v>774</v>
      </c>
    </row>
    <row r="38" spans="1:4" ht="30" x14ac:dyDescent="0.25">
      <c r="A38" s="156" t="s">
        <v>775</v>
      </c>
      <c r="B38" s="156" t="s">
        <v>776</v>
      </c>
    </row>
    <row r="39" spans="1:4" ht="60" x14ac:dyDescent="0.25">
      <c r="A39" s="161" t="s">
        <v>777</v>
      </c>
      <c r="B39" s="161" t="s">
        <v>778</v>
      </c>
      <c r="D39" s="182"/>
    </row>
    <row r="40" spans="1:4" ht="15" x14ac:dyDescent="0.25">
      <c r="A40" s="162" t="s">
        <v>779</v>
      </c>
      <c r="B40" s="162" t="s">
        <v>780</v>
      </c>
    </row>
    <row r="41" spans="1:4" ht="15" x14ac:dyDescent="0.25">
      <c r="A41" s="161" t="s">
        <v>781</v>
      </c>
      <c r="B41" s="161" t="s">
        <v>752</v>
      </c>
    </row>
    <row r="42" spans="1:4" ht="15" x14ac:dyDescent="0.25">
      <c r="A42" s="162" t="s">
        <v>782</v>
      </c>
      <c r="B42" s="162" t="s">
        <v>752</v>
      </c>
    </row>
    <row r="43" spans="1:4" ht="15" x14ac:dyDescent="0.25">
      <c r="A43" s="161" t="s">
        <v>783</v>
      </c>
      <c r="B43" s="161" t="s">
        <v>784</v>
      </c>
    </row>
    <row r="44" spans="1:4" ht="15" x14ac:dyDescent="0.25">
      <c r="A44" s="162" t="s">
        <v>785</v>
      </c>
      <c r="B44" s="162" t="s">
        <v>786</v>
      </c>
    </row>
    <row r="45" spans="1:4" ht="15" x14ac:dyDescent="0.25">
      <c r="A45" s="161" t="s">
        <v>787</v>
      </c>
      <c r="B45" s="161" t="s">
        <v>752</v>
      </c>
    </row>
    <row r="46" spans="1:4" ht="15" x14ac:dyDescent="0.25">
      <c r="A46" s="162" t="s">
        <v>788</v>
      </c>
      <c r="B46" s="162" t="s">
        <v>786</v>
      </c>
    </row>
    <row r="47" spans="1:4" ht="15" x14ac:dyDescent="0.25">
      <c r="A47" s="161" t="s">
        <v>789</v>
      </c>
      <c r="B47" s="161" t="s">
        <v>752</v>
      </c>
    </row>
    <row r="48" spans="1:4" ht="15" x14ac:dyDescent="0.25">
      <c r="A48" s="162" t="s">
        <v>790</v>
      </c>
      <c r="B48" s="162" t="s">
        <v>791</v>
      </c>
    </row>
    <row r="49" spans="1:4" ht="15" x14ac:dyDescent="0.25">
      <c r="A49" s="161" t="s">
        <v>792</v>
      </c>
      <c r="B49" s="161" t="s">
        <v>793</v>
      </c>
    </row>
    <row r="50" spans="1:4" ht="90" x14ac:dyDescent="0.25">
      <c r="A50" s="156" t="s">
        <v>794</v>
      </c>
      <c r="B50" s="156" t="s">
        <v>795</v>
      </c>
      <c r="D50" s="182"/>
    </row>
    <row r="51" spans="1:4" ht="15" x14ac:dyDescent="0.25">
      <c r="A51" s="157"/>
      <c r="B51" s="157"/>
    </row>
    <row r="52" spans="1:4" ht="15.6" x14ac:dyDescent="0.3">
      <c r="A52" s="153" t="s">
        <v>796</v>
      </c>
      <c r="B52" s="156"/>
    </row>
    <row r="53" spans="1:4" ht="15" x14ac:dyDescent="0.25">
      <c r="A53" s="157" t="s">
        <v>797</v>
      </c>
      <c r="B53" s="157" t="s">
        <v>798</v>
      </c>
      <c r="D53" s="140"/>
    </row>
    <row r="54" spans="1:4" ht="30" x14ac:dyDescent="0.25">
      <c r="A54" s="157" t="s">
        <v>799</v>
      </c>
      <c r="B54" s="157" t="s">
        <v>800</v>
      </c>
    </row>
    <row r="55" spans="1:4" ht="30" x14ac:dyDescent="0.25">
      <c r="A55" s="157" t="s">
        <v>801</v>
      </c>
      <c r="B55" s="157" t="s">
        <v>802</v>
      </c>
    </row>
  </sheetData>
  <sheetProtection algorithmName="SHA-512" hashValue="3+lLhETUU5shk+ckARj1BHcIG4btM3H2bUaQ+gFQSYc9+mntbVTGlTSvErGwly+mPQboZst+990lxXcK46RrLg==" saltValue="bkZuiV2uZk+cG1tySX2KYA==" spinCount="100000" sheet="1" objects="1" scenarios="1"/>
  <pageMargins left="0.7" right="0.7" top="0.75" bottom="0.75" header="0.3" footer="0.3"/>
  <pageSetup paperSize="9" orientation="portrait"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138"/>
  <dimension ref="A1:O65"/>
  <sheetViews>
    <sheetView showGridLines="0" zoomScale="85" zoomScaleNormal="85" workbookViewId="0">
      <selection activeCell="A4" sqref="A4"/>
    </sheetView>
  </sheetViews>
  <sheetFormatPr defaultColWidth="10" defaultRowHeight="13.2" x14ac:dyDescent="0.25"/>
  <cols>
    <col min="1" max="1" width="31.5546875" style="27" customWidth="1"/>
    <col min="2" max="15" width="22.5546875" style="27" customWidth="1"/>
    <col min="16" max="16384" width="10" style="27"/>
  </cols>
  <sheetData>
    <row r="1" spans="1:15" ht="21" x14ac:dyDescent="0.4">
      <c r="A1" s="39" t="s">
        <v>0</v>
      </c>
      <c r="B1" s="40"/>
      <c r="C1" s="40"/>
      <c r="D1" s="40"/>
      <c r="E1" s="40"/>
      <c r="F1" s="40"/>
      <c r="G1" s="40"/>
      <c r="H1" s="40"/>
      <c r="I1" s="40"/>
    </row>
    <row r="2" spans="1:15"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5" ht="15.6" x14ac:dyDescent="0.3">
      <c r="A3" s="43" t="str">
        <f>TABLE_FACTOR_TYPE_1&amp;" - x-"&amp;TABLE_SERIES_NUMBER_1</f>
        <v>ARBO - x-705</v>
      </c>
      <c r="B3" s="42"/>
      <c r="C3" s="42"/>
      <c r="D3" s="42"/>
      <c r="E3" s="42"/>
      <c r="F3" s="42"/>
      <c r="G3" s="42"/>
      <c r="H3" s="42"/>
      <c r="I3" s="42"/>
    </row>
    <row r="4" spans="1:15" x14ac:dyDescent="0.25">
      <c r="A4" s="44"/>
    </row>
    <row r="6" spans="1:15" x14ac:dyDescent="0.25">
      <c r="A6" s="76" t="s">
        <v>290</v>
      </c>
      <c r="B6" s="129" t="s">
        <v>291</v>
      </c>
      <c r="C6" s="129"/>
      <c r="D6" s="129"/>
      <c r="E6" s="129"/>
      <c r="F6" s="129"/>
      <c r="G6" s="129"/>
      <c r="H6" s="129"/>
      <c r="I6" s="129"/>
      <c r="J6" s="129"/>
      <c r="K6" s="129"/>
      <c r="L6" s="129"/>
      <c r="M6" s="129"/>
      <c r="N6" s="129"/>
      <c r="O6" s="129"/>
    </row>
    <row r="7" spans="1:15" x14ac:dyDescent="0.25">
      <c r="A7" s="77" t="s">
        <v>804</v>
      </c>
      <c r="B7" s="129" t="s">
        <v>324</v>
      </c>
      <c r="C7" s="129"/>
      <c r="D7" s="129"/>
      <c r="E7" s="129"/>
      <c r="F7" s="129"/>
      <c r="G7" s="129"/>
      <c r="H7" s="129"/>
      <c r="I7" s="129"/>
      <c r="J7" s="129"/>
      <c r="K7" s="129"/>
      <c r="L7" s="129"/>
      <c r="M7" s="129"/>
      <c r="N7" s="129"/>
      <c r="O7" s="129"/>
    </row>
    <row r="8" spans="1:15" x14ac:dyDescent="0.25">
      <c r="A8" s="77" t="s">
        <v>805</v>
      </c>
      <c r="B8" s="129" t="s">
        <v>85</v>
      </c>
      <c r="C8" s="129"/>
      <c r="D8" s="129"/>
      <c r="E8" s="129"/>
      <c r="F8" s="129"/>
      <c r="G8" s="129"/>
      <c r="H8" s="129"/>
      <c r="I8" s="129"/>
      <c r="J8" s="129"/>
      <c r="K8" s="129"/>
      <c r="L8" s="129"/>
      <c r="M8" s="129"/>
      <c r="N8" s="129"/>
      <c r="O8" s="129"/>
    </row>
    <row r="9" spans="1:15" x14ac:dyDescent="0.25">
      <c r="A9" s="77" t="s">
        <v>296</v>
      </c>
      <c r="B9" s="129" t="s">
        <v>565</v>
      </c>
      <c r="C9" s="129"/>
      <c r="D9" s="129"/>
      <c r="E9" s="129"/>
      <c r="F9" s="129"/>
      <c r="G9" s="129"/>
      <c r="H9" s="129"/>
      <c r="I9" s="129"/>
      <c r="J9" s="129"/>
      <c r="K9" s="129"/>
      <c r="L9" s="129"/>
      <c r="M9" s="129"/>
      <c r="N9" s="129"/>
      <c r="O9" s="129"/>
    </row>
    <row r="10" spans="1:15" x14ac:dyDescent="0.25">
      <c r="A10" s="77" t="s">
        <v>6</v>
      </c>
      <c r="B10" s="129" t="s">
        <v>579</v>
      </c>
      <c r="C10" s="129"/>
      <c r="D10" s="129"/>
      <c r="E10" s="129"/>
      <c r="F10" s="129"/>
      <c r="G10" s="129"/>
      <c r="H10" s="129"/>
      <c r="I10" s="129"/>
      <c r="J10" s="129"/>
      <c r="K10" s="129"/>
      <c r="L10" s="129"/>
      <c r="M10" s="129"/>
      <c r="N10" s="129"/>
      <c r="O10" s="129"/>
    </row>
    <row r="11" spans="1:15" x14ac:dyDescent="0.25">
      <c r="A11" s="77" t="s">
        <v>299</v>
      </c>
      <c r="B11" s="129" t="s">
        <v>364</v>
      </c>
      <c r="C11" s="129"/>
      <c r="D11" s="129"/>
      <c r="E11" s="129"/>
      <c r="F11" s="129"/>
      <c r="G11" s="129"/>
      <c r="H11" s="129"/>
      <c r="I11" s="129"/>
      <c r="J11" s="129"/>
      <c r="K11" s="129"/>
      <c r="L11" s="129"/>
      <c r="M11" s="129"/>
      <c r="N11" s="129"/>
      <c r="O11" s="129"/>
    </row>
    <row r="12" spans="1:15" x14ac:dyDescent="0.25">
      <c r="A12" s="77" t="s">
        <v>301</v>
      </c>
      <c r="B12" s="129" t="s">
        <v>567</v>
      </c>
      <c r="C12" s="129"/>
      <c r="D12" s="129"/>
      <c r="E12" s="129"/>
      <c r="F12" s="129"/>
      <c r="G12" s="129"/>
      <c r="H12" s="129"/>
      <c r="I12" s="129"/>
      <c r="J12" s="129"/>
      <c r="K12" s="129"/>
      <c r="L12" s="129"/>
      <c r="M12" s="129"/>
      <c r="N12" s="129"/>
      <c r="O12" s="129"/>
    </row>
    <row r="13" spans="1:15" x14ac:dyDescent="0.25">
      <c r="A13" s="77" t="s">
        <v>806</v>
      </c>
      <c r="B13" s="129">
        <v>0</v>
      </c>
      <c r="C13" s="129"/>
      <c r="D13" s="129"/>
      <c r="E13" s="129"/>
      <c r="F13" s="129"/>
      <c r="G13" s="129"/>
      <c r="H13" s="129"/>
      <c r="I13" s="129"/>
      <c r="J13" s="129"/>
      <c r="K13" s="129"/>
      <c r="L13" s="129"/>
      <c r="M13" s="129"/>
      <c r="N13" s="129"/>
      <c r="O13" s="129"/>
    </row>
    <row r="14" spans="1:15" x14ac:dyDescent="0.25">
      <c r="A14" s="77" t="s">
        <v>305</v>
      </c>
      <c r="B14" s="129">
        <v>705</v>
      </c>
      <c r="C14" s="129"/>
      <c r="D14" s="129"/>
      <c r="E14" s="129"/>
      <c r="F14" s="129"/>
      <c r="G14" s="129"/>
      <c r="H14" s="129"/>
      <c r="I14" s="129"/>
      <c r="J14" s="129"/>
      <c r="K14" s="129"/>
      <c r="L14" s="129"/>
      <c r="M14" s="129"/>
      <c r="N14" s="129"/>
      <c r="O14" s="129"/>
    </row>
    <row r="15" spans="1:15" x14ac:dyDescent="0.25">
      <c r="A15" s="77" t="s">
        <v>307</v>
      </c>
      <c r="B15" s="129" t="s">
        <v>580</v>
      </c>
      <c r="C15" s="129"/>
      <c r="D15" s="129"/>
      <c r="E15" s="129"/>
      <c r="F15" s="129"/>
      <c r="G15" s="129"/>
      <c r="H15" s="129"/>
      <c r="I15" s="129"/>
      <c r="J15" s="129"/>
      <c r="K15" s="129"/>
      <c r="L15" s="129"/>
      <c r="M15" s="129"/>
      <c r="N15" s="129"/>
      <c r="O15" s="129"/>
    </row>
    <row r="16" spans="1:15" x14ac:dyDescent="0.25">
      <c r="A16" s="77" t="s">
        <v>309</v>
      </c>
      <c r="B16" s="129" t="s">
        <v>581</v>
      </c>
      <c r="C16" s="129"/>
      <c r="D16" s="129"/>
      <c r="E16" s="129"/>
      <c r="F16" s="129"/>
      <c r="G16" s="129"/>
      <c r="H16" s="129"/>
      <c r="I16" s="129"/>
      <c r="J16" s="129"/>
      <c r="K16" s="129"/>
      <c r="L16" s="129"/>
      <c r="M16" s="129"/>
      <c r="N16" s="129"/>
      <c r="O16" s="129"/>
    </row>
    <row r="17" spans="1:15" x14ac:dyDescent="0.25">
      <c r="A17" s="77" t="s">
        <v>803</v>
      </c>
      <c r="B17" s="129"/>
      <c r="C17" s="129"/>
      <c r="D17" s="129"/>
      <c r="E17" s="129"/>
      <c r="F17" s="129"/>
      <c r="G17" s="129"/>
      <c r="H17" s="129"/>
      <c r="I17" s="129"/>
      <c r="J17" s="129"/>
      <c r="K17" s="129"/>
      <c r="L17" s="129"/>
      <c r="M17" s="129"/>
      <c r="N17" s="129"/>
      <c r="O17" s="129"/>
    </row>
    <row r="18" spans="1:15" x14ac:dyDescent="0.25">
      <c r="A18" s="77" t="s">
        <v>313</v>
      </c>
      <c r="B18" s="187">
        <v>45135</v>
      </c>
      <c r="C18" s="129"/>
      <c r="D18" s="129"/>
      <c r="E18" s="129"/>
      <c r="F18" s="129"/>
      <c r="G18" s="129"/>
      <c r="H18" s="129"/>
      <c r="I18" s="129"/>
      <c r="J18" s="129"/>
      <c r="K18" s="129"/>
      <c r="L18" s="129"/>
      <c r="M18" s="129"/>
      <c r="N18" s="129"/>
      <c r="O18" s="129"/>
    </row>
    <row r="19" spans="1:15" x14ac:dyDescent="0.25">
      <c r="A19" s="77" t="s">
        <v>315</v>
      </c>
      <c r="B19" s="187"/>
      <c r="C19" s="129"/>
      <c r="D19" s="129"/>
      <c r="E19" s="129"/>
      <c r="F19" s="129"/>
      <c r="G19" s="129"/>
      <c r="H19" s="129"/>
      <c r="I19" s="129"/>
      <c r="J19" s="129"/>
      <c r="K19" s="129"/>
      <c r="L19" s="129"/>
      <c r="M19" s="129"/>
      <c r="N19" s="129"/>
      <c r="O19" s="129"/>
    </row>
    <row r="20" spans="1:15" x14ac:dyDescent="0.25">
      <c r="A20" s="77" t="s">
        <v>317</v>
      </c>
      <c r="B20" s="129" t="s">
        <v>331</v>
      </c>
      <c r="C20" s="129"/>
      <c r="D20" s="129"/>
      <c r="E20" s="129"/>
      <c r="F20" s="129"/>
      <c r="G20" s="129"/>
      <c r="H20" s="129"/>
      <c r="I20" s="129"/>
      <c r="J20" s="129"/>
      <c r="K20" s="129"/>
      <c r="L20" s="129"/>
      <c r="M20" s="129"/>
      <c r="N20" s="129"/>
      <c r="O20" s="129"/>
    </row>
    <row r="21" spans="1:15" x14ac:dyDescent="0.25">
      <c r="A21" s="77" t="s">
        <v>323</v>
      </c>
      <c r="B21" s="129" t="s">
        <v>332</v>
      </c>
      <c r="C21" s="129"/>
      <c r="D21" s="129"/>
      <c r="E21" s="129"/>
      <c r="F21" s="129"/>
      <c r="G21" s="129"/>
      <c r="H21" s="129"/>
      <c r="I21" s="129"/>
      <c r="J21" s="129"/>
      <c r="K21" s="129"/>
      <c r="L21" s="129"/>
      <c r="M21" s="129"/>
      <c r="N21" s="129"/>
      <c r="O21" s="129"/>
    </row>
    <row r="23" spans="1:15" x14ac:dyDescent="0.25">
      <c r="B23" s="102" t="str">
        <f>HYPERLINK("#'Factor List'!A1","Back to Factor List")</f>
        <v>Back to Factor List</v>
      </c>
    </row>
    <row r="24" spans="1:15" x14ac:dyDescent="0.25">
      <c r="B24" s="102" t="s">
        <v>13</v>
      </c>
    </row>
    <row r="25" spans="1:15" x14ac:dyDescent="0.25">
      <c r="B25" s="102"/>
    </row>
    <row r="26" spans="1:15" x14ac:dyDescent="0.25">
      <c r="A26" s="103" t="s">
        <v>855</v>
      </c>
      <c r="B26" s="103">
        <v>55</v>
      </c>
      <c r="C26" s="103">
        <v>56</v>
      </c>
      <c r="D26" s="103">
        <v>57</v>
      </c>
      <c r="E26" s="103">
        <v>58</v>
      </c>
      <c r="F26" s="103">
        <v>59</v>
      </c>
      <c r="G26" s="103">
        <v>60</v>
      </c>
      <c r="H26" s="103">
        <v>61</v>
      </c>
      <c r="I26" s="103">
        <v>62</v>
      </c>
      <c r="J26" s="103">
        <v>63</v>
      </c>
      <c r="K26" s="103">
        <v>64</v>
      </c>
      <c r="L26" s="103">
        <v>65</v>
      </c>
      <c r="M26" s="103">
        <v>66</v>
      </c>
      <c r="N26" s="103">
        <v>67</v>
      </c>
      <c r="O26" s="103">
        <v>68</v>
      </c>
    </row>
    <row r="27" spans="1:15" x14ac:dyDescent="0.25">
      <c r="A27" s="104">
        <v>0</v>
      </c>
      <c r="B27" s="105">
        <v>11.39</v>
      </c>
      <c r="C27" s="105">
        <v>10.6</v>
      </c>
      <c r="D27" s="105">
        <v>9.8000000000000007</v>
      </c>
      <c r="E27" s="105">
        <v>8.98</v>
      </c>
      <c r="F27" s="105">
        <v>8.15</v>
      </c>
      <c r="G27" s="105">
        <v>7.31</v>
      </c>
      <c r="H27" s="105">
        <v>6.46</v>
      </c>
      <c r="I27" s="105">
        <v>5.59</v>
      </c>
      <c r="J27" s="105">
        <v>4.7</v>
      </c>
      <c r="K27" s="105">
        <v>3.8</v>
      </c>
      <c r="L27" s="105">
        <v>2.88</v>
      </c>
      <c r="M27" s="105">
        <v>1.94</v>
      </c>
      <c r="N27" s="105">
        <v>0.98</v>
      </c>
      <c r="O27" s="105">
        <v>0</v>
      </c>
    </row>
    <row r="28" spans="1:15" x14ac:dyDescent="0.25">
      <c r="A28" s="104">
        <v>1</v>
      </c>
      <c r="B28" s="105">
        <v>11.32</v>
      </c>
      <c r="C28" s="105">
        <v>10.53</v>
      </c>
      <c r="D28" s="105">
        <v>9.73</v>
      </c>
      <c r="E28" s="105">
        <v>8.91</v>
      </c>
      <c r="F28" s="105">
        <v>8.08</v>
      </c>
      <c r="G28" s="105">
        <v>7.24</v>
      </c>
      <c r="H28" s="105">
        <v>6.38</v>
      </c>
      <c r="I28" s="105">
        <v>5.51</v>
      </c>
      <c r="J28" s="105">
        <v>4.62</v>
      </c>
      <c r="K28" s="105">
        <v>3.72</v>
      </c>
      <c r="L28" s="105">
        <v>2.8</v>
      </c>
      <c r="M28" s="105">
        <v>1.86</v>
      </c>
      <c r="N28" s="105">
        <v>0.9</v>
      </c>
      <c r="O28" s="105"/>
    </row>
    <row r="29" spans="1:15" x14ac:dyDescent="0.25">
      <c r="A29" s="104">
        <v>2</v>
      </c>
      <c r="B29" s="105">
        <v>11.26</v>
      </c>
      <c r="C29" s="105">
        <v>10.46</v>
      </c>
      <c r="D29" s="105">
        <v>9.66</v>
      </c>
      <c r="E29" s="105">
        <v>8.84</v>
      </c>
      <c r="F29" s="105">
        <v>8.01</v>
      </c>
      <c r="G29" s="105">
        <v>7.17</v>
      </c>
      <c r="H29" s="105">
        <v>6.31</v>
      </c>
      <c r="I29" s="105">
        <v>5.44</v>
      </c>
      <c r="J29" s="105">
        <v>4.55</v>
      </c>
      <c r="K29" s="105">
        <v>3.64</v>
      </c>
      <c r="L29" s="105">
        <v>2.72</v>
      </c>
      <c r="M29" s="105">
        <v>1.78</v>
      </c>
      <c r="N29" s="105">
        <v>0.82</v>
      </c>
      <c r="O29" s="105"/>
    </row>
    <row r="30" spans="1:15" x14ac:dyDescent="0.25">
      <c r="A30" s="104">
        <v>3</v>
      </c>
      <c r="B30" s="105">
        <v>11.19</v>
      </c>
      <c r="C30" s="105">
        <v>10.4</v>
      </c>
      <c r="D30" s="105">
        <v>9.59</v>
      </c>
      <c r="E30" s="105">
        <v>8.77</v>
      </c>
      <c r="F30" s="105">
        <v>7.94</v>
      </c>
      <c r="G30" s="105">
        <v>7.1</v>
      </c>
      <c r="H30" s="105">
        <v>6.24</v>
      </c>
      <c r="I30" s="105">
        <v>5.36</v>
      </c>
      <c r="J30" s="105">
        <v>4.47</v>
      </c>
      <c r="K30" s="105">
        <v>3.57</v>
      </c>
      <c r="L30" s="105">
        <v>2.64</v>
      </c>
      <c r="M30" s="105">
        <v>1.7</v>
      </c>
      <c r="N30" s="105">
        <v>0.74</v>
      </c>
      <c r="O30" s="105"/>
    </row>
    <row r="31" spans="1:15" x14ac:dyDescent="0.25">
      <c r="A31" s="104">
        <v>4</v>
      </c>
      <c r="B31" s="105">
        <v>11.12</v>
      </c>
      <c r="C31" s="105">
        <v>10.33</v>
      </c>
      <c r="D31" s="105">
        <v>9.52</v>
      </c>
      <c r="E31" s="105">
        <v>8.7100000000000009</v>
      </c>
      <c r="F31" s="105">
        <v>7.87</v>
      </c>
      <c r="G31" s="105">
        <v>7.03</v>
      </c>
      <c r="H31" s="105">
        <v>6.17</v>
      </c>
      <c r="I31" s="105">
        <v>5.29</v>
      </c>
      <c r="J31" s="105">
        <v>4.4000000000000004</v>
      </c>
      <c r="K31" s="105">
        <v>3.49</v>
      </c>
      <c r="L31" s="105">
        <v>2.56</v>
      </c>
      <c r="M31" s="105">
        <v>1.62</v>
      </c>
      <c r="N31" s="105">
        <v>0.65</v>
      </c>
      <c r="O31" s="105"/>
    </row>
    <row r="32" spans="1:15" x14ac:dyDescent="0.25">
      <c r="A32" s="104">
        <v>5</v>
      </c>
      <c r="B32" s="105">
        <v>11.06</v>
      </c>
      <c r="C32" s="105">
        <v>10.26</v>
      </c>
      <c r="D32" s="105">
        <v>9.4600000000000009</v>
      </c>
      <c r="E32" s="105">
        <v>8.64</v>
      </c>
      <c r="F32" s="105">
        <v>7.8</v>
      </c>
      <c r="G32" s="105">
        <v>6.96</v>
      </c>
      <c r="H32" s="105">
        <v>6.09</v>
      </c>
      <c r="I32" s="105">
        <v>5.22</v>
      </c>
      <c r="J32" s="105">
        <v>4.32</v>
      </c>
      <c r="K32" s="105">
        <v>3.41</v>
      </c>
      <c r="L32" s="105">
        <v>2.4900000000000002</v>
      </c>
      <c r="M32" s="105">
        <v>1.54</v>
      </c>
      <c r="N32" s="105">
        <v>0.56999999999999995</v>
      </c>
      <c r="O32" s="105"/>
    </row>
    <row r="33" spans="1:15" x14ac:dyDescent="0.25">
      <c r="A33" s="104">
        <v>6</v>
      </c>
      <c r="B33" s="105">
        <v>10.99</v>
      </c>
      <c r="C33" s="105">
        <v>10.199999999999999</v>
      </c>
      <c r="D33" s="105">
        <v>9.39</v>
      </c>
      <c r="E33" s="105">
        <v>8.57</v>
      </c>
      <c r="F33" s="105">
        <v>7.73</v>
      </c>
      <c r="G33" s="105">
        <v>6.88</v>
      </c>
      <c r="H33" s="105">
        <v>6.02</v>
      </c>
      <c r="I33" s="105">
        <v>5.14</v>
      </c>
      <c r="J33" s="105">
        <v>4.25</v>
      </c>
      <c r="K33" s="105">
        <v>3.34</v>
      </c>
      <c r="L33" s="105">
        <v>2.41</v>
      </c>
      <c r="M33" s="105">
        <v>1.46</v>
      </c>
      <c r="N33" s="105">
        <v>0.49</v>
      </c>
      <c r="O33" s="105"/>
    </row>
    <row r="34" spans="1:15" x14ac:dyDescent="0.25">
      <c r="A34" s="104">
        <v>7</v>
      </c>
      <c r="B34" s="105">
        <v>10.93</v>
      </c>
      <c r="C34" s="105">
        <v>10.130000000000001</v>
      </c>
      <c r="D34" s="105">
        <v>9.32</v>
      </c>
      <c r="E34" s="105">
        <v>8.5</v>
      </c>
      <c r="F34" s="105">
        <v>7.66</v>
      </c>
      <c r="G34" s="105">
        <v>6.81</v>
      </c>
      <c r="H34" s="105">
        <v>5.95</v>
      </c>
      <c r="I34" s="105">
        <v>5.07</v>
      </c>
      <c r="J34" s="105">
        <v>4.17</v>
      </c>
      <c r="K34" s="105">
        <v>3.26</v>
      </c>
      <c r="L34" s="105">
        <v>2.33</v>
      </c>
      <c r="M34" s="105">
        <v>1.38</v>
      </c>
      <c r="N34" s="105">
        <v>0.41</v>
      </c>
      <c r="O34" s="105"/>
    </row>
    <row r="35" spans="1:15" x14ac:dyDescent="0.25">
      <c r="A35" s="104">
        <v>8</v>
      </c>
      <c r="B35" s="105">
        <v>10.86</v>
      </c>
      <c r="C35" s="105">
        <v>10.06</v>
      </c>
      <c r="D35" s="105">
        <v>9.25</v>
      </c>
      <c r="E35" s="105">
        <v>8.43</v>
      </c>
      <c r="F35" s="105">
        <v>7.59</v>
      </c>
      <c r="G35" s="105">
        <v>6.74</v>
      </c>
      <c r="H35" s="105">
        <v>5.88</v>
      </c>
      <c r="I35" s="105">
        <v>5</v>
      </c>
      <c r="J35" s="105">
        <v>4.0999999999999996</v>
      </c>
      <c r="K35" s="105">
        <v>3.18</v>
      </c>
      <c r="L35" s="105">
        <v>2.25</v>
      </c>
      <c r="M35" s="105">
        <v>1.3</v>
      </c>
      <c r="N35" s="105">
        <v>0.33</v>
      </c>
      <c r="O35" s="105"/>
    </row>
    <row r="36" spans="1:15" x14ac:dyDescent="0.25">
      <c r="A36" s="104">
        <v>9</v>
      </c>
      <c r="B36" s="105">
        <v>10.8</v>
      </c>
      <c r="C36" s="105">
        <v>10</v>
      </c>
      <c r="D36" s="105">
        <v>9.18</v>
      </c>
      <c r="E36" s="105">
        <v>8.36</v>
      </c>
      <c r="F36" s="105">
        <v>7.52</v>
      </c>
      <c r="G36" s="105">
        <v>6.67</v>
      </c>
      <c r="H36" s="105">
        <v>5.8</v>
      </c>
      <c r="I36" s="105">
        <v>4.92</v>
      </c>
      <c r="J36" s="105">
        <v>4.0199999999999996</v>
      </c>
      <c r="K36" s="105">
        <v>3.11</v>
      </c>
      <c r="L36" s="105">
        <v>2.17</v>
      </c>
      <c r="M36" s="105">
        <v>1.22</v>
      </c>
      <c r="N36" s="105">
        <v>0.25</v>
      </c>
      <c r="O36" s="105"/>
    </row>
    <row r="37" spans="1:15" x14ac:dyDescent="0.25">
      <c r="A37" s="104">
        <v>10</v>
      </c>
      <c r="B37" s="105">
        <v>10.73</v>
      </c>
      <c r="C37" s="105">
        <v>9.93</v>
      </c>
      <c r="D37" s="105">
        <v>9.1199999999999992</v>
      </c>
      <c r="E37" s="105">
        <v>8.2899999999999991</v>
      </c>
      <c r="F37" s="105">
        <v>7.45</v>
      </c>
      <c r="G37" s="105">
        <v>6.6</v>
      </c>
      <c r="H37" s="105">
        <v>5.73</v>
      </c>
      <c r="I37" s="105">
        <v>4.8499999999999996</v>
      </c>
      <c r="J37" s="105">
        <v>3.95</v>
      </c>
      <c r="K37" s="105">
        <v>3.03</v>
      </c>
      <c r="L37" s="105">
        <v>2.1</v>
      </c>
      <c r="M37" s="105">
        <v>1.1399999999999999</v>
      </c>
      <c r="N37" s="105">
        <v>0.16</v>
      </c>
      <c r="O37" s="105"/>
    </row>
    <row r="38" spans="1:15" x14ac:dyDescent="0.25">
      <c r="A38" s="104">
        <v>11</v>
      </c>
      <c r="B38" s="105">
        <v>10.66</v>
      </c>
      <c r="C38" s="105">
        <v>9.86</v>
      </c>
      <c r="D38" s="105">
        <v>9.0500000000000007</v>
      </c>
      <c r="E38" s="105">
        <v>8.2200000000000006</v>
      </c>
      <c r="F38" s="105">
        <v>7.38</v>
      </c>
      <c r="G38" s="105">
        <v>6.53</v>
      </c>
      <c r="H38" s="105">
        <v>5.66</v>
      </c>
      <c r="I38" s="105">
        <v>4.7699999999999996</v>
      </c>
      <c r="J38" s="105">
        <v>3.87</v>
      </c>
      <c r="K38" s="105">
        <v>2.95</v>
      </c>
      <c r="L38" s="105">
        <v>2.02</v>
      </c>
      <c r="M38" s="105">
        <v>1.06</v>
      </c>
      <c r="N38" s="105">
        <v>0.08</v>
      </c>
      <c r="O38" s="105"/>
    </row>
    <row r="39" spans="1:15" x14ac:dyDescent="0.25">
      <c r="A39"/>
      <c r="B39"/>
    </row>
    <row r="40" spans="1:15" x14ac:dyDescent="0.25">
      <c r="A40"/>
      <c r="B40"/>
    </row>
    <row r="41" spans="1:15" x14ac:dyDescent="0.25">
      <c r="A41"/>
      <c r="B41"/>
    </row>
    <row r="42" spans="1:15" x14ac:dyDescent="0.25">
      <c r="A42"/>
      <c r="B42"/>
    </row>
    <row r="43" spans="1:15" x14ac:dyDescent="0.25">
      <c r="A43"/>
      <c r="B43"/>
    </row>
    <row r="44" spans="1:15" ht="39.6" customHeight="1" x14ac:dyDescent="0.25">
      <c r="A44"/>
      <c r="B44"/>
    </row>
    <row r="45" spans="1:15" x14ac:dyDescent="0.25">
      <c r="A45"/>
      <c r="B45"/>
    </row>
    <row r="46" spans="1:15" ht="27.6" customHeight="1" x14ac:dyDescent="0.25">
      <c r="A46"/>
      <c r="B46"/>
    </row>
    <row r="47" spans="1:15" x14ac:dyDescent="0.25">
      <c r="A47"/>
      <c r="B47"/>
    </row>
    <row r="48" spans="1: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pbuaO5WpSEzQ9c/jJ9SR8neuRYI4jek8/6LOxuLxtC/jZm675ID6jE57n3luY56qhbnOChHIKT3e+nLkAGuJkg==" saltValue="4BUqIUjm07mtFYwGWkJKiA==" spinCount="100000" sheet="1" objects="1" scenarios="1"/>
  <conditionalFormatting sqref="A6:A21">
    <cfRule type="expression" dxfId="605" priority="1" stopIfTrue="1">
      <formula>MOD(ROW(),2)=0</formula>
    </cfRule>
    <cfRule type="expression" dxfId="604" priority="2" stopIfTrue="1">
      <formula>MOD(ROW(),2)&lt;&gt;0</formula>
    </cfRule>
  </conditionalFormatting>
  <conditionalFormatting sqref="A26:A38">
    <cfRule type="expression" dxfId="603" priority="9" stopIfTrue="1">
      <formula>MOD(ROW(),2)=0</formula>
    </cfRule>
    <cfRule type="expression" dxfId="602" priority="10" stopIfTrue="1">
      <formula>MOD(ROW(),2)&lt;&gt;0</formula>
    </cfRule>
  </conditionalFormatting>
  <conditionalFormatting sqref="B17:B21">
    <cfRule type="expression" dxfId="601" priority="5" stopIfTrue="1">
      <formula>MOD(ROW(),2)=0</formula>
    </cfRule>
    <cfRule type="expression" dxfId="600" priority="6" stopIfTrue="1">
      <formula>MOD(ROW(),2)&lt;&gt;0</formula>
    </cfRule>
  </conditionalFormatting>
  <conditionalFormatting sqref="B6:O21">
    <cfRule type="expression" dxfId="599" priority="25" stopIfTrue="1">
      <formula>MOD(ROW(),2)=0</formula>
    </cfRule>
    <cfRule type="expression" dxfId="598" priority="26" stopIfTrue="1">
      <formula>MOD(ROW(),2)&lt;&gt;0</formula>
    </cfRule>
  </conditionalFormatting>
  <conditionalFormatting sqref="B26:O38">
    <cfRule type="expression" dxfId="597" priority="11" stopIfTrue="1">
      <formula>MOD(ROW(),2)=0</formula>
    </cfRule>
    <cfRule type="expression" dxfId="596" priority="12" stopIfTrue="1">
      <formula>MOD(ROW(),2)&lt;&gt;0</formula>
    </cfRule>
  </conditionalFormatting>
  <hyperlinks>
    <hyperlink ref="B24" location="Sheet1!A1" display="Assumptions" xr:uid="{BDA3A63B-F2B1-469E-A738-B7C7355A2B5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39"/>
  <dimension ref="A1:L65"/>
  <sheetViews>
    <sheetView showGridLines="0" topLeftCell="A2" zoomScale="85" zoomScaleNormal="85" workbookViewId="0">
      <selection activeCell="A4" sqref="A4"/>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39" t="s">
        <v>0</v>
      </c>
      <c r="B1" s="40"/>
      <c r="C1" s="40"/>
      <c r="D1" s="40"/>
      <c r="E1" s="40"/>
      <c r="F1" s="40"/>
      <c r="G1" s="40"/>
      <c r="H1" s="40"/>
      <c r="I1" s="40"/>
    </row>
    <row r="2" spans="1:12"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2" ht="15.6" x14ac:dyDescent="0.3">
      <c r="A3" s="43" t="str">
        <f>TABLE_FACTOR_TYPE_1&amp;" - x-"&amp;TABLE_SERIES_NUMBER_1</f>
        <v>ARBO - x-706</v>
      </c>
      <c r="B3" s="42"/>
      <c r="C3" s="42"/>
      <c r="D3" s="42"/>
      <c r="E3" s="42"/>
      <c r="F3" s="42"/>
      <c r="G3" s="42"/>
      <c r="H3" s="42"/>
      <c r="I3" s="42"/>
    </row>
    <row r="4" spans="1:12" x14ac:dyDescent="0.25">
      <c r="A4" s="44"/>
    </row>
    <row r="6" spans="1:12" x14ac:dyDescent="0.25">
      <c r="A6" s="76" t="s">
        <v>290</v>
      </c>
      <c r="B6" s="129" t="s">
        <v>291</v>
      </c>
      <c r="C6" s="129"/>
      <c r="D6" s="129"/>
      <c r="E6" s="129"/>
      <c r="F6" s="129"/>
      <c r="G6" s="129"/>
      <c r="H6" s="129"/>
      <c r="I6" s="129"/>
      <c r="J6" s="129"/>
      <c r="K6" s="129"/>
      <c r="L6" s="129"/>
    </row>
    <row r="7" spans="1:12" x14ac:dyDescent="0.25">
      <c r="A7" s="77" t="s">
        <v>292</v>
      </c>
      <c r="B7" s="129" t="s">
        <v>345</v>
      </c>
      <c r="C7" s="129"/>
      <c r="D7" s="129"/>
      <c r="E7" s="129"/>
      <c r="F7" s="129"/>
      <c r="G7" s="129"/>
      <c r="H7" s="129"/>
      <c r="I7" s="129"/>
      <c r="J7" s="129"/>
      <c r="K7" s="129"/>
      <c r="L7" s="129"/>
    </row>
    <row r="8" spans="1:12" x14ac:dyDescent="0.25">
      <c r="A8" s="77" t="s">
        <v>294</v>
      </c>
      <c r="B8" s="129" t="s">
        <v>442</v>
      </c>
      <c r="C8" s="129"/>
      <c r="D8" s="129"/>
      <c r="E8" s="129"/>
      <c r="F8" s="129"/>
      <c r="G8" s="129"/>
      <c r="H8" s="129"/>
      <c r="I8" s="129"/>
      <c r="J8" s="129"/>
      <c r="K8" s="129"/>
      <c r="L8" s="129"/>
    </row>
    <row r="9" spans="1:12" x14ac:dyDescent="0.25">
      <c r="A9" s="77" t="s">
        <v>296</v>
      </c>
      <c r="B9" s="129" t="s">
        <v>565</v>
      </c>
      <c r="C9" s="129"/>
      <c r="D9" s="129"/>
      <c r="E9" s="129"/>
      <c r="F9" s="129"/>
      <c r="G9" s="129"/>
      <c r="H9" s="129"/>
      <c r="I9" s="129"/>
      <c r="J9" s="129"/>
      <c r="K9" s="129"/>
      <c r="L9" s="129"/>
    </row>
    <row r="10" spans="1:12" x14ac:dyDescent="0.25">
      <c r="A10" s="77" t="s">
        <v>6</v>
      </c>
      <c r="B10" s="129" t="s">
        <v>582</v>
      </c>
      <c r="C10" s="129"/>
      <c r="D10" s="129"/>
      <c r="E10" s="129"/>
      <c r="F10" s="129"/>
      <c r="G10" s="129"/>
      <c r="H10" s="129"/>
      <c r="I10" s="129"/>
      <c r="J10" s="129"/>
      <c r="K10" s="129"/>
      <c r="L10" s="129"/>
    </row>
    <row r="11" spans="1:12" x14ac:dyDescent="0.25">
      <c r="A11" s="77" t="s">
        <v>299</v>
      </c>
      <c r="B11" s="129" t="s">
        <v>364</v>
      </c>
      <c r="C11" s="129"/>
      <c r="D11" s="129"/>
      <c r="E11" s="129"/>
      <c r="F11" s="129"/>
      <c r="G11" s="129"/>
      <c r="H11" s="129"/>
      <c r="I11" s="129"/>
      <c r="J11" s="129"/>
      <c r="K11" s="129"/>
      <c r="L11" s="129"/>
    </row>
    <row r="12" spans="1:12" x14ac:dyDescent="0.25">
      <c r="A12" s="77" t="s">
        <v>301</v>
      </c>
      <c r="B12" s="129" t="s">
        <v>567</v>
      </c>
      <c r="C12" s="129"/>
      <c r="D12" s="129"/>
      <c r="E12" s="129"/>
      <c r="F12" s="129"/>
      <c r="G12" s="129"/>
      <c r="H12" s="129"/>
      <c r="I12" s="129"/>
      <c r="J12" s="129"/>
      <c r="K12" s="129"/>
      <c r="L12" s="129"/>
    </row>
    <row r="13" spans="1:12" x14ac:dyDescent="0.25">
      <c r="A13" s="77" t="s">
        <v>303</v>
      </c>
      <c r="B13" s="129">
        <v>1</v>
      </c>
      <c r="C13" s="129"/>
      <c r="D13" s="129"/>
      <c r="E13" s="129"/>
      <c r="F13" s="129"/>
      <c r="G13" s="129"/>
      <c r="H13" s="129"/>
      <c r="I13" s="129"/>
      <c r="J13" s="129"/>
      <c r="K13" s="129"/>
      <c r="L13" s="129"/>
    </row>
    <row r="14" spans="1:12" x14ac:dyDescent="0.25">
      <c r="A14" s="77" t="s">
        <v>305</v>
      </c>
      <c r="B14" s="129">
        <v>706</v>
      </c>
      <c r="C14" s="129"/>
      <c r="D14" s="129"/>
      <c r="E14" s="129"/>
      <c r="F14" s="129"/>
      <c r="G14" s="129"/>
      <c r="H14" s="129"/>
      <c r="I14" s="129"/>
      <c r="J14" s="129"/>
      <c r="K14" s="129"/>
      <c r="L14" s="129"/>
    </row>
    <row r="15" spans="1:12" x14ac:dyDescent="0.25">
      <c r="A15" s="77" t="s">
        <v>307</v>
      </c>
      <c r="B15" s="129" t="s">
        <v>583</v>
      </c>
      <c r="C15" s="129"/>
      <c r="D15" s="129"/>
      <c r="E15" s="129"/>
      <c r="F15" s="129"/>
      <c r="G15" s="129"/>
      <c r="H15" s="129"/>
      <c r="I15" s="129"/>
      <c r="J15" s="129"/>
      <c r="K15" s="129"/>
      <c r="L15" s="129"/>
    </row>
    <row r="16" spans="1:12" x14ac:dyDescent="0.25">
      <c r="A16" s="77" t="s">
        <v>309</v>
      </c>
      <c r="B16" s="129" t="s">
        <v>584</v>
      </c>
      <c r="C16" s="129"/>
      <c r="D16" s="129"/>
      <c r="E16" s="129"/>
      <c r="F16" s="129"/>
      <c r="G16" s="129"/>
      <c r="H16" s="129"/>
      <c r="I16" s="129"/>
      <c r="J16" s="129"/>
      <c r="K16" s="129"/>
      <c r="L16" s="129"/>
    </row>
    <row r="17" spans="1:12" x14ac:dyDescent="0.25">
      <c r="A17" s="81" t="s">
        <v>803</v>
      </c>
      <c r="B17" s="129"/>
      <c r="C17" s="129"/>
      <c r="D17" s="129"/>
      <c r="E17" s="129"/>
      <c r="F17" s="129"/>
      <c r="G17" s="129"/>
      <c r="H17" s="129"/>
      <c r="I17" s="129"/>
      <c r="J17" s="129"/>
      <c r="K17" s="129"/>
      <c r="L17" s="129"/>
    </row>
    <row r="18" spans="1:12" x14ac:dyDescent="0.25">
      <c r="A18" s="77" t="s">
        <v>313</v>
      </c>
      <c r="B18" s="187">
        <v>45135</v>
      </c>
      <c r="C18" s="129"/>
      <c r="D18" s="129"/>
      <c r="E18" s="129"/>
      <c r="F18" s="129"/>
      <c r="G18" s="129"/>
      <c r="H18" s="129"/>
      <c r="I18" s="129"/>
      <c r="J18" s="129"/>
      <c r="K18" s="129"/>
      <c r="L18" s="129"/>
    </row>
    <row r="19" spans="1:12" x14ac:dyDescent="0.25">
      <c r="A19" s="77" t="s">
        <v>315</v>
      </c>
      <c r="B19" s="187"/>
      <c r="C19" s="129"/>
      <c r="D19" s="129"/>
      <c r="E19" s="129"/>
      <c r="F19" s="129"/>
      <c r="G19" s="129"/>
      <c r="H19" s="129"/>
      <c r="I19" s="129"/>
      <c r="J19" s="129"/>
      <c r="K19" s="129"/>
      <c r="L19" s="129"/>
    </row>
    <row r="20" spans="1:12" x14ac:dyDescent="0.25">
      <c r="A20" s="77" t="s">
        <v>317</v>
      </c>
      <c r="B20" s="129" t="s">
        <v>331</v>
      </c>
      <c r="C20" s="129"/>
      <c r="D20" s="129"/>
      <c r="E20" s="129"/>
      <c r="F20" s="129"/>
      <c r="G20" s="129"/>
      <c r="H20" s="129"/>
      <c r="I20" s="129"/>
      <c r="J20" s="129"/>
      <c r="K20" s="129"/>
      <c r="L20" s="129"/>
    </row>
    <row r="21" spans="1:12" x14ac:dyDescent="0.25">
      <c r="A21" s="77" t="s">
        <v>323</v>
      </c>
      <c r="B21" s="129" t="s">
        <v>332</v>
      </c>
      <c r="C21" s="129"/>
      <c r="D21" s="129"/>
      <c r="E21" s="129"/>
      <c r="F21" s="129"/>
      <c r="G21" s="129"/>
      <c r="H21" s="129"/>
      <c r="I21" s="129"/>
      <c r="J21" s="129"/>
      <c r="K21" s="129"/>
      <c r="L21" s="129"/>
    </row>
    <row r="23" spans="1:12" x14ac:dyDescent="0.25">
      <c r="B23" s="102" t="str">
        <f>HYPERLINK("#'Factor List'!A1","Back to Factor List")</f>
        <v>Back to Factor List</v>
      </c>
    </row>
    <row r="24" spans="1:12" x14ac:dyDescent="0.25">
      <c r="B24" s="102" t="s">
        <v>13</v>
      </c>
    </row>
    <row r="25" spans="1:12" x14ac:dyDescent="0.25">
      <c r="B25" s="102"/>
    </row>
    <row r="26" spans="1:12" x14ac:dyDescent="0.25">
      <c r="A26" s="103" t="s">
        <v>855</v>
      </c>
      <c r="B26" s="103">
        <v>50</v>
      </c>
      <c r="C26" s="103">
        <v>51</v>
      </c>
      <c r="D26" s="103">
        <v>52</v>
      </c>
      <c r="E26" s="103">
        <v>53</v>
      </c>
      <c r="F26" s="103">
        <v>54</v>
      </c>
      <c r="G26" s="103">
        <v>55</v>
      </c>
      <c r="H26" s="103">
        <v>56</v>
      </c>
      <c r="I26" s="103">
        <v>57</v>
      </c>
      <c r="J26" s="103">
        <v>58</v>
      </c>
      <c r="K26" s="103">
        <v>59</v>
      </c>
      <c r="L26" s="103">
        <v>60</v>
      </c>
    </row>
    <row r="27" spans="1:12" x14ac:dyDescent="0.25">
      <c r="A27" s="104">
        <v>0</v>
      </c>
      <c r="B27" s="105">
        <v>8.8800000000000008</v>
      </c>
      <c r="C27" s="105">
        <v>8.11</v>
      </c>
      <c r="D27" s="105">
        <v>7.32</v>
      </c>
      <c r="E27" s="105">
        <v>6.5</v>
      </c>
      <c r="F27" s="105">
        <v>5.64</v>
      </c>
      <c r="G27" s="105">
        <v>4.75</v>
      </c>
      <c r="H27" s="105">
        <v>3.84</v>
      </c>
      <c r="I27" s="105">
        <v>2.9</v>
      </c>
      <c r="J27" s="105">
        <v>1.95</v>
      </c>
      <c r="K27" s="105">
        <v>0.99</v>
      </c>
      <c r="L27" s="105">
        <v>0</v>
      </c>
    </row>
    <row r="28" spans="1:12" x14ac:dyDescent="0.25">
      <c r="A28" s="104">
        <v>1</v>
      </c>
      <c r="B28" s="105">
        <v>8.81</v>
      </c>
      <c r="C28" s="105">
        <v>8.0500000000000007</v>
      </c>
      <c r="D28" s="105">
        <v>7.25</v>
      </c>
      <c r="E28" s="105">
        <v>6.43</v>
      </c>
      <c r="F28" s="105">
        <v>5.57</v>
      </c>
      <c r="G28" s="105">
        <v>4.68</v>
      </c>
      <c r="H28" s="105">
        <v>3.76</v>
      </c>
      <c r="I28" s="105">
        <v>2.83</v>
      </c>
      <c r="J28" s="105">
        <v>1.87</v>
      </c>
      <c r="K28" s="105">
        <v>0.9</v>
      </c>
      <c r="L28" s="105"/>
    </row>
    <row r="29" spans="1:12" x14ac:dyDescent="0.25">
      <c r="A29" s="104">
        <v>2</v>
      </c>
      <c r="B29" s="105">
        <v>8.75</v>
      </c>
      <c r="C29" s="105">
        <v>7.98</v>
      </c>
      <c r="D29" s="105">
        <v>7.19</v>
      </c>
      <c r="E29" s="105">
        <v>6.36</v>
      </c>
      <c r="F29" s="105">
        <v>5.49</v>
      </c>
      <c r="G29" s="105">
        <v>4.5999999999999996</v>
      </c>
      <c r="H29" s="105">
        <v>3.68</v>
      </c>
      <c r="I29" s="105">
        <v>2.75</v>
      </c>
      <c r="J29" s="105">
        <v>1.79</v>
      </c>
      <c r="K29" s="105">
        <v>0.82</v>
      </c>
      <c r="L29" s="105"/>
    </row>
    <row r="30" spans="1:12" x14ac:dyDescent="0.25">
      <c r="A30" s="104">
        <v>3</v>
      </c>
      <c r="B30" s="105">
        <v>8.69</v>
      </c>
      <c r="C30" s="105">
        <v>7.92</v>
      </c>
      <c r="D30" s="105">
        <v>7.12</v>
      </c>
      <c r="E30" s="105">
        <v>6.29</v>
      </c>
      <c r="F30" s="105">
        <v>5.42</v>
      </c>
      <c r="G30" s="105">
        <v>4.5199999999999996</v>
      </c>
      <c r="H30" s="105">
        <v>3.6</v>
      </c>
      <c r="I30" s="105">
        <v>2.67</v>
      </c>
      <c r="J30" s="105">
        <v>1.71</v>
      </c>
      <c r="K30" s="105">
        <v>0.74</v>
      </c>
      <c r="L30" s="105"/>
    </row>
    <row r="31" spans="1:12" x14ac:dyDescent="0.25">
      <c r="A31" s="104">
        <v>4</v>
      </c>
      <c r="B31" s="105">
        <v>8.6199999999999992</v>
      </c>
      <c r="C31" s="105">
        <v>7.85</v>
      </c>
      <c r="D31" s="105">
        <v>7.05</v>
      </c>
      <c r="E31" s="105">
        <v>6.21</v>
      </c>
      <c r="F31" s="105">
        <v>5.35</v>
      </c>
      <c r="G31" s="105">
        <v>4.45</v>
      </c>
      <c r="H31" s="105">
        <v>3.53</v>
      </c>
      <c r="I31" s="105">
        <v>2.59</v>
      </c>
      <c r="J31" s="105">
        <v>1.63</v>
      </c>
      <c r="K31" s="105">
        <v>0.66</v>
      </c>
      <c r="L31" s="105"/>
    </row>
    <row r="32" spans="1:12" x14ac:dyDescent="0.25">
      <c r="A32" s="104">
        <v>5</v>
      </c>
      <c r="B32" s="105">
        <v>8.56</v>
      </c>
      <c r="C32" s="105">
        <v>7.78</v>
      </c>
      <c r="D32" s="105">
        <v>6.98</v>
      </c>
      <c r="E32" s="105">
        <v>6.14</v>
      </c>
      <c r="F32" s="105">
        <v>5.27</v>
      </c>
      <c r="G32" s="105">
        <v>4.37</v>
      </c>
      <c r="H32" s="105">
        <v>3.45</v>
      </c>
      <c r="I32" s="105">
        <v>2.5099999999999998</v>
      </c>
      <c r="J32" s="105">
        <v>1.55</v>
      </c>
      <c r="K32" s="105">
        <v>0.57999999999999996</v>
      </c>
      <c r="L32" s="105"/>
    </row>
    <row r="33" spans="1:12" x14ac:dyDescent="0.25">
      <c r="A33" s="104">
        <v>6</v>
      </c>
      <c r="B33" s="105">
        <v>8.49</v>
      </c>
      <c r="C33" s="105">
        <v>7.72</v>
      </c>
      <c r="D33" s="105">
        <v>6.91</v>
      </c>
      <c r="E33" s="105">
        <v>6.07</v>
      </c>
      <c r="F33" s="105">
        <v>5.2</v>
      </c>
      <c r="G33" s="105">
        <v>4.29</v>
      </c>
      <c r="H33" s="105">
        <v>3.37</v>
      </c>
      <c r="I33" s="105">
        <v>2.4300000000000002</v>
      </c>
      <c r="J33" s="105">
        <v>1.47</v>
      </c>
      <c r="K33" s="105">
        <v>0.49</v>
      </c>
      <c r="L33" s="105"/>
    </row>
    <row r="34" spans="1:12" x14ac:dyDescent="0.25">
      <c r="A34" s="104">
        <v>7</v>
      </c>
      <c r="B34" s="105">
        <v>8.43</v>
      </c>
      <c r="C34" s="105">
        <v>7.65</v>
      </c>
      <c r="D34" s="105">
        <v>6.84</v>
      </c>
      <c r="E34" s="105">
        <v>6</v>
      </c>
      <c r="F34" s="105">
        <v>5.12</v>
      </c>
      <c r="G34" s="105">
        <v>4.22</v>
      </c>
      <c r="H34" s="105">
        <v>3.29</v>
      </c>
      <c r="I34" s="105">
        <v>2.35</v>
      </c>
      <c r="J34" s="105">
        <v>1.39</v>
      </c>
      <c r="K34" s="105">
        <v>0.41</v>
      </c>
      <c r="L34" s="105"/>
    </row>
    <row r="35" spans="1:12" x14ac:dyDescent="0.25">
      <c r="A35" s="104">
        <v>8</v>
      </c>
      <c r="B35" s="105">
        <v>8.3699999999999992</v>
      </c>
      <c r="C35" s="105">
        <v>7.59</v>
      </c>
      <c r="D35" s="105">
        <v>6.77</v>
      </c>
      <c r="E35" s="105">
        <v>5.93</v>
      </c>
      <c r="F35" s="105">
        <v>5.05</v>
      </c>
      <c r="G35" s="105">
        <v>4.1399999999999997</v>
      </c>
      <c r="H35" s="105">
        <v>3.22</v>
      </c>
      <c r="I35" s="105">
        <v>2.27</v>
      </c>
      <c r="J35" s="105">
        <v>1.31</v>
      </c>
      <c r="K35" s="105">
        <v>0.33</v>
      </c>
      <c r="L35" s="105"/>
    </row>
    <row r="36" spans="1:12" x14ac:dyDescent="0.25">
      <c r="A36" s="104">
        <v>9</v>
      </c>
      <c r="B36" s="105">
        <v>8.3000000000000007</v>
      </c>
      <c r="C36" s="105">
        <v>7.52</v>
      </c>
      <c r="D36" s="105">
        <v>6.71</v>
      </c>
      <c r="E36" s="105">
        <v>5.86</v>
      </c>
      <c r="F36" s="105">
        <v>4.9800000000000004</v>
      </c>
      <c r="G36" s="105">
        <v>4.07</v>
      </c>
      <c r="H36" s="105">
        <v>3.14</v>
      </c>
      <c r="I36" s="105">
        <v>2.19</v>
      </c>
      <c r="J36" s="105">
        <v>1.23</v>
      </c>
      <c r="K36" s="105">
        <v>0.25</v>
      </c>
      <c r="L36" s="105"/>
    </row>
    <row r="37" spans="1:12" x14ac:dyDescent="0.25">
      <c r="A37" s="104">
        <v>10</v>
      </c>
      <c r="B37" s="105">
        <v>8.24</v>
      </c>
      <c r="C37" s="105">
        <v>7.45</v>
      </c>
      <c r="D37" s="105">
        <v>6.64</v>
      </c>
      <c r="E37" s="105">
        <v>5.79</v>
      </c>
      <c r="F37" s="105">
        <v>4.9000000000000004</v>
      </c>
      <c r="G37" s="105">
        <v>3.99</v>
      </c>
      <c r="H37" s="105">
        <v>3.06</v>
      </c>
      <c r="I37" s="105">
        <v>2.11</v>
      </c>
      <c r="J37" s="105">
        <v>1.1499999999999999</v>
      </c>
      <c r="K37" s="105">
        <v>0.16</v>
      </c>
      <c r="L37" s="105"/>
    </row>
    <row r="38" spans="1:12" x14ac:dyDescent="0.25">
      <c r="A38" s="104">
        <v>11</v>
      </c>
      <c r="B38" s="105">
        <v>8.18</v>
      </c>
      <c r="C38" s="105">
        <v>7.39</v>
      </c>
      <c r="D38" s="105">
        <v>6.57</v>
      </c>
      <c r="E38" s="105">
        <v>5.71</v>
      </c>
      <c r="F38" s="105">
        <v>4.83</v>
      </c>
      <c r="G38" s="105">
        <v>3.91</v>
      </c>
      <c r="H38" s="105">
        <v>2.98</v>
      </c>
      <c r="I38" s="105">
        <v>2.0299999999999998</v>
      </c>
      <c r="J38" s="105">
        <v>1.07</v>
      </c>
      <c r="K38" s="105">
        <v>0.08</v>
      </c>
      <c r="L38" s="105"/>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W6SV8PPSDbhe/kDTTNHUVPDfRPRGQtTykj5tk/l0e/RMzOXB9mV3H0Le3/8ct0lvgUyqn1n8isXaAVGlzOTUpg==" saltValue="352G1tGALDn+msSoMsY5tA==" spinCount="100000" sheet="1" objects="1" scenarios="1"/>
  <conditionalFormatting sqref="A6:A21">
    <cfRule type="expression" dxfId="595" priority="1" stopIfTrue="1">
      <formula>MOD(ROW(),2)=0</formula>
    </cfRule>
    <cfRule type="expression" dxfId="594" priority="2" stopIfTrue="1">
      <formula>MOD(ROW(),2)&lt;&gt;0</formula>
    </cfRule>
  </conditionalFormatting>
  <conditionalFormatting sqref="A26:A38">
    <cfRule type="expression" dxfId="593" priority="11" stopIfTrue="1">
      <formula>MOD(ROW(),2)=0</formula>
    </cfRule>
    <cfRule type="expression" dxfId="592" priority="12" stopIfTrue="1">
      <formula>MOD(ROW(),2)&lt;&gt;0</formula>
    </cfRule>
  </conditionalFormatting>
  <conditionalFormatting sqref="B17:B21">
    <cfRule type="expression" dxfId="591" priority="7" stopIfTrue="1">
      <formula>MOD(ROW(),2)=0</formula>
    </cfRule>
    <cfRule type="expression" dxfId="590" priority="8" stopIfTrue="1">
      <formula>MOD(ROW(),2)&lt;&gt;0</formula>
    </cfRule>
  </conditionalFormatting>
  <conditionalFormatting sqref="B6:L21">
    <cfRule type="expression" dxfId="589" priority="25" stopIfTrue="1">
      <formula>MOD(ROW(),2)=0</formula>
    </cfRule>
    <cfRule type="expression" dxfId="588" priority="26" stopIfTrue="1">
      <formula>MOD(ROW(),2)&lt;&gt;0</formula>
    </cfRule>
  </conditionalFormatting>
  <conditionalFormatting sqref="B26:L38">
    <cfRule type="expression" dxfId="587" priority="13" stopIfTrue="1">
      <formula>MOD(ROW(),2)=0</formula>
    </cfRule>
    <cfRule type="expression" dxfId="586" priority="14" stopIfTrue="1">
      <formula>MOD(ROW(),2)&lt;&gt;0</formula>
    </cfRule>
  </conditionalFormatting>
  <hyperlinks>
    <hyperlink ref="B24" location="Sheet1!A1" display="Assumptions" xr:uid="{8DE8CE6C-E233-47C7-B282-FB157CFC7DB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140"/>
  <dimension ref="A1:Q65"/>
  <sheetViews>
    <sheetView showGridLines="0" zoomScale="85" zoomScaleNormal="85" workbookViewId="0">
      <selection activeCell="A4" sqref="A4"/>
    </sheetView>
  </sheetViews>
  <sheetFormatPr defaultColWidth="10" defaultRowHeight="13.2" x14ac:dyDescent="0.25"/>
  <cols>
    <col min="1" max="1" width="31.5546875" style="27" customWidth="1"/>
    <col min="2" max="17" width="22.5546875" style="27" customWidth="1"/>
    <col min="18" max="16384" width="10" style="27"/>
  </cols>
  <sheetData>
    <row r="1" spans="1:17" ht="21" x14ac:dyDescent="0.4">
      <c r="A1" s="39" t="s">
        <v>0</v>
      </c>
      <c r="B1" s="40"/>
      <c r="C1" s="40"/>
      <c r="D1" s="40"/>
      <c r="E1" s="40"/>
      <c r="F1" s="40"/>
      <c r="G1" s="40"/>
      <c r="H1" s="40"/>
      <c r="I1" s="40"/>
    </row>
    <row r="2" spans="1:17"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7" ht="15.6" x14ac:dyDescent="0.3">
      <c r="A3" s="43" t="str">
        <f>TABLE_FACTOR_TYPE_1&amp;" - x-"&amp;TABLE_SERIES_NUMBER_1</f>
        <v>ARBO - x-707</v>
      </c>
      <c r="B3" s="42"/>
      <c r="C3" s="42"/>
      <c r="D3" s="42"/>
      <c r="E3" s="42"/>
      <c r="F3" s="42"/>
      <c r="G3" s="42"/>
      <c r="H3" s="42"/>
      <c r="I3" s="42"/>
    </row>
    <row r="4" spans="1:17" x14ac:dyDescent="0.25">
      <c r="A4" s="44"/>
    </row>
    <row r="6" spans="1:17" x14ac:dyDescent="0.25">
      <c r="A6" s="76" t="s">
        <v>290</v>
      </c>
      <c r="B6" s="129" t="s">
        <v>291</v>
      </c>
      <c r="C6" s="129"/>
      <c r="D6" s="129"/>
      <c r="E6" s="129"/>
      <c r="F6" s="129"/>
      <c r="G6" s="129"/>
      <c r="H6" s="129"/>
      <c r="I6" s="129"/>
      <c r="J6" s="129"/>
      <c r="K6" s="129"/>
      <c r="L6" s="129"/>
      <c r="M6" s="129"/>
      <c r="N6" s="129"/>
      <c r="O6" s="129"/>
      <c r="P6" s="129"/>
      <c r="Q6" s="129"/>
    </row>
    <row r="7" spans="1:17" x14ac:dyDescent="0.25">
      <c r="A7" s="77" t="s">
        <v>292</v>
      </c>
      <c r="B7" s="129" t="s">
        <v>345</v>
      </c>
      <c r="C7" s="129"/>
      <c r="D7" s="129"/>
      <c r="E7" s="129"/>
      <c r="F7" s="129"/>
      <c r="G7" s="129"/>
      <c r="H7" s="129"/>
      <c r="I7" s="129"/>
      <c r="J7" s="129"/>
      <c r="K7" s="129"/>
      <c r="L7" s="129"/>
      <c r="M7" s="129"/>
      <c r="N7" s="129"/>
      <c r="O7" s="129"/>
      <c r="P7" s="129"/>
      <c r="Q7" s="129"/>
    </row>
    <row r="8" spans="1:17" x14ac:dyDescent="0.25">
      <c r="A8" s="77" t="s">
        <v>294</v>
      </c>
      <c r="B8" s="129" t="s">
        <v>442</v>
      </c>
      <c r="C8" s="129"/>
      <c r="D8" s="129"/>
      <c r="E8" s="129"/>
      <c r="F8" s="129"/>
      <c r="G8" s="129"/>
      <c r="H8" s="129"/>
      <c r="I8" s="129"/>
      <c r="J8" s="129"/>
      <c r="K8" s="129"/>
      <c r="L8" s="129"/>
      <c r="M8" s="129"/>
      <c r="N8" s="129"/>
      <c r="O8" s="129"/>
      <c r="P8" s="129"/>
      <c r="Q8" s="129"/>
    </row>
    <row r="9" spans="1:17" x14ac:dyDescent="0.25">
      <c r="A9" s="77" t="s">
        <v>296</v>
      </c>
      <c r="B9" s="129" t="s">
        <v>565</v>
      </c>
      <c r="C9" s="129"/>
      <c r="D9" s="129"/>
      <c r="E9" s="129"/>
      <c r="F9" s="129"/>
      <c r="G9" s="129"/>
      <c r="H9" s="129"/>
      <c r="I9" s="129"/>
      <c r="J9" s="129"/>
      <c r="K9" s="129"/>
      <c r="L9" s="129"/>
      <c r="M9" s="129"/>
      <c r="N9" s="129"/>
      <c r="O9" s="129"/>
      <c r="P9" s="129"/>
      <c r="Q9" s="129"/>
    </row>
    <row r="10" spans="1:17" x14ac:dyDescent="0.25">
      <c r="A10" s="77" t="s">
        <v>6</v>
      </c>
      <c r="B10" s="129" t="s">
        <v>585</v>
      </c>
      <c r="C10" s="129"/>
      <c r="D10" s="129"/>
      <c r="E10" s="129"/>
      <c r="F10" s="129"/>
      <c r="G10" s="129"/>
      <c r="H10" s="129"/>
      <c r="I10" s="129"/>
      <c r="J10" s="129"/>
      <c r="K10" s="129"/>
      <c r="L10" s="129"/>
      <c r="M10" s="129"/>
      <c r="N10" s="129"/>
      <c r="O10" s="129"/>
      <c r="P10" s="129"/>
      <c r="Q10" s="129"/>
    </row>
    <row r="11" spans="1:17" x14ac:dyDescent="0.25">
      <c r="A11" s="77" t="s">
        <v>299</v>
      </c>
      <c r="B11" s="129" t="s">
        <v>364</v>
      </c>
      <c r="C11" s="129"/>
      <c r="D11" s="129"/>
      <c r="E11" s="129"/>
      <c r="F11" s="129"/>
      <c r="G11" s="129"/>
      <c r="H11" s="129"/>
      <c r="I11" s="129"/>
      <c r="J11" s="129"/>
      <c r="K11" s="129"/>
      <c r="L11" s="129"/>
      <c r="M11" s="129"/>
      <c r="N11" s="129"/>
      <c r="O11" s="129"/>
      <c r="P11" s="129"/>
      <c r="Q11" s="129"/>
    </row>
    <row r="12" spans="1:17" x14ac:dyDescent="0.25">
      <c r="A12" s="77" t="s">
        <v>301</v>
      </c>
      <c r="B12" s="129" t="s">
        <v>567</v>
      </c>
      <c r="C12" s="129"/>
      <c r="D12" s="129"/>
      <c r="E12" s="129"/>
      <c r="F12" s="129"/>
      <c r="G12" s="129"/>
      <c r="H12" s="129"/>
      <c r="I12" s="129"/>
      <c r="J12" s="129"/>
      <c r="K12" s="129"/>
      <c r="L12" s="129"/>
      <c r="M12" s="129"/>
      <c r="N12" s="129"/>
      <c r="O12" s="129"/>
      <c r="P12" s="129"/>
      <c r="Q12" s="129"/>
    </row>
    <row r="13" spans="1:17" x14ac:dyDescent="0.25">
      <c r="A13" s="77" t="s">
        <v>303</v>
      </c>
      <c r="B13" s="129">
        <v>1</v>
      </c>
      <c r="C13" s="129"/>
      <c r="D13" s="129"/>
      <c r="E13" s="129"/>
      <c r="F13" s="129"/>
      <c r="G13" s="129"/>
      <c r="H13" s="129"/>
      <c r="I13" s="129"/>
      <c r="J13" s="129"/>
      <c r="K13" s="129"/>
      <c r="L13" s="129"/>
      <c r="M13" s="129"/>
      <c r="N13" s="129"/>
      <c r="O13" s="129"/>
      <c r="P13" s="129"/>
      <c r="Q13" s="129"/>
    </row>
    <row r="14" spans="1:17" x14ac:dyDescent="0.25">
      <c r="A14" s="77" t="s">
        <v>305</v>
      </c>
      <c r="B14" s="129">
        <v>707</v>
      </c>
      <c r="C14" s="129"/>
      <c r="D14" s="129"/>
      <c r="E14" s="129"/>
      <c r="F14" s="129"/>
      <c r="G14" s="129"/>
      <c r="H14" s="129"/>
      <c r="I14" s="129"/>
      <c r="J14" s="129"/>
      <c r="K14" s="129"/>
      <c r="L14" s="129"/>
      <c r="M14" s="129"/>
      <c r="N14" s="129"/>
      <c r="O14" s="129"/>
      <c r="P14" s="129"/>
      <c r="Q14" s="129"/>
    </row>
    <row r="15" spans="1:17" x14ac:dyDescent="0.25">
      <c r="A15" s="77" t="s">
        <v>307</v>
      </c>
      <c r="B15" s="129" t="s">
        <v>586</v>
      </c>
      <c r="C15" s="129"/>
      <c r="D15" s="129"/>
      <c r="E15" s="129"/>
      <c r="F15" s="129"/>
      <c r="G15" s="129"/>
      <c r="H15" s="129"/>
      <c r="I15" s="129"/>
      <c r="J15" s="129"/>
      <c r="K15" s="129"/>
      <c r="L15" s="129"/>
      <c r="M15" s="129"/>
      <c r="N15" s="129"/>
      <c r="O15" s="129"/>
      <c r="P15" s="129"/>
      <c r="Q15" s="129"/>
    </row>
    <row r="16" spans="1:17" x14ac:dyDescent="0.25">
      <c r="A16" s="77" t="s">
        <v>309</v>
      </c>
      <c r="B16" s="129" t="s">
        <v>587</v>
      </c>
      <c r="C16" s="129"/>
      <c r="D16" s="129"/>
      <c r="E16" s="129"/>
      <c r="F16" s="129"/>
      <c r="G16" s="129"/>
      <c r="H16" s="129"/>
      <c r="I16" s="129"/>
      <c r="J16" s="129"/>
      <c r="K16" s="129"/>
      <c r="L16" s="129"/>
      <c r="M16" s="129"/>
      <c r="N16" s="129"/>
      <c r="O16" s="129"/>
      <c r="P16" s="129"/>
      <c r="Q16" s="129"/>
    </row>
    <row r="17" spans="1:17" x14ac:dyDescent="0.25">
      <c r="A17" s="81" t="s">
        <v>803</v>
      </c>
      <c r="B17" s="129"/>
      <c r="C17" s="129"/>
      <c r="D17" s="129"/>
      <c r="E17" s="129"/>
      <c r="F17" s="129"/>
      <c r="G17" s="129"/>
      <c r="H17" s="129"/>
      <c r="I17" s="129"/>
      <c r="J17" s="129"/>
      <c r="K17" s="129"/>
      <c r="L17" s="129"/>
      <c r="M17" s="129"/>
      <c r="N17" s="129"/>
      <c r="O17" s="129"/>
      <c r="P17" s="129"/>
      <c r="Q17" s="129"/>
    </row>
    <row r="18" spans="1:17" x14ac:dyDescent="0.25">
      <c r="A18" s="77" t="s">
        <v>313</v>
      </c>
      <c r="B18" s="187">
        <v>45135</v>
      </c>
      <c r="C18" s="129"/>
      <c r="D18" s="129"/>
      <c r="E18" s="129"/>
      <c r="F18" s="129"/>
      <c r="G18" s="129"/>
      <c r="H18" s="129"/>
      <c r="I18" s="129"/>
      <c r="J18" s="129"/>
      <c r="K18" s="129"/>
      <c r="L18" s="129"/>
      <c r="M18" s="129"/>
      <c r="N18" s="129"/>
      <c r="O18" s="129"/>
      <c r="P18" s="129"/>
      <c r="Q18" s="129"/>
    </row>
    <row r="19" spans="1:17" x14ac:dyDescent="0.25">
      <c r="A19" s="77" t="s">
        <v>315</v>
      </c>
      <c r="B19" s="187"/>
      <c r="C19" s="129"/>
      <c r="D19" s="129"/>
      <c r="E19" s="129"/>
      <c r="F19" s="129"/>
      <c r="G19" s="129"/>
      <c r="H19" s="129"/>
      <c r="I19" s="129"/>
      <c r="J19" s="129"/>
      <c r="K19" s="129"/>
      <c r="L19" s="129"/>
      <c r="M19" s="129"/>
      <c r="N19" s="129"/>
      <c r="O19" s="129"/>
      <c r="P19" s="129"/>
      <c r="Q19" s="129"/>
    </row>
    <row r="20" spans="1:17" x14ac:dyDescent="0.25">
      <c r="A20" s="77" t="s">
        <v>317</v>
      </c>
      <c r="B20" s="129" t="s">
        <v>331</v>
      </c>
      <c r="C20" s="129"/>
      <c r="D20" s="129"/>
      <c r="E20" s="129"/>
      <c r="F20" s="129"/>
      <c r="G20" s="129"/>
      <c r="H20" s="129"/>
      <c r="I20" s="129"/>
      <c r="J20" s="129"/>
      <c r="K20" s="129"/>
      <c r="L20" s="129"/>
      <c r="M20" s="129"/>
      <c r="N20" s="129"/>
      <c r="O20" s="129"/>
      <c r="P20" s="129"/>
      <c r="Q20" s="129"/>
    </row>
    <row r="21" spans="1:17" x14ac:dyDescent="0.25">
      <c r="A21" s="77" t="s">
        <v>323</v>
      </c>
      <c r="B21" s="129" t="s">
        <v>332</v>
      </c>
      <c r="C21" s="129"/>
      <c r="D21" s="129"/>
      <c r="E21" s="129"/>
      <c r="F21" s="129"/>
      <c r="G21" s="129"/>
      <c r="H21" s="129"/>
      <c r="I21" s="129"/>
      <c r="J21" s="129"/>
      <c r="K21" s="129"/>
      <c r="L21" s="129"/>
      <c r="M21" s="129"/>
      <c r="N21" s="129"/>
      <c r="O21" s="129"/>
      <c r="P21" s="129"/>
      <c r="Q21" s="129"/>
    </row>
    <row r="23" spans="1:17" x14ac:dyDescent="0.25">
      <c r="B23" s="102" t="str">
        <f>HYPERLINK("#'Factor List'!A1","Back to Factor List")</f>
        <v>Back to Factor List</v>
      </c>
    </row>
    <row r="24" spans="1:17" x14ac:dyDescent="0.25">
      <c r="B24" s="102" t="s">
        <v>13</v>
      </c>
    </row>
    <row r="25" spans="1:17" x14ac:dyDescent="0.25">
      <c r="B25" s="102"/>
    </row>
    <row r="26" spans="1:17" x14ac:dyDescent="0.25">
      <c r="A26" s="103" t="s">
        <v>855</v>
      </c>
      <c r="B26" s="103">
        <v>50</v>
      </c>
      <c r="C26" s="103">
        <v>51</v>
      </c>
      <c r="D26" s="103">
        <v>52</v>
      </c>
      <c r="E26" s="103">
        <v>53</v>
      </c>
      <c r="F26" s="103">
        <v>54</v>
      </c>
      <c r="G26" s="103">
        <v>55</v>
      </c>
      <c r="H26" s="103">
        <v>56</v>
      </c>
      <c r="I26" s="103">
        <v>57</v>
      </c>
      <c r="J26" s="103">
        <v>58</v>
      </c>
      <c r="K26" s="103">
        <v>59</v>
      </c>
      <c r="L26" s="103">
        <v>60</v>
      </c>
      <c r="M26" s="103">
        <v>61</v>
      </c>
      <c r="N26" s="103">
        <v>62</v>
      </c>
      <c r="O26" s="103">
        <v>63</v>
      </c>
      <c r="P26" s="103">
        <v>64</v>
      </c>
      <c r="Q26" s="103">
        <v>65</v>
      </c>
    </row>
    <row r="27" spans="1:17" x14ac:dyDescent="0.25">
      <c r="A27" s="104">
        <v>0</v>
      </c>
      <c r="B27" s="105">
        <v>12.78</v>
      </c>
      <c r="C27" s="105">
        <v>12.09</v>
      </c>
      <c r="D27" s="105">
        <v>11.37</v>
      </c>
      <c r="E27" s="105">
        <v>10.63</v>
      </c>
      <c r="F27" s="105">
        <v>9.85</v>
      </c>
      <c r="G27" s="105">
        <v>9.0399999999999991</v>
      </c>
      <c r="H27" s="105">
        <v>8.1999999999999993</v>
      </c>
      <c r="I27" s="105">
        <v>7.36</v>
      </c>
      <c r="J27" s="105">
        <v>6.49</v>
      </c>
      <c r="K27" s="105">
        <v>5.62</v>
      </c>
      <c r="L27" s="105">
        <v>4.72</v>
      </c>
      <c r="M27" s="105">
        <v>3.82</v>
      </c>
      <c r="N27" s="105">
        <v>2.89</v>
      </c>
      <c r="O27" s="105">
        <v>1.95</v>
      </c>
      <c r="P27" s="105">
        <v>0.98</v>
      </c>
      <c r="Q27" s="105">
        <v>0</v>
      </c>
    </row>
    <row r="28" spans="1:17" x14ac:dyDescent="0.25">
      <c r="A28" s="104">
        <v>1</v>
      </c>
      <c r="B28" s="105">
        <v>12.73</v>
      </c>
      <c r="C28" s="105">
        <v>12.03</v>
      </c>
      <c r="D28" s="105">
        <v>11.31</v>
      </c>
      <c r="E28" s="105">
        <v>10.56</v>
      </c>
      <c r="F28" s="105">
        <v>9.7799999999999994</v>
      </c>
      <c r="G28" s="105">
        <v>8.9700000000000006</v>
      </c>
      <c r="H28" s="105">
        <v>8.1300000000000008</v>
      </c>
      <c r="I28" s="105">
        <v>7.28</v>
      </c>
      <c r="J28" s="105">
        <v>6.42</v>
      </c>
      <c r="K28" s="105">
        <v>5.54</v>
      </c>
      <c r="L28" s="105">
        <v>4.6500000000000004</v>
      </c>
      <c r="M28" s="105">
        <v>3.74</v>
      </c>
      <c r="N28" s="105">
        <v>2.81</v>
      </c>
      <c r="O28" s="105">
        <v>1.87</v>
      </c>
      <c r="P28" s="105">
        <v>0.9</v>
      </c>
      <c r="Q28" s="105"/>
    </row>
    <row r="29" spans="1:17" x14ac:dyDescent="0.25">
      <c r="A29" s="104">
        <v>2</v>
      </c>
      <c r="B29" s="105">
        <v>12.67</v>
      </c>
      <c r="C29" s="105">
        <v>11.97</v>
      </c>
      <c r="D29" s="105">
        <v>11.25</v>
      </c>
      <c r="E29" s="105">
        <v>10.5</v>
      </c>
      <c r="F29" s="105">
        <v>9.7100000000000009</v>
      </c>
      <c r="G29" s="105">
        <v>8.9</v>
      </c>
      <c r="H29" s="105">
        <v>8.06</v>
      </c>
      <c r="I29" s="105">
        <v>7.21</v>
      </c>
      <c r="J29" s="105">
        <v>6.35</v>
      </c>
      <c r="K29" s="105">
        <v>5.47</v>
      </c>
      <c r="L29" s="105">
        <v>4.57</v>
      </c>
      <c r="M29" s="105">
        <v>3.66</v>
      </c>
      <c r="N29" s="105">
        <v>2.73</v>
      </c>
      <c r="O29" s="105">
        <v>1.79</v>
      </c>
      <c r="P29" s="105">
        <v>0.82</v>
      </c>
      <c r="Q29" s="105"/>
    </row>
    <row r="30" spans="1:17" x14ac:dyDescent="0.25">
      <c r="A30" s="104">
        <v>3</v>
      </c>
      <c r="B30" s="105">
        <v>12.61</v>
      </c>
      <c r="C30" s="105">
        <v>11.91</v>
      </c>
      <c r="D30" s="105">
        <v>11.19</v>
      </c>
      <c r="E30" s="105">
        <v>10.43</v>
      </c>
      <c r="F30" s="105">
        <v>9.65</v>
      </c>
      <c r="G30" s="105">
        <v>8.83</v>
      </c>
      <c r="H30" s="105">
        <v>7.99</v>
      </c>
      <c r="I30" s="105">
        <v>7.14</v>
      </c>
      <c r="J30" s="105">
        <v>6.27</v>
      </c>
      <c r="K30" s="105">
        <v>5.39</v>
      </c>
      <c r="L30" s="105">
        <v>4.5</v>
      </c>
      <c r="M30" s="105">
        <v>3.58</v>
      </c>
      <c r="N30" s="105">
        <v>2.65</v>
      </c>
      <c r="O30" s="105">
        <v>1.71</v>
      </c>
      <c r="P30" s="105">
        <v>0.74</v>
      </c>
      <c r="Q30" s="105"/>
    </row>
    <row r="31" spans="1:17" x14ac:dyDescent="0.25">
      <c r="A31" s="104">
        <v>4</v>
      </c>
      <c r="B31" s="105">
        <v>12.55</v>
      </c>
      <c r="C31" s="105">
        <v>11.85</v>
      </c>
      <c r="D31" s="105">
        <v>11.13</v>
      </c>
      <c r="E31" s="105">
        <v>10.37</v>
      </c>
      <c r="F31" s="105">
        <v>9.58</v>
      </c>
      <c r="G31" s="105">
        <v>8.76</v>
      </c>
      <c r="H31" s="105">
        <v>7.92</v>
      </c>
      <c r="I31" s="105">
        <v>7.07</v>
      </c>
      <c r="J31" s="105">
        <v>6.2</v>
      </c>
      <c r="K31" s="105">
        <v>5.32</v>
      </c>
      <c r="L31" s="105">
        <v>4.42</v>
      </c>
      <c r="M31" s="105">
        <v>3.51</v>
      </c>
      <c r="N31" s="105">
        <v>2.58</v>
      </c>
      <c r="O31" s="105">
        <v>1.63</v>
      </c>
      <c r="P31" s="105">
        <v>0.66</v>
      </c>
      <c r="Q31" s="105"/>
    </row>
    <row r="32" spans="1:17" x14ac:dyDescent="0.25">
      <c r="A32" s="104">
        <v>5</v>
      </c>
      <c r="B32" s="105">
        <v>12.5</v>
      </c>
      <c r="C32" s="105">
        <v>11.79</v>
      </c>
      <c r="D32" s="105">
        <v>11.06</v>
      </c>
      <c r="E32" s="105">
        <v>10.3</v>
      </c>
      <c r="F32" s="105">
        <v>9.51</v>
      </c>
      <c r="G32" s="105">
        <v>8.69</v>
      </c>
      <c r="H32" s="105">
        <v>7.85</v>
      </c>
      <c r="I32" s="105">
        <v>7</v>
      </c>
      <c r="J32" s="105">
        <v>6.13</v>
      </c>
      <c r="K32" s="105">
        <v>5.24</v>
      </c>
      <c r="L32" s="105">
        <v>4.3499999999999996</v>
      </c>
      <c r="M32" s="105">
        <v>3.43</v>
      </c>
      <c r="N32" s="105">
        <v>2.5</v>
      </c>
      <c r="O32" s="105">
        <v>1.55</v>
      </c>
      <c r="P32" s="105">
        <v>0.56999999999999995</v>
      </c>
      <c r="Q32" s="105"/>
    </row>
    <row r="33" spans="1:17" x14ac:dyDescent="0.25">
      <c r="A33" s="104">
        <v>6</v>
      </c>
      <c r="B33" s="105">
        <v>12.44</v>
      </c>
      <c r="C33" s="105">
        <v>11.73</v>
      </c>
      <c r="D33" s="105">
        <v>11</v>
      </c>
      <c r="E33" s="105">
        <v>10.24</v>
      </c>
      <c r="F33" s="105">
        <v>9.44</v>
      </c>
      <c r="G33" s="105">
        <v>8.6199999999999992</v>
      </c>
      <c r="H33" s="105">
        <v>7.78</v>
      </c>
      <c r="I33" s="105">
        <v>6.92</v>
      </c>
      <c r="J33" s="105">
        <v>6.06</v>
      </c>
      <c r="K33" s="105">
        <v>5.17</v>
      </c>
      <c r="L33" s="105">
        <v>4.2699999999999996</v>
      </c>
      <c r="M33" s="105">
        <v>3.35</v>
      </c>
      <c r="N33" s="105">
        <v>2.42</v>
      </c>
      <c r="O33" s="105">
        <v>1.46</v>
      </c>
      <c r="P33" s="105">
        <v>0.49</v>
      </c>
      <c r="Q33" s="105"/>
    </row>
    <row r="34" spans="1:17" x14ac:dyDescent="0.25">
      <c r="A34" s="104">
        <v>7</v>
      </c>
      <c r="B34" s="105">
        <v>12.38</v>
      </c>
      <c r="C34" s="105">
        <v>11.67</v>
      </c>
      <c r="D34" s="105">
        <v>10.94</v>
      </c>
      <c r="E34" s="105">
        <v>10.17</v>
      </c>
      <c r="F34" s="105">
        <v>9.3800000000000008</v>
      </c>
      <c r="G34" s="105">
        <v>8.5500000000000007</v>
      </c>
      <c r="H34" s="105">
        <v>7.71</v>
      </c>
      <c r="I34" s="105">
        <v>6.85</v>
      </c>
      <c r="J34" s="105">
        <v>5.98</v>
      </c>
      <c r="K34" s="105">
        <v>5.0999999999999996</v>
      </c>
      <c r="L34" s="105">
        <v>4.1900000000000004</v>
      </c>
      <c r="M34" s="105">
        <v>3.28</v>
      </c>
      <c r="N34" s="105">
        <v>2.34</v>
      </c>
      <c r="O34" s="105">
        <v>1.38</v>
      </c>
      <c r="P34" s="105">
        <v>0.41</v>
      </c>
      <c r="Q34" s="105"/>
    </row>
    <row r="35" spans="1:17" x14ac:dyDescent="0.25">
      <c r="A35" s="104">
        <v>8</v>
      </c>
      <c r="B35" s="105">
        <v>12.32</v>
      </c>
      <c r="C35" s="105">
        <v>11.61</v>
      </c>
      <c r="D35" s="105">
        <v>10.88</v>
      </c>
      <c r="E35" s="105">
        <v>10.11</v>
      </c>
      <c r="F35" s="105">
        <v>9.31</v>
      </c>
      <c r="G35" s="105">
        <v>8.48</v>
      </c>
      <c r="H35" s="105">
        <v>7.64</v>
      </c>
      <c r="I35" s="105">
        <v>6.78</v>
      </c>
      <c r="J35" s="105">
        <v>5.91</v>
      </c>
      <c r="K35" s="105">
        <v>5.0199999999999996</v>
      </c>
      <c r="L35" s="105">
        <v>4.12</v>
      </c>
      <c r="M35" s="105">
        <v>3.2</v>
      </c>
      <c r="N35" s="105">
        <v>2.2599999999999998</v>
      </c>
      <c r="O35" s="105">
        <v>1.3</v>
      </c>
      <c r="P35" s="105">
        <v>0.33</v>
      </c>
      <c r="Q35" s="105"/>
    </row>
    <row r="36" spans="1:17" x14ac:dyDescent="0.25">
      <c r="A36" s="104">
        <v>9</v>
      </c>
      <c r="B36" s="105">
        <v>12.27</v>
      </c>
      <c r="C36" s="105">
        <v>11.55</v>
      </c>
      <c r="D36" s="105">
        <v>10.81</v>
      </c>
      <c r="E36" s="105">
        <v>10.039999999999999</v>
      </c>
      <c r="F36" s="105">
        <v>9.24</v>
      </c>
      <c r="G36" s="105">
        <v>8.41</v>
      </c>
      <c r="H36" s="105">
        <v>7.57</v>
      </c>
      <c r="I36" s="105">
        <v>6.71</v>
      </c>
      <c r="J36" s="105">
        <v>5.84</v>
      </c>
      <c r="K36" s="105">
        <v>4.95</v>
      </c>
      <c r="L36" s="105">
        <v>4.04</v>
      </c>
      <c r="M36" s="105">
        <v>3.12</v>
      </c>
      <c r="N36" s="105">
        <v>2.1800000000000002</v>
      </c>
      <c r="O36" s="105">
        <v>1.22</v>
      </c>
      <c r="P36" s="105">
        <v>0.25</v>
      </c>
      <c r="Q36" s="105"/>
    </row>
    <row r="37" spans="1:17" x14ac:dyDescent="0.25">
      <c r="A37" s="104">
        <v>10</v>
      </c>
      <c r="B37" s="105">
        <v>12.21</v>
      </c>
      <c r="C37" s="105">
        <v>11.49</v>
      </c>
      <c r="D37" s="105">
        <v>10.75</v>
      </c>
      <c r="E37" s="105">
        <v>9.98</v>
      </c>
      <c r="F37" s="105">
        <v>9.17</v>
      </c>
      <c r="G37" s="105">
        <v>8.34</v>
      </c>
      <c r="H37" s="105">
        <v>7.5</v>
      </c>
      <c r="I37" s="105">
        <v>6.64</v>
      </c>
      <c r="J37" s="105">
        <v>5.76</v>
      </c>
      <c r="K37" s="105">
        <v>4.87</v>
      </c>
      <c r="L37" s="105">
        <v>3.97</v>
      </c>
      <c r="M37" s="105">
        <v>3.04</v>
      </c>
      <c r="N37" s="105">
        <v>2.1</v>
      </c>
      <c r="O37" s="105">
        <v>1.1399999999999999</v>
      </c>
      <c r="P37" s="105">
        <v>0.16</v>
      </c>
      <c r="Q37" s="105"/>
    </row>
    <row r="38" spans="1:17" x14ac:dyDescent="0.25">
      <c r="A38" s="104">
        <v>11</v>
      </c>
      <c r="B38" s="105">
        <v>12.15</v>
      </c>
      <c r="C38" s="105">
        <v>11.43</v>
      </c>
      <c r="D38" s="105">
        <v>10.69</v>
      </c>
      <c r="E38" s="105">
        <v>9.91</v>
      </c>
      <c r="F38" s="105">
        <v>9.1</v>
      </c>
      <c r="G38" s="105">
        <v>8.27</v>
      </c>
      <c r="H38" s="105">
        <v>7.43</v>
      </c>
      <c r="I38" s="105">
        <v>6.57</v>
      </c>
      <c r="J38" s="105">
        <v>5.69</v>
      </c>
      <c r="K38" s="105">
        <v>4.8</v>
      </c>
      <c r="L38" s="105">
        <v>3.89</v>
      </c>
      <c r="M38" s="105">
        <v>2.97</v>
      </c>
      <c r="N38" s="105">
        <v>2.02</v>
      </c>
      <c r="O38" s="105">
        <v>1.06</v>
      </c>
      <c r="P38" s="105">
        <v>0.08</v>
      </c>
      <c r="Q38" s="105"/>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 customHeight="1" x14ac:dyDescent="0.25">
      <c r="A44"/>
      <c r="B44"/>
    </row>
    <row r="45" spans="1:17" x14ac:dyDescent="0.25">
      <c r="A45"/>
      <c r="B45"/>
    </row>
    <row r="46" spans="1:17" ht="27.6"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qj1d2RLTc4OJ7/S9Ot5v+ZjL4UmlDc6JOwftJy6O5EZ0eYWXH0mZacEMGa7Y25mqAkUK95scuoRekDnr3SUD4A==" saltValue="VubznZT9GEym77ljLEEoTw==" spinCount="100000" sheet="1" objects="1" scenarios="1"/>
  <conditionalFormatting sqref="A6:A21">
    <cfRule type="expression" dxfId="585" priority="1" stopIfTrue="1">
      <formula>MOD(ROW(),2)=0</formula>
    </cfRule>
    <cfRule type="expression" dxfId="584" priority="2" stopIfTrue="1">
      <formula>MOD(ROW(),2)&lt;&gt;0</formula>
    </cfRule>
  </conditionalFormatting>
  <conditionalFormatting sqref="A26:A38">
    <cfRule type="expression" dxfId="583" priority="11" stopIfTrue="1">
      <formula>MOD(ROW(),2)=0</formula>
    </cfRule>
    <cfRule type="expression" dxfId="582" priority="12" stopIfTrue="1">
      <formula>MOD(ROW(),2)&lt;&gt;0</formula>
    </cfRule>
  </conditionalFormatting>
  <conditionalFormatting sqref="B17:B21">
    <cfRule type="expression" dxfId="581" priority="7" stopIfTrue="1">
      <formula>MOD(ROW(),2)=0</formula>
    </cfRule>
    <cfRule type="expression" dxfId="580" priority="8" stopIfTrue="1">
      <formula>MOD(ROW(),2)&lt;&gt;0</formula>
    </cfRule>
  </conditionalFormatting>
  <conditionalFormatting sqref="B6:Q21">
    <cfRule type="expression" dxfId="579" priority="25" stopIfTrue="1">
      <formula>MOD(ROW(),2)=0</formula>
    </cfRule>
    <cfRule type="expression" dxfId="578" priority="26" stopIfTrue="1">
      <formula>MOD(ROW(),2)&lt;&gt;0</formula>
    </cfRule>
  </conditionalFormatting>
  <conditionalFormatting sqref="B26:Q38">
    <cfRule type="expression" dxfId="577" priority="13" stopIfTrue="1">
      <formula>MOD(ROW(),2)=0</formula>
    </cfRule>
    <cfRule type="expression" dxfId="576" priority="14" stopIfTrue="1">
      <formula>MOD(ROW(),2)&lt;&gt;0</formula>
    </cfRule>
  </conditionalFormatting>
  <hyperlinks>
    <hyperlink ref="B24" location="Sheet1!A1" display="Assumptions" xr:uid="{626A4B3F-619E-4050-B996-94A353F9A30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41"/>
  <dimension ref="A1:L65"/>
  <sheetViews>
    <sheetView showGridLines="0" zoomScale="85" zoomScaleNormal="85" workbookViewId="0">
      <selection activeCell="A4" sqref="A4"/>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39" t="s">
        <v>0</v>
      </c>
      <c r="B1" s="40"/>
      <c r="C1" s="40"/>
      <c r="D1" s="40"/>
      <c r="E1" s="40"/>
      <c r="F1" s="40"/>
      <c r="G1" s="40"/>
      <c r="H1" s="40"/>
      <c r="I1" s="40"/>
    </row>
    <row r="2" spans="1:12"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2" ht="15.6" x14ac:dyDescent="0.3">
      <c r="A3" s="43" t="str">
        <f>TABLE_FACTOR_TYPE_1&amp;" - x-"&amp;TABLE_SERIES_NUMBER_1</f>
        <v>ARBO - x-708</v>
      </c>
      <c r="B3" s="42"/>
      <c r="C3" s="42"/>
      <c r="D3" s="42"/>
      <c r="E3" s="42"/>
      <c r="F3" s="42"/>
      <c r="G3" s="42"/>
      <c r="H3" s="42"/>
      <c r="I3" s="42"/>
    </row>
    <row r="4" spans="1:12" x14ac:dyDescent="0.25">
      <c r="A4" s="44"/>
    </row>
    <row r="6" spans="1:12" x14ac:dyDescent="0.25">
      <c r="A6" s="76" t="s">
        <v>290</v>
      </c>
      <c r="B6" s="129" t="s">
        <v>291</v>
      </c>
      <c r="C6" s="129"/>
      <c r="D6" s="129"/>
      <c r="E6" s="129"/>
      <c r="F6" s="129"/>
      <c r="G6" s="129"/>
      <c r="H6" s="129"/>
      <c r="I6" s="129"/>
      <c r="J6" s="129"/>
      <c r="K6" s="129"/>
      <c r="L6" s="129"/>
    </row>
    <row r="7" spans="1:12" x14ac:dyDescent="0.25">
      <c r="A7" s="77" t="s">
        <v>804</v>
      </c>
      <c r="B7" s="129" t="s">
        <v>345</v>
      </c>
      <c r="C7" s="129"/>
      <c r="D7" s="129"/>
      <c r="E7" s="129"/>
      <c r="F7" s="129"/>
      <c r="G7" s="129"/>
      <c r="H7" s="129"/>
      <c r="I7" s="129"/>
      <c r="J7" s="129"/>
      <c r="K7" s="129"/>
      <c r="L7" s="129"/>
    </row>
    <row r="8" spans="1:12" x14ac:dyDescent="0.25">
      <c r="A8" s="77" t="s">
        <v>805</v>
      </c>
      <c r="B8" s="129" t="s">
        <v>89</v>
      </c>
      <c r="C8" s="129"/>
      <c r="D8" s="129"/>
      <c r="E8" s="129"/>
      <c r="F8" s="129"/>
      <c r="G8" s="129"/>
      <c r="H8" s="129"/>
      <c r="I8" s="129"/>
      <c r="J8" s="129"/>
      <c r="K8" s="129"/>
      <c r="L8" s="129"/>
    </row>
    <row r="9" spans="1:12" x14ac:dyDescent="0.25">
      <c r="A9" s="77" t="s">
        <v>296</v>
      </c>
      <c r="B9" s="129" t="s">
        <v>565</v>
      </c>
      <c r="C9" s="129"/>
      <c r="D9" s="129"/>
      <c r="E9" s="129"/>
      <c r="F9" s="129"/>
      <c r="G9" s="129"/>
      <c r="H9" s="129"/>
      <c r="I9" s="129"/>
      <c r="J9" s="129"/>
      <c r="K9" s="129"/>
      <c r="L9" s="129"/>
    </row>
    <row r="10" spans="1:12" x14ac:dyDescent="0.25">
      <c r="A10" s="77" t="s">
        <v>6</v>
      </c>
      <c r="B10" s="129" t="s">
        <v>588</v>
      </c>
      <c r="C10" s="129"/>
      <c r="D10" s="129"/>
      <c r="E10" s="129"/>
      <c r="F10" s="129"/>
      <c r="G10" s="129"/>
      <c r="H10" s="129"/>
      <c r="I10" s="129"/>
      <c r="J10" s="129"/>
      <c r="K10" s="129"/>
      <c r="L10" s="129"/>
    </row>
    <row r="11" spans="1:12" x14ac:dyDescent="0.25">
      <c r="A11" s="77" t="s">
        <v>299</v>
      </c>
      <c r="B11" s="129" t="s">
        <v>364</v>
      </c>
      <c r="C11" s="129"/>
      <c r="D11" s="129"/>
      <c r="E11" s="129"/>
      <c r="F11" s="129"/>
      <c r="G11" s="129"/>
      <c r="H11" s="129"/>
      <c r="I11" s="129"/>
      <c r="J11" s="129"/>
      <c r="K11" s="129"/>
      <c r="L11" s="129"/>
    </row>
    <row r="12" spans="1:12" x14ac:dyDescent="0.25">
      <c r="A12" s="77" t="s">
        <v>301</v>
      </c>
      <c r="B12" s="129" t="s">
        <v>567</v>
      </c>
      <c r="C12" s="129"/>
      <c r="D12" s="129"/>
      <c r="E12" s="129"/>
      <c r="F12" s="129"/>
      <c r="G12" s="129"/>
      <c r="H12" s="129"/>
      <c r="I12" s="129"/>
      <c r="J12" s="129"/>
      <c r="K12" s="129"/>
      <c r="L12" s="129"/>
    </row>
    <row r="13" spans="1:12" x14ac:dyDescent="0.25">
      <c r="A13" s="77" t="s">
        <v>806</v>
      </c>
      <c r="B13" s="129">
        <v>1</v>
      </c>
      <c r="C13" s="129"/>
      <c r="D13" s="129"/>
      <c r="E13" s="129"/>
      <c r="F13" s="129"/>
      <c r="G13" s="129"/>
      <c r="H13" s="129"/>
      <c r="I13" s="129"/>
      <c r="J13" s="129"/>
      <c r="K13" s="129"/>
      <c r="L13" s="129"/>
    </row>
    <row r="14" spans="1:12" x14ac:dyDescent="0.25">
      <c r="A14" s="77" t="s">
        <v>305</v>
      </c>
      <c r="B14" s="129">
        <v>708</v>
      </c>
      <c r="C14" s="129"/>
      <c r="D14" s="129"/>
      <c r="E14" s="129"/>
      <c r="F14" s="129"/>
      <c r="G14" s="129"/>
      <c r="H14" s="129"/>
      <c r="I14" s="129"/>
      <c r="J14" s="129"/>
      <c r="K14" s="129"/>
      <c r="L14" s="129"/>
    </row>
    <row r="15" spans="1:12" x14ac:dyDescent="0.25">
      <c r="A15" s="77" t="s">
        <v>307</v>
      </c>
      <c r="B15" s="129" t="s">
        <v>589</v>
      </c>
      <c r="C15" s="129"/>
      <c r="D15" s="129"/>
      <c r="E15" s="129"/>
      <c r="F15" s="129"/>
      <c r="G15" s="129"/>
      <c r="H15" s="129"/>
      <c r="I15" s="129"/>
      <c r="J15" s="129"/>
      <c r="K15" s="129"/>
      <c r="L15" s="129"/>
    </row>
    <row r="16" spans="1:12" x14ac:dyDescent="0.25">
      <c r="A16" s="77" t="s">
        <v>309</v>
      </c>
      <c r="B16" s="129" t="s">
        <v>590</v>
      </c>
      <c r="C16" s="129"/>
      <c r="D16" s="129"/>
      <c r="E16" s="129"/>
      <c r="F16" s="129"/>
      <c r="G16" s="129"/>
      <c r="H16" s="129"/>
      <c r="I16" s="129"/>
      <c r="J16" s="129"/>
      <c r="K16" s="129"/>
      <c r="L16" s="129"/>
    </row>
    <row r="17" spans="1:12" x14ac:dyDescent="0.25">
      <c r="A17" s="77" t="s">
        <v>803</v>
      </c>
      <c r="B17" s="129"/>
      <c r="C17" s="129"/>
      <c r="D17" s="129"/>
      <c r="E17" s="129"/>
      <c r="F17" s="129"/>
      <c r="G17" s="129"/>
      <c r="H17" s="129"/>
      <c r="I17" s="129"/>
      <c r="J17" s="129"/>
      <c r="K17" s="129"/>
      <c r="L17" s="129"/>
    </row>
    <row r="18" spans="1:12" x14ac:dyDescent="0.25">
      <c r="A18" s="77" t="s">
        <v>313</v>
      </c>
      <c r="B18" s="187">
        <v>45135</v>
      </c>
      <c r="C18" s="129"/>
      <c r="D18" s="129"/>
      <c r="E18" s="129"/>
      <c r="F18" s="129"/>
      <c r="G18" s="129"/>
      <c r="H18" s="129"/>
      <c r="I18" s="129"/>
      <c r="J18" s="129"/>
      <c r="K18" s="129"/>
      <c r="L18" s="129"/>
    </row>
    <row r="19" spans="1:12" x14ac:dyDescent="0.25">
      <c r="A19" s="77" t="s">
        <v>315</v>
      </c>
      <c r="B19" s="187"/>
      <c r="C19" s="129"/>
      <c r="D19" s="129"/>
      <c r="E19" s="129"/>
      <c r="F19" s="129"/>
      <c r="G19" s="129"/>
      <c r="H19" s="129"/>
      <c r="I19" s="129"/>
      <c r="J19" s="129"/>
      <c r="K19" s="129"/>
      <c r="L19" s="129"/>
    </row>
    <row r="20" spans="1:12" x14ac:dyDescent="0.25">
      <c r="A20" s="77" t="s">
        <v>317</v>
      </c>
      <c r="B20" s="129" t="s">
        <v>331</v>
      </c>
      <c r="C20" s="129"/>
      <c r="D20" s="129"/>
      <c r="E20" s="129"/>
      <c r="F20" s="129"/>
      <c r="G20" s="129"/>
      <c r="H20" s="129"/>
      <c r="I20" s="129"/>
      <c r="J20" s="129"/>
      <c r="K20" s="129"/>
      <c r="L20" s="129"/>
    </row>
    <row r="21" spans="1:12" x14ac:dyDescent="0.25">
      <c r="A21" s="77" t="s">
        <v>323</v>
      </c>
      <c r="B21" s="129" t="s">
        <v>332</v>
      </c>
      <c r="C21" s="129"/>
      <c r="D21" s="129"/>
      <c r="E21" s="129"/>
      <c r="F21" s="129"/>
      <c r="G21" s="129"/>
      <c r="H21" s="129"/>
      <c r="I21" s="129"/>
      <c r="J21" s="129"/>
      <c r="K21" s="129"/>
      <c r="L21" s="129"/>
    </row>
    <row r="23" spans="1:12" x14ac:dyDescent="0.25">
      <c r="B23" s="102" t="str">
        <f>HYPERLINK("#'Factor List'!A1","Back to Factor List")</f>
        <v>Back to Factor List</v>
      </c>
    </row>
    <row r="24" spans="1:12" x14ac:dyDescent="0.25">
      <c r="B24" s="102" t="s">
        <v>13</v>
      </c>
    </row>
    <row r="25" spans="1:12" x14ac:dyDescent="0.25">
      <c r="B25" s="102"/>
    </row>
    <row r="26" spans="1:12" x14ac:dyDescent="0.25">
      <c r="A26" s="103" t="s">
        <v>855</v>
      </c>
      <c r="B26" s="103">
        <v>55</v>
      </c>
      <c r="C26" s="103">
        <v>56</v>
      </c>
      <c r="D26" s="103">
        <v>57</v>
      </c>
      <c r="E26" s="103">
        <v>58</v>
      </c>
      <c r="F26" s="103">
        <v>59</v>
      </c>
      <c r="G26" s="103">
        <v>60</v>
      </c>
      <c r="H26" s="103">
        <v>61</v>
      </c>
      <c r="I26" s="103">
        <v>62</v>
      </c>
      <c r="J26" s="103">
        <v>63</v>
      </c>
      <c r="K26" s="103">
        <v>64</v>
      </c>
      <c r="L26" s="103">
        <v>65</v>
      </c>
    </row>
    <row r="27" spans="1:12" x14ac:dyDescent="0.25">
      <c r="A27" s="104">
        <v>0</v>
      </c>
      <c r="B27" s="105">
        <v>9.0399999999999991</v>
      </c>
      <c r="C27" s="105">
        <v>8.1999999999999993</v>
      </c>
      <c r="D27" s="105">
        <v>7.36</v>
      </c>
      <c r="E27" s="105">
        <v>6.49</v>
      </c>
      <c r="F27" s="105">
        <v>5.62</v>
      </c>
      <c r="G27" s="105">
        <v>4.72</v>
      </c>
      <c r="H27" s="105">
        <v>3.82</v>
      </c>
      <c r="I27" s="105">
        <v>2.89</v>
      </c>
      <c r="J27" s="105">
        <v>1.95</v>
      </c>
      <c r="K27" s="105">
        <v>0.98</v>
      </c>
      <c r="L27" s="105">
        <v>0</v>
      </c>
    </row>
    <row r="28" spans="1:12" x14ac:dyDescent="0.25">
      <c r="A28" s="104">
        <v>1</v>
      </c>
      <c r="B28" s="105">
        <v>8.9700000000000006</v>
      </c>
      <c r="C28" s="105">
        <v>8.1300000000000008</v>
      </c>
      <c r="D28" s="105">
        <v>7.28</v>
      </c>
      <c r="E28" s="105">
        <v>6.42</v>
      </c>
      <c r="F28" s="105">
        <v>5.54</v>
      </c>
      <c r="G28" s="105">
        <v>4.6500000000000004</v>
      </c>
      <c r="H28" s="105">
        <v>3.74</v>
      </c>
      <c r="I28" s="105">
        <v>2.81</v>
      </c>
      <c r="J28" s="105">
        <v>1.87</v>
      </c>
      <c r="K28" s="105">
        <v>0.9</v>
      </c>
      <c r="L28" s="105"/>
    </row>
    <row r="29" spans="1:12" x14ac:dyDescent="0.25">
      <c r="A29" s="104">
        <v>2</v>
      </c>
      <c r="B29" s="105">
        <v>8.9</v>
      </c>
      <c r="C29" s="105">
        <v>8.06</v>
      </c>
      <c r="D29" s="105">
        <v>7.21</v>
      </c>
      <c r="E29" s="105">
        <v>6.35</v>
      </c>
      <c r="F29" s="105">
        <v>5.47</v>
      </c>
      <c r="G29" s="105">
        <v>4.57</v>
      </c>
      <c r="H29" s="105">
        <v>3.66</v>
      </c>
      <c r="I29" s="105">
        <v>2.73</v>
      </c>
      <c r="J29" s="105">
        <v>1.79</v>
      </c>
      <c r="K29" s="105">
        <v>0.82</v>
      </c>
      <c r="L29" s="105"/>
    </row>
    <row r="30" spans="1:12" x14ac:dyDescent="0.25">
      <c r="A30" s="104">
        <v>3</v>
      </c>
      <c r="B30" s="105">
        <v>8.83</v>
      </c>
      <c r="C30" s="105">
        <v>7.99</v>
      </c>
      <c r="D30" s="105">
        <v>7.14</v>
      </c>
      <c r="E30" s="105">
        <v>6.27</v>
      </c>
      <c r="F30" s="105">
        <v>5.39</v>
      </c>
      <c r="G30" s="105">
        <v>4.5</v>
      </c>
      <c r="H30" s="105">
        <v>3.58</v>
      </c>
      <c r="I30" s="105">
        <v>2.65</v>
      </c>
      <c r="J30" s="105">
        <v>1.71</v>
      </c>
      <c r="K30" s="105">
        <v>0.74</v>
      </c>
      <c r="L30" s="105"/>
    </row>
    <row r="31" spans="1:12" x14ac:dyDescent="0.25">
      <c r="A31" s="104">
        <v>4</v>
      </c>
      <c r="B31" s="105">
        <v>8.76</v>
      </c>
      <c r="C31" s="105">
        <v>7.92</v>
      </c>
      <c r="D31" s="105">
        <v>7.07</v>
      </c>
      <c r="E31" s="105">
        <v>6.2</v>
      </c>
      <c r="F31" s="105">
        <v>5.32</v>
      </c>
      <c r="G31" s="105">
        <v>4.42</v>
      </c>
      <c r="H31" s="105">
        <v>3.51</v>
      </c>
      <c r="I31" s="105">
        <v>2.58</v>
      </c>
      <c r="J31" s="105">
        <v>1.63</v>
      </c>
      <c r="K31" s="105">
        <v>0.66</v>
      </c>
      <c r="L31" s="105"/>
    </row>
    <row r="32" spans="1:12" x14ac:dyDescent="0.25">
      <c r="A32" s="104">
        <v>5</v>
      </c>
      <c r="B32" s="105">
        <v>8.69</v>
      </c>
      <c r="C32" s="105">
        <v>7.85</v>
      </c>
      <c r="D32" s="105">
        <v>7</v>
      </c>
      <c r="E32" s="105">
        <v>6.13</v>
      </c>
      <c r="F32" s="105">
        <v>5.24</v>
      </c>
      <c r="G32" s="105">
        <v>4.3499999999999996</v>
      </c>
      <c r="H32" s="105">
        <v>3.43</v>
      </c>
      <c r="I32" s="105">
        <v>2.5</v>
      </c>
      <c r="J32" s="105">
        <v>1.55</v>
      </c>
      <c r="K32" s="105">
        <v>0.56999999999999995</v>
      </c>
      <c r="L32" s="105"/>
    </row>
    <row r="33" spans="1:12" x14ac:dyDescent="0.25">
      <c r="A33" s="104">
        <v>6</v>
      </c>
      <c r="B33" s="105">
        <v>8.6199999999999992</v>
      </c>
      <c r="C33" s="105">
        <v>7.78</v>
      </c>
      <c r="D33" s="105">
        <v>6.92</v>
      </c>
      <c r="E33" s="105">
        <v>6.06</v>
      </c>
      <c r="F33" s="105">
        <v>5.17</v>
      </c>
      <c r="G33" s="105">
        <v>4.2699999999999996</v>
      </c>
      <c r="H33" s="105">
        <v>3.35</v>
      </c>
      <c r="I33" s="105">
        <v>2.42</v>
      </c>
      <c r="J33" s="105">
        <v>1.46</v>
      </c>
      <c r="K33" s="105">
        <v>0.49</v>
      </c>
      <c r="L33" s="105"/>
    </row>
    <row r="34" spans="1:12" x14ac:dyDescent="0.25">
      <c r="A34" s="104">
        <v>7</v>
      </c>
      <c r="B34" s="105">
        <v>8.5500000000000007</v>
      </c>
      <c r="C34" s="105">
        <v>7.71</v>
      </c>
      <c r="D34" s="105">
        <v>6.85</v>
      </c>
      <c r="E34" s="105">
        <v>5.98</v>
      </c>
      <c r="F34" s="105">
        <v>5.0999999999999996</v>
      </c>
      <c r="G34" s="105">
        <v>4.1900000000000004</v>
      </c>
      <c r="H34" s="105">
        <v>3.28</v>
      </c>
      <c r="I34" s="105">
        <v>2.34</v>
      </c>
      <c r="J34" s="105">
        <v>1.38</v>
      </c>
      <c r="K34" s="105">
        <v>0.41</v>
      </c>
      <c r="L34" s="105"/>
    </row>
    <row r="35" spans="1:12" x14ac:dyDescent="0.25">
      <c r="A35" s="104">
        <v>8</v>
      </c>
      <c r="B35" s="105">
        <v>8.48</v>
      </c>
      <c r="C35" s="105">
        <v>7.64</v>
      </c>
      <c r="D35" s="105">
        <v>6.78</v>
      </c>
      <c r="E35" s="105">
        <v>5.91</v>
      </c>
      <c r="F35" s="105">
        <v>5.0199999999999996</v>
      </c>
      <c r="G35" s="105">
        <v>4.12</v>
      </c>
      <c r="H35" s="105">
        <v>3.2</v>
      </c>
      <c r="I35" s="105">
        <v>2.2599999999999998</v>
      </c>
      <c r="J35" s="105">
        <v>1.3</v>
      </c>
      <c r="K35" s="105">
        <v>0.33</v>
      </c>
      <c r="L35" s="105"/>
    </row>
    <row r="36" spans="1:12" x14ac:dyDescent="0.25">
      <c r="A36" s="104">
        <v>9</v>
      </c>
      <c r="B36" s="105">
        <v>8.41</v>
      </c>
      <c r="C36" s="105">
        <v>7.57</v>
      </c>
      <c r="D36" s="105">
        <v>6.71</v>
      </c>
      <c r="E36" s="105">
        <v>5.84</v>
      </c>
      <c r="F36" s="105">
        <v>4.95</v>
      </c>
      <c r="G36" s="105">
        <v>4.04</v>
      </c>
      <c r="H36" s="105">
        <v>3.12</v>
      </c>
      <c r="I36" s="105">
        <v>2.1800000000000002</v>
      </c>
      <c r="J36" s="105">
        <v>1.22</v>
      </c>
      <c r="K36" s="105">
        <v>0.25</v>
      </c>
      <c r="L36" s="105"/>
    </row>
    <row r="37" spans="1:12" x14ac:dyDescent="0.25">
      <c r="A37" s="104">
        <v>10</v>
      </c>
      <c r="B37" s="105">
        <v>8.34</v>
      </c>
      <c r="C37" s="105">
        <v>7.5</v>
      </c>
      <c r="D37" s="105">
        <v>6.64</v>
      </c>
      <c r="E37" s="105">
        <v>5.76</v>
      </c>
      <c r="F37" s="105">
        <v>4.87</v>
      </c>
      <c r="G37" s="105">
        <v>3.97</v>
      </c>
      <c r="H37" s="105">
        <v>3.04</v>
      </c>
      <c r="I37" s="105">
        <v>2.1</v>
      </c>
      <c r="J37" s="105">
        <v>1.1399999999999999</v>
      </c>
      <c r="K37" s="105">
        <v>0.16</v>
      </c>
      <c r="L37" s="105"/>
    </row>
    <row r="38" spans="1:12" x14ac:dyDescent="0.25">
      <c r="A38" s="104">
        <v>11</v>
      </c>
      <c r="B38" s="105">
        <v>8.27</v>
      </c>
      <c r="C38" s="105">
        <v>7.43</v>
      </c>
      <c r="D38" s="105">
        <v>6.57</v>
      </c>
      <c r="E38" s="105">
        <v>5.69</v>
      </c>
      <c r="F38" s="105">
        <v>4.8</v>
      </c>
      <c r="G38" s="105">
        <v>3.89</v>
      </c>
      <c r="H38" s="105">
        <v>2.97</v>
      </c>
      <c r="I38" s="105">
        <v>2.02</v>
      </c>
      <c r="J38" s="105">
        <v>1.06</v>
      </c>
      <c r="K38" s="105">
        <v>0.08</v>
      </c>
      <c r="L38" s="105"/>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KgBYfc3Zmnv2gQQQyXegjI9z9YWjZjB9AEJ8be9s+StjKBGZo+jsLBSMDo37VjS4Q4BnrRJUl+BrG2dlK+kVWw==" saltValue="Ew8sDG33xrWnniCNANNCEw==" spinCount="100000" sheet="1" objects="1" scenarios="1"/>
  <conditionalFormatting sqref="A6:A21">
    <cfRule type="expression" dxfId="575" priority="1" stopIfTrue="1">
      <formula>MOD(ROW(),2)=0</formula>
    </cfRule>
    <cfRule type="expression" dxfId="574" priority="2" stopIfTrue="1">
      <formula>MOD(ROW(),2)&lt;&gt;0</formula>
    </cfRule>
  </conditionalFormatting>
  <conditionalFormatting sqref="A26:A38">
    <cfRule type="expression" dxfId="573" priority="9" stopIfTrue="1">
      <formula>MOD(ROW(),2)=0</formula>
    </cfRule>
    <cfRule type="expression" dxfId="572" priority="10" stopIfTrue="1">
      <formula>MOD(ROW(),2)&lt;&gt;0</formula>
    </cfRule>
  </conditionalFormatting>
  <conditionalFormatting sqref="B17:B21">
    <cfRule type="expression" dxfId="571" priority="5" stopIfTrue="1">
      <formula>MOD(ROW(),2)=0</formula>
    </cfRule>
    <cfRule type="expression" dxfId="570" priority="6" stopIfTrue="1">
      <formula>MOD(ROW(),2)&lt;&gt;0</formula>
    </cfRule>
  </conditionalFormatting>
  <conditionalFormatting sqref="B6:L6 C7:L7 B8:L16 C17:L21">
    <cfRule type="expression" dxfId="569" priority="29" stopIfTrue="1">
      <formula>MOD(ROW(),2)=0</formula>
    </cfRule>
    <cfRule type="expression" dxfId="568" priority="30" stopIfTrue="1">
      <formula>MOD(ROW(),2)&lt;&gt;0</formula>
    </cfRule>
  </conditionalFormatting>
  <conditionalFormatting sqref="B6:L21">
    <cfRule type="expression" dxfId="567" priority="19" stopIfTrue="1">
      <formula>MOD(ROW(),2)=0</formula>
    </cfRule>
    <cfRule type="expression" dxfId="566" priority="20" stopIfTrue="1">
      <formula>MOD(ROW(),2)&lt;&gt;0</formula>
    </cfRule>
  </conditionalFormatting>
  <conditionalFormatting sqref="B26:L38">
    <cfRule type="expression" dxfId="565" priority="11" stopIfTrue="1">
      <formula>MOD(ROW(),2)=0</formula>
    </cfRule>
    <cfRule type="expression" dxfId="564" priority="12" stopIfTrue="1">
      <formula>MOD(ROW(),2)&lt;&gt;0</formula>
    </cfRule>
  </conditionalFormatting>
  <hyperlinks>
    <hyperlink ref="B24" location="Sheet1!A1" display="Assumptions" xr:uid="{A5D4DB5F-9DA1-448A-AE2D-DE45E2AC749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42"/>
  <dimension ref="A1:I65"/>
  <sheetViews>
    <sheetView showGridLines="0" zoomScale="85" zoomScaleNormal="85" workbookViewId="0">
      <selection activeCell="A4" sqref="A4"/>
    </sheetView>
  </sheetViews>
  <sheetFormatPr defaultColWidth="10" defaultRowHeight="13.2" x14ac:dyDescent="0.25"/>
  <cols>
    <col min="1" max="1" width="31.5546875" style="27" customWidth="1"/>
    <col min="2" max="7" width="22.5546875" style="27" customWidth="1"/>
    <col min="8"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ARBO - x-709</v>
      </c>
      <c r="B3" s="42"/>
      <c r="C3" s="42"/>
      <c r="D3" s="42"/>
      <c r="E3" s="42"/>
      <c r="F3" s="42"/>
      <c r="G3" s="42"/>
      <c r="H3" s="42"/>
      <c r="I3" s="42"/>
    </row>
    <row r="4" spans="1:9" x14ac:dyDescent="0.25">
      <c r="A4" s="44"/>
    </row>
    <row r="6" spans="1:9" x14ac:dyDescent="0.25">
      <c r="A6" s="76" t="s">
        <v>290</v>
      </c>
      <c r="B6" s="129" t="s">
        <v>291</v>
      </c>
      <c r="C6" s="129"/>
      <c r="D6" s="129"/>
      <c r="E6" s="129"/>
      <c r="F6" s="129"/>
      <c r="G6" s="129"/>
    </row>
    <row r="7" spans="1:9" x14ac:dyDescent="0.25">
      <c r="A7" s="77" t="s">
        <v>804</v>
      </c>
      <c r="B7" s="129" t="s">
        <v>345</v>
      </c>
      <c r="C7" s="129"/>
      <c r="D7" s="129"/>
      <c r="E7" s="129"/>
      <c r="F7" s="129"/>
      <c r="G7" s="129"/>
    </row>
    <row r="8" spans="1:9" x14ac:dyDescent="0.25">
      <c r="A8" s="77" t="s">
        <v>805</v>
      </c>
      <c r="B8" s="129" t="s">
        <v>89</v>
      </c>
      <c r="C8" s="129"/>
      <c r="D8" s="129"/>
      <c r="E8" s="129"/>
      <c r="F8" s="129"/>
      <c r="G8" s="129"/>
    </row>
    <row r="9" spans="1:9" x14ac:dyDescent="0.25">
      <c r="A9" s="77" t="s">
        <v>296</v>
      </c>
      <c r="B9" s="129" t="s">
        <v>565</v>
      </c>
      <c r="C9" s="129"/>
      <c r="D9" s="129"/>
      <c r="E9" s="129"/>
      <c r="F9" s="129"/>
      <c r="G9" s="129"/>
    </row>
    <row r="10" spans="1:9" x14ac:dyDescent="0.25">
      <c r="A10" s="77" t="s">
        <v>6</v>
      </c>
      <c r="B10" s="129" t="s">
        <v>591</v>
      </c>
      <c r="C10" s="129"/>
      <c r="D10" s="129"/>
      <c r="E10" s="129"/>
      <c r="F10" s="129"/>
      <c r="G10" s="129"/>
    </row>
    <row r="11" spans="1:9" x14ac:dyDescent="0.25">
      <c r="A11" s="77" t="s">
        <v>299</v>
      </c>
      <c r="B11" s="129" t="s">
        <v>364</v>
      </c>
      <c r="C11" s="129"/>
      <c r="D11" s="129"/>
      <c r="E11" s="129"/>
      <c r="F11" s="129"/>
      <c r="G11" s="129"/>
    </row>
    <row r="12" spans="1:9" x14ac:dyDescent="0.25">
      <c r="A12" s="77" t="s">
        <v>301</v>
      </c>
      <c r="B12" s="129" t="s">
        <v>567</v>
      </c>
      <c r="C12" s="129"/>
      <c r="D12" s="129"/>
      <c r="E12" s="129"/>
      <c r="F12" s="129"/>
      <c r="G12" s="129"/>
    </row>
    <row r="13" spans="1:9" x14ac:dyDescent="0.25">
      <c r="A13" s="77" t="s">
        <v>806</v>
      </c>
      <c r="B13" s="129">
        <v>1</v>
      </c>
      <c r="C13" s="129"/>
      <c r="D13" s="129"/>
      <c r="E13" s="129"/>
      <c r="F13" s="129"/>
      <c r="G13" s="129"/>
    </row>
    <row r="14" spans="1:9" x14ac:dyDescent="0.25">
      <c r="A14" s="77" t="s">
        <v>305</v>
      </c>
      <c r="B14" s="129">
        <v>709</v>
      </c>
      <c r="C14" s="129"/>
      <c r="D14" s="129"/>
      <c r="E14" s="129"/>
      <c r="F14" s="129"/>
      <c r="G14" s="129"/>
    </row>
    <row r="15" spans="1:9" x14ac:dyDescent="0.25">
      <c r="A15" s="77" t="s">
        <v>307</v>
      </c>
      <c r="B15" s="129" t="s">
        <v>592</v>
      </c>
      <c r="C15" s="129"/>
      <c r="D15" s="129"/>
      <c r="E15" s="129"/>
      <c r="F15" s="129"/>
      <c r="G15" s="129"/>
    </row>
    <row r="16" spans="1:9" x14ac:dyDescent="0.25">
      <c r="A16" s="77" t="s">
        <v>309</v>
      </c>
      <c r="B16" s="129" t="s">
        <v>593</v>
      </c>
      <c r="C16" s="129"/>
      <c r="D16" s="129"/>
      <c r="E16" s="129"/>
      <c r="F16" s="129"/>
      <c r="G16" s="129"/>
    </row>
    <row r="17" spans="1:7" x14ac:dyDescent="0.25">
      <c r="A17" s="77" t="s">
        <v>803</v>
      </c>
      <c r="B17" s="129"/>
      <c r="C17" s="129"/>
      <c r="D17" s="129"/>
      <c r="E17" s="129"/>
      <c r="F17" s="129"/>
      <c r="G17" s="129"/>
    </row>
    <row r="18" spans="1:7" x14ac:dyDescent="0.25">
      <c r="A18" s="77" t="s">
        <v>313</v>
      </c>
      <c r="B18" s="187">
        <v>45135</v>
      </c>
      <c r="C18" s="129"/>
      <c r="D18" s="129"/>
      <c r="E18" s="129"/>
      <c r="F18" s="129"/>
      <c r="G18" s="129"/>
    </row>
    <row r="19" spans="1:7" x14ac:dyDescent="0.25">
      <c r="A19" s="77" t="s">
        <v>315</v>
      </c>
      <c r="B19" s="187"/>
      <c r="C19" s="129"/>
      <c r="D19" s="129"/>
      <c r="E19" s="129"/>
      <c r="F19" s="129"/>
      <c r="G19" s="129"/>
    </row>
    <row r="20" spans="1:7" x14ac:dyDescent="0.25">
      <c r="A20" s="77" t="s">
        <v>317</v>
      </c>
      <c r="B20" s="129" t="s">
        <v>331</v>
      </c>
      <c r="C20" s="129"/>
      <c r="D20" s="129"/>
      <c r="E20" s="129"/>
      <c r="F20" s="129"/>
      <c r="G20" s="129"/>
    </row>
    <row r="21" spans="1:7" x14ac:dyDescent="0.25">
      <c r="A21" s="77" t="s">
        <v>323</v>
      </c>
      <c r="B21" s="129" t="s">
        <v>332</v>
      </c>
      <c r="C21" s="129"/>
      <c r="D21" s="129"/>
      <c r="E21" s="129"/>
      <c r="F21" s="129"/>
      <c r="G21" s="129"/>
    </row>
    <row r="23" spans="1:7" x14ac:dyDescent="0.25">
      <c r="B23" s="102" t="str">
        <f>HYPERLINK("#'Factor List'!A1","Back to Factor List")</f>
        <v>Back to Factor List</v>
      </c>
    </row>
    <row r="24" spans="1:7" x14ac:dyDescent="0.25">
      <c r="B24" s="102" t="s">
        <v>13</v>
      </c>
    </row>
    <row r="25" spans="1:7" x14ac:dyDescent="0.25">
      <c r="B25" s="102"/>
    </row>
    <row r="26" spans="1:7" x14ac:dyDescent="0.25">
      <c r="A26" s="103" t="s">
        <v>855</v>
      </c>
      <c r="B26" s="103">
        <v>55</v>
      </c>
      <c r="C26" s="103">
        <v>56</v>
      </c>
      <c r="D26" s="103">
        <v>57</v>
      </c>
      <c r="E26" s="103">
        <v>58</v>
      </c>
      <c r="F26" s="103">
        <v>59</v>
      </c>
      <c r="G26" s="103">
        <v>60</v>
      </c>
    </row>
    <row r="27" spans="1:7" x14ac:dyDescent="0.25">
      <c r="A27" s="104">
        <v>0</v>
      </c>
      <c r="B27" s="105">
        <v>4.75</v>
      </c>
      <c r="C27" s="105">
        <v>3.84</v>
      </c>
      <c r="D27" s="105">
        <v>2.9</v>
      </c>
      <c r="E27" s="105">
        <v>1.95</v>
      </c>
      <c r="F27" s="105">
        <v>0.99</v>
      </c>
      <c r="G27" s="105">
        <v>0</v>
      </c>
    </row>
    <row r="28" spans="1:7" x14ac:dyDescent="0.25">
      <c r="A28" s="104">
        <v>1</v>
      </c>
      <c r="B28" s="105">
        <v>4.68</v>
      </c>
      <c r="C28" s="105">
        <v>3.76</v>
      </c>
      <c r="D28" s="105">
        <v>2.83</v>
      </c>
      <c r="E28" s="105">
        <v>1.87</v>
      </c>
      <c r="F28" s="105">
        <v>0.9</v>
      </c>
      <c r="G28" s="105"/>
    </row>
    <row r="29" spans="1:7" x14ac:dyDescent="0.25">
      <c r="A29" s="104">
        <v>2</v>
      </c>
      <c r="B29" s="105">
        <v>4.5999999999999996</v>
      </c>
      <c r="C29" s="105">
        <v>3.68</v>
      </c>
      <c r="D29" s="105">
        <v>2.75</v>
      </c>
      <c r="E29" s="105">
        <v>1.79</v>
      </c>
      <c r="F29" s="105">
        <v>0.82</v>
      </c>
      <c r="G29" s="105"/>
    </row>
    <row r="30" spans="1:7" x14ac:dyDescent="0.25">
      <c r="A30" s="104">
        <v>3</v>
      </c>
      <c r="B30" s="105">
        <v>4.5199999999999996</v>
      </c>
      <c r="C30" s="105">
        <v>3.6</v>
      </c>
      <c r="D30" s="105">
        <v>2.67</v>
      </c>
      <c r="E30" s="105">
        <v>1.71</v>
      </c>
      <c r="F30" s="105">
        <v>0.74</v>
      </c>
      <c r="G30" s="105"/>
    </row>
    <row r="31" spans="1:7" x14ac:dyDescent="0.25">
      <c r="A31" s="104">
        <v>4</v>
      </c>
      <c r="B31" s="105">
        <v>4.45</v>
      </c>
      <c r="C31" s="105">
        <v>3.53</v>
      </c>
      <c r="D31" s="105">
        <v>2.59</v>
      </c>
      <c r="E31" s="105">
        <v>1.63</v>
      </c>
      <c r="F31" s="105">
        <v>0.66</v>
      </c>
      <c r="G31" s="105"/>
    </row>
    <row r="32" spans="1:7" x14ac:dyDescent="0.25">
      <c r="A32" s="104">
        <v>5</v>
      </c>
      <c r="B32" s="105">
        <v>4.37</v>
      </c>
      <c r="C32" s="105">
        <v>3.45</v>
      </c>
      <c r="D32" s="105">
        <v>2.5099999999999998</v>
      </c>
      <c r="E32" s="105">
        <v>1.55</v>
      </c>
      <c r="F32" s="105">
        <v>0.57999999999999996</v>
      </c>
      <c r="G32" s="105"/>
    </row>
    <row r="33" spans="1:7" x14ac:dyDescent="0.25">
      <c r="A33" s="104">
        <v>6</v>
      </c>
      <c r="B33" s="105">
        <v>4.29</v>
      </c>
      <c r="C33" s="105">
        <v>3.37</v>
      </c>
      <c r="D33" s="105">
        <v>2.4300000000000002</v>
      </c>
      <c r="E33" s="105">
        <v>1.47</v>
      </c>
      <c r="F33" s="105">
        <v>0.49</v>
      </c>
      <c r="G33" s="105"/>
    </row>
    <row r="34" spans="1:7" x14ac:dyDescent="0.25">
      <c r="A34" s="104">
        <v>7</v>
      </c>
      <c r="B34" s="105">
        <v>4.22</v>
      </c>
      <c r="C34" s="105">
        <v>3.29</v>
      </c>
      <c r="D34" s="105">
        <v>2.35</v>
      </c>
      <c r="E34" s="105">
        <v>1.39</v>
      </c>
      <c r="F34" s="105">
        <v>0.41</v>
      </c>
      <c r="G34" s="105"/>
    </row>
    <row r="35" spans="1:7" x14ac:dyDescent="0.25">
      <c r="A35" s="104">
        <v>8</v>
      </c>
      <c r="B35" s="105">
        <v>4.1399999999999997</v>
      </c>
      <c r="C35" s="105">
        <v>3.22</v>
      </c>
      <c r="D35" s="105">
        <v>2.27</v>
      </c>
      <c r="E35" s="105">
        <v>1.31</v>
      </c>
      <c r="F35" s="105">
        <v>0.33</v>
      </c>
      <c r="G35" s="105"/>
    </row>
    <row r="36" spans="1:7" x14ac:dyDescent="0.25">
      <c r="A36" s="104">
        <v>9</v>
      </c>
      <c r="B36" s="105">
        <v>4.07</v>
      </c>
      <c r="C36" s="105">
        <v>3.14</v>
      </c>
      <c r="D36" s="105">
        <v>2.19</v>
      </c>
      <c r="E36" s="105">
        <v>1.23</v>
      </c>
      <c r="F36" s="105">
        <v>0.25</v>
      </c>
      <c r="G36" s="105"/>
    </row>
    <row r="37" spans="1:7" x14ac:dyDescent="0.25">
      <c r="A37" s="104">
        <v>10</v>
      </c>
      <c r="B37" s="105">
        <v>3.99</v>
      </c>
      <c r="C37" s="105">
        <v>3.06</v>
      </c>
      <c r="D37" s="105">
        <v>2.11</v>
      </c>
      <c r="E37" s="105">
        <v>1.1499999999999999</v>
      </c>
      <c r="F37" s="105">
        <v>0.16</v>
      </c>
      <c r="G37" s="105"/>
    </row>
    <row r="38" spans="1:7" x14ac:dyDescent="0.25">
      <c r="A38" s="104">
        <v>11</v>
      </c>
      <c r="B38" s="105">
        <v>3.91</v>
      </c>
      <c r="C38" s="105">
        <v>2.98</v>
      </c>
      <c r="D38" s="105">
        <v>2.0299999999999998</v>
      </c>
      <c r="E38" s="105">
        <v>1.07</v>
      </c>
      <c r="F38" s="105">
        <v>0.08</v>
      </c>
      <c r="G38" s="105"/>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 customHeight="1" x14ac:dyDescent="0.25">
      <c r="A44"/>
      <c r="B44"/>
    </row>
    <row r="45" spans="1:7" x14ac:dyDescent="0.25">
      <c r="A45"/>
      <c r="B45"/>
    </row>
    <row r="46" spans="1:7" ht="27.6"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KhtA1XFvW93GtMUaewqI/iJrDzVWIVsLU+EprDJGfsMYEv2ve1NdeQTOPATKLoUtsIkUoSPaWcciHBuRJd67mA==" saltValue="XV2adKaD/hLcLvW4ekRhlw==" spinCount="100000" sheet="1" objects="1" scenarios="1"/>
  <conditionalFormatting sqref="A6:A21">
    <cfRule type="expression" dxfId="563" priority="1" stopIfTrue="1">
      <formula>MOD(ROW(),2)=0</formula>
    </cfRule>
    <cfRule type="expression" dxfId="562" priority="2" stopIfTrue="1">
      <formula>MOD(ROW(),2)&lt;&gt;0</formula>
    </cfRule>
  </conditionalFormatting>
  <conditionalFormatting sqref="A26:A38">
    <cfRule type="expression" dxfId="561" priority="9" stopIfTrue="1">
      <formula>MOD(ROW(),2)=0</formula>
    </cfRule>
    <cfRule type="expression" dxfId="560" priority="10" stopIfTrue="1">
      <formula>MOD(ROW(),2)&lt;&gt;0</formula>
    </cfRule>
  </conditionalFormatting>
  <conditionalFormatting sqref="B17:B21">
    <cfRule type="expression" dxfId="559" priority="5" stopIfTrue="1">
      <formula>MOD(ROW(),2)=0</formula>
    </cfRule>
    <cfRule type="expression" dxfId="558" priority="6" stopIfTrue="1">
      <formula>MOD(ROW(),2)&lt;&gt;0</formula>
    </cfRule>
  </conditionalFormatting>
  <conditionalFormatting sqref="B6:G6 C7:G7 B8:G16 C17:G21">
    <cfRule type="expression" dxfId="557" priority="27" stopIfTrue="1">
      <formula>MOD(ROW(),2)=0</formula>
    </cfRule>
    <cfRule type="expression" dxfId="556" priority="28" stopIfTrue="1">
      <formula>MOD(ROW(),2)&lt;&gt;0</formula>
    </cfRule>
  </conditionalFormatting>
  <conditionalFormatting sqref="B6:G21">
    <cfRule type="expression" dxfId="555" priority="17" stopIfTrue="1">
      <formula>MOD(ROW(),2)=0</formula>
    </cfRule>
    <cfRule type="expression" dxfId="554" priority="18" stopIfTrue="1">
      <formula>MOD(ROW(),2)&lt;&gt;0</formula>
    </cfRule>
  </conditionalFormatting>
  <conditionalFormatting sqref="B26:G38">
    <cfRule type="expression" dxfId="553" priority="11" stopIfTrue="1">
      <formula>MOD(ROW(),2)=0</formula>
    </cfRule>
    <cfRule type="expression" dxfId="552" priority="12" stopIfTrue="1">
      <formula>MOD(ROW(),2)&lt;&gt;0</formula>
    </cfRule>
  </conditionalFormatting>
  <hyperlinks>
    <hyperlink ref="B24" location="Sheet1!A1" display="Assumptions" xr:uid="{FA39B245-8978-4BAE-AD7D-0C7FAF58259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43"/>
  <dimension ref="A1:I65"/>
  <sheetViews>
    <sheetView showGridLines="0" zoomScale="85" zoomScaleNormal="85" workbookViewId="0">
      <selection activeCell="A4" sqref="A4"/>
    </sheetView>
  </sheetViews>
  <sheetFormatPr defaultColWidth="10" defaultRowHeight="13.2" x14ac:dyDescent="0.25"/>
  <cols>
    <col min="1" max="1" width="31.5546875" style="27" customWidth="1"/>
    <col min="2" max="7" width="22.5546875" style="27" customWidth="1"/>
    <col min="8"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ARBO - x-710</v>
      </c>
      <c r="B3" s="42"/>
      <c r="C3" s="42"/>
      <c r="D3" s="42"/>
      <c r="E3" s="42"/>
      <c r="F3" s="42"/>
      <c r="G3" s="42"/>
      <c r="H3" s="42"/>
      <c r="I3" s="42"/>
    </row>
    <row r="4" spans="1:9" x14ac:dyDescent="0.25">
      <c r="A4" s="44"/>
    </row>
    <row r="6" spans="1:9" x14ac:dyDescent="0.25">
      <c r="A6" s="76" t="s">
        <v>290</v>
      </c>
      <c r="B6" s="129" t="s">
        <v>291</v>
      </c>
      <c r="C6" s="129"/>
      <c r="D6" s="129"/>
      <c r="E6" s="129"/>
      <c r="F6" s="129"/>
      <c r="G6" s="129"/>
    </row>
    <row r="7" spans="1:9" x14ac:dyDescent="0.25">
      <c r="A7" s="77" t="s">
        <v>804</v>
      </c>
      <c r="B7" s="129" t="s">
        <v>345</v>
      </c>
      <c r="C7" s="129"/>
      <c r="D7" s="129"/>
      <c r="E7" s="129"/>
      <c r="F7" s="129"/>
      <c r="G7" s="129"/>
    </row>
    <row r="8" spans="1:9" x14ac:dyDescent="0.25">
      <c r="A8" s="77" t="s">
        <v>805</v>
      </c>
      <c r="B8" s="129" t="s">
        <v>346</v>
      </c>
      <c r="C8" s="129"/>
      <c r="D8" s="129"/>
      <c r="E8" s="129"/>
      <c r="F8" s="129"/>
      <c r="G8" s="129"/>
    </row>
    <row r="9" spans="1:9" x14ac:dyDescent="0.25">
      <c r="A9" s="77" t="s">
        <v>296</v>
      </c>
      <c r="B9" s="129" t="s">
        <v>565</v>
      </c>
      <c r="C9" s="129"/>
      <c r="D9" s="129"/>
      <c r="E9" s="129"/>
      <c r="F9" s="129"/>
      <c r="G9" s="129"/>
    </row>
    <row r="10" spans="1:9" x14ac:dyDescent="0.25">
      <c r="A10" s="77" t="s">
        <v>6</v>
      </c>
      <c r="B10" s="129" t="s">
        <v>594</v>
      </c>
      <c r="C10" s="129"/>
      <c r="D10" s="129"/>
      <c r="E10" s="129"/>
      <c r="F10" s="129"/>
      <c r="G10" s="129"/>
    </row>
    <row r="11" spans="1:9" x14ac:dyDescent="0.25">
      <c r="A11" s="77" t="s">
        <v>299</v>
      </c>
      <c r="B11" s="129" t="s">
        <v>364</v>
      </c>
      <c r="C11" s="129"/>
      <c r="D11" s="129"/>
      <c r="E11" s="129"/>
      <c r="F11" s="129"/>
      <c r="G11" s="129"/>
    </row>
    <row r="12" spans="1:9" x14ac:dyDescent="0.25">
      <c r="A12" s="77" t="s">
        <v>301</v>
      </c>
      <c r="B12" s="129" t="s">
        <v>567</v>
      </c>
      <c r="C12" s="129"/>
      <c r="D12" s="129"/>
      <c r="E12" s="129"/>
      <c r="F12" s="129"/>
      <c r="G12" s="129"/>
    </row>
    <row r="13" spans="1:9" x14ac:dyDescent="0.25">
      <c r="A13" s="77" t="s">
        <v>806</v>
      </c>
      <c r="B13" s="129">
        <v>1</v>
      </c>
      <c r="C13" s="129"/>
      <c r="D13" s="129"/>
      <c r="E13" s="129"/>
      <c r="F13" s="129"/>
      <c r="G13" s="129"/>
    </row>
    <row r="14" spans="1:9" x14ac:dyDescent="0.25">
      <c r="A14" s="77" t="s">
        <v>305</v>
      </c>
      <c r="B14" s="129">
        <v>710</v>
      </c>
      <c r="C14" s="129"/>
      <c r="D14" s="129"/>
      <c r="E14" s="129"/>
      <c r="F14" s="129"/>
      <c r="G14" s="129"/>
    </row>
    <row r="15" spans="1:9" x14ac:dyDescent="0.25">
      <c r="A15" s="77" t="s">
        <v>307</v>
      </c>
      <c r="B15" s="129" t="s">
        <v>595</v>
      </c>
      <c r="C15" s="129"/>
      <c r="D15" s="129"/>
      <c r="E15" s="129"/>
      <c r="F15" s="129"/>
      <c r="G15" s="129"/>
    </row>
    <row r="16" spans="1:9" x14ac:dyDescent="0.25">
      <c r="A16" s="77" t="s">
        <v>309</v>
      </c>
      <c r="B16" s="129" t="s">
        <v>596</v>
      </c>
      <c r="C16" s="129"/>
      <c r="D16" s="129"/>
      <c r="E16" s="129"/>
      <c r="F16" s="129"/>
      <c r="G16" s="129"/>
    </row>
    <row r="17" spans="1:7" x14ac:dyDescent="0.25">
      <c r="A17" s="77" t="s">
        <v>803</v>
      </c>
      <c r="B17" s="129"/>
      <c r="C17" s="129"/>
      <c r="D17" s="129"/>
      <c r="E17" s="129"/>
      <c r="F17" s="129"/>
      <c r="G17" s="129"/>
    </row>
    <row r="18" spans="1:7" x14ac:dyDescent="0.25">
      <c r="A18" s="77" t="s">
        <v>313</v>
      </c>
      <c r="B18" s="187">
        <v>45135</v>
      </c>
      <c r="C18" s="129"/>
      <c r="D18" s="129"/>
      <c r="E18" s="129"/>
      <c r="F18" s="129"/>
      <c r="G18" s="129"/>
    </row>
    <row r="19" spans="1:7" x14ac:dyDescent="0.25">
      <c r="A19" s="77" t="s">
        <v>315</v>
      </c>
      <c r="B19" s="187"/>
      <c r="C19" s="129"/>
      <c r="D19" s="129"/>
      <c r="E19" s="129"/>
      <c r="F19" s="129"/>
      <c r="G19" s="129"/>
    </row>
    <row r="20" spans="1:7" x14ac:dyDescent="0.25">
      <c r="A20" s="77" t="s">
        <v>317</v>
      </c>
      <c r="B20" s="129" t="s">
        <v>331</v>
      </c>
      <c r="C20" s="129"/>
      <c r="D20" s="129"/>
      <c r="E20" s="129"/>
      <c r="F20" s="129"/>
      <c r="G20" s="129"/>
    </row>
    <row r="21" spans="1:7" x14ac:dyDescent="0.25">
      <c r="A21" s="77" t="s">
        <v>323</v>
      </c>
      <c r="B21" s="129" t="s">
        <v>332</v>
      </c>
      <c r="C21" s="129"/>
      <c r="D21" s="129"/>
      <c r="E21" s="129"/>
      <c r="F21" s="129"/>
      <c r="G21" s="129"/>
    </row>
    <row r="23" spans="1:7" x14ac:dyDescent="0.25">
      <c r="B23" s="102" t="str">
        <f>HYPERLINK("#'Factor List'!A1","Back to Factor List")</f>
        <v>Back to Factor List</v>
      </c>
    </row>
    <row r="24" spans="1:7" x14ac:dyDescent="0.25">
      <c r="B24" s="102" t="s">
        <v>13</v>
      </c>
    </row>
    <row r="25" spans="1:7" x14ac:dyDescent="0.25">
      <c r="B25" s="102"/>
    </row>
    <row r="26" spans="1:7" x14ac:dyDescent="0.25">
      <c r="A26" s="103" t="s">
        <v>855</v>
      </c>
      <c r="B26" s="103">
        <v>50</v>
      </c>
      <c r="C26" s="103">
        <v>51</v>
      </c>
      <c r="D26" s="103">
        <v>52</v>
      </c>
      <c r="E26" s="103">
        <v>53</v>
      </c>
      <c r="F26" s="103">
        <v>54</v>
      </c>
      <c r="G26" s="103">
        <v>55</v>
      </c>
    </row>
    <row r="27" spans="1:7" x14ac:dyDescent="0.25">
      <c r="A27" s="104">
        <v>0</v>
      </c>
      <c r="B27" s="105">
        <v>4.55</v>
      </c>
      <c r="C27" s="105">
        <v>3.71</v>
      </c>
      <c r="D27" s="105">
        <v>2.83</v>
      </c>
      <c r="E27" s="105">
        <v>1.92</v>
      </c>
      <c r="F27" s="105">
        <v>0.98</v>
      </c>
      <c r="G27" s="105">
        <v>0</v>
      </c>
    </row>
    <row r="28" spans="1:7" x14ac:dyDescent="0.25">
      <c r="A28" s="104">
        <v>1</v>
      </c>
      <c r="B28" s="105">
        <v>4.4800000000000004</v>
      </c>
      <c r="C28" s="105">
        <v>3.63</v>
      </c>
      <c r="D28" s="105">
        <v>2.76</v>
      </c>
      <c r="E28" s="105">
        <v>1.85</v>
      </c>
      <c r="F28" s="105">
        <v>0.9</v>
      </c>
      <c r="G28" s="105"/>
    </row>
    <row r="29" spans="1:7" x14ac:dyDescent="0.25">
      <c r="A29" s="104">
        <v>2</v>
      </c>
      <c r="B29" s="105">
        <v>4.41</v>
      </c>
      <c r="C29" s="105">
        <v>3.56</v>
      </c>
      <c r="D29" s="105">
        <v>2.68</v>
      </c>
      <c r="E29" s="105">
        <v>1.77</v>
      </c>
      <c r="F29" s="105">
        <v>0.82</v>
      </c>
      <c r="G29" s="105"/>
    </row>
    <row r="30" spans="1:7" x14ac:dyDescent="0.25">
      <c r="A30" s="104">
        <v>3</v>
      </c>
      <c r="B30" s="105">
        <v>4.34</v>
      </c>
      <c r="C30" s="105">
        <v>3.49</v>
      </c>
      <c r="D30" s="105">
        <v>2.61</v>
      </c>
      <c r="E30" s="105">
        <v>1.69</v>
      </c>
      <c r="F30" s="105">
        <v>0.74</v>
      </c>
      <c r="G30" s="105"/>
    </row>
    <row r="31" spans="1:7" x14ac:dyDescent="0.25">
      <c r="A31" s="104">
        <v>4</v>
      </c>
      <c r="B31" s="105">
        <v>4.2699999999999996</v>
      </c>
      <c r="C31" s="105">
        <v>3.42</v>
      </c>
      <c r="D31" s="105">
        <v>2.5299999999999998</v>
      </c>
      <c r="E31" s="105">
        <v>1.61</v>
      </c>
      <c r="F31" s="105">
        <v>0.65</v>
      </c>
      <c r="G31" s="105"/>
    </row>
    <row r="32" spans="1:7" x14ac:dyDescent="0.25">
      <c r="A32" s="104">
        <v>5</v>
      </c>
      <c r="B32" s="105">
        <v>4.2</v>
      </c>
      <c r="C32" s="105">
        <v>3.34</v>
      </c>
      <c r="D32" s="105">
        <v>2.4500000000000002</v>
      </c>
      <c r="E32" s="105">
        <v>1.53</v>
      </c>
      <c r="F32" s="105">
        <v>0.56999999999999995</v>
      </c>
      <c r="G32" s="105"/>
    </row>
    <row r="33" spans="1:7" x14ac:dyDescent="0.25">
      <c r="A33" s="104">
        <v>6</v>
      </c>
      <c r="B33" s="105">
        <v>4.13</v>
      </c>
      <c r="C33" s="105">
        <v>3.27</v>
      </c>
      <c r="D33" s="105">
        <v>2.38</v>
      </c>
      <c r="E33" s="105">
        <v>1.45</v>
      </c>
      <c r="F33" s="105">
        <v>0.49</v>
      </c>
      <c r="G33" s="105"/>
    </row>
    <row r="34" spans="1:7" x14ac:dyDescent="0.25">
      <c r="A34" s="104">
        <v>7</v>
      </c>
      <c r="B34" s="105">
        <v>4.0599999999999996</v>
      </c>
      <c r="C34" s="105">
        <v>3.2</v>
      </c>
      <c r="D34" s="105">
        <v>2.2999999999999998</v>
      </c>
      <c r="E34" s="105">
        <v>1.37</v>
      </c>
      <c r="F34" s="105">
        <v>0.41</v>
      </c>
      <c r="G34" s="105"/>
    </row>
    <row r="35" spans="1:7" x14ac:dyDescent="0.25">
      <c r="A35" s="104">
        <v>8</v>
      </c>
      <c r="B35" s="105">
        <v>3.99</v>
      </c>
      <c r="C35" s="105">
        <v>3.12</v>
      </c>
      <c r="D35" s="105">
        <v>2.23</v>
      </c>
      <c r="E35" s="105">
        <v>1.3</v>
      </c>
      <c r="F35" s="105">
        <v>0.33</v>
      </c>
      <c r="G35" s="105"/>
    </row>
    <row r="36" spans="1:7" x14ac:dyDescent="0.25">
      <c r="A36" s="104">
        <v>9</v>
      </c>
      <c r="B36" s="105">
        <v>3.92</v>
      </c>
      <c r="C36" s="105">
        <v>3.05</v>
      </c>
      <c r="D36" s="105">
        <v>2.15</v>
      </c>
      <c r="E36" s="105">
        <v>1.22</v>
      </c>
      <c r="F36" s="105">
        <v>0.25</v>
      </c>
      <c r="G36" s="105"/>
    </row>
    <row r="37" spans="1:7" x14ac:dyDescent="0.25">
      <c r="A37" s="104">
        <v>10</v>
      </c>
      <c r="B37" s="105">
        <v>3.85</v>
      </c>
      <c r="C37" s="105">
        <v>2.98</v>
      </c>
      <c r="D37" s="105">
        <v>2.08</v>
      </c>
      <c r="E37" s="105">
        <v>1.1399999999999999</v>
      </c>
      <c r="F37" s="105">
        <v>0.16</v>
      </c>
      <c r="G37" s="105"/>
    </row>
    <row r="38" spans="1:7" x14ac:dyDescent="0.25">
      <c r="A38" s="104">
        <v>11</v>
      </c>
      <c r="B38" s="105">
        <v>3.78</v>
      </c>
      <c r="C38" s="105">
        <v>2.91</v>
      </c>
      <c r="D38" s="105">
        <v>2</v>
      </c>
      <c r="E38" s="105">
        <v>1.06</v>
      </c>
      <c r="F38" s="105">
        <v>0.08</v>
      </c>
      <c r="G38" s="105"/>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 customHeight="1" x14ac:dyDescent="0.25">
      <c r="A44"/>
      <c r="B44"/>
    </row>
    <row r="45" spans="1:7" x14ac:dyDescent="0.25">
      <c r="A45"/>
      <c r="B45"/>
    </row>
    <row r="46" spans="1:7" ht="27.6"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llOw069l7PEscZCnB6AJLG0ZjKM5moFA3tfzyInfdYcUZ3GUJkA39Lr8bLmOv9aV3eS/GUcTEw7Cz3NfPZxZAA==" saltValue="CXUafFg1CbXGkxZ6FhAjEg==" spinCount="100000" sheet="1" objects="1" scenarios="1"/>
  <conditionalFormatting sqref="A6:A21">
    <cfRule type="expression" dxfId="551" priority="1" stopIfTrue="1">
      <formula>MOD(ROW(),2)=0</formula>
    </cfRule>
    <cfRule type="expression" dxfId="550" priority="2" stopIfTrue="1">
      <formula>MOD(ROW(),2)&lt;&gt;0</formula>
    </cfRule>
  </conditionalFormatting>
  <conditionalFormatting sqref="A26:A38">
    <cfRule type="expression" dxfId="549" priority="9" stopIfTrue="1">
      <formula>MOD(ROW(),2)=0</formula>
    </cfRule>
    <cfRule type="expression" dxfId="548" priority="10" stopIfTrue="1">
      <formula>MOD(ROW(),2)&lt;&gt;0</formula>
    </cfRule>
  </conditionalFormatting>
  <conditionalFormatting sqref="B17:B21">
    <cfRule type="expression" dxfId="547" priority="5" stopIfTrue="1">
      <formula>MOD(ROW(),2)=0</formula>
    </cfRule>
    <cfRule type="expression" dxfId="546" priority="6" stopIfTrue="1">
      <formula>MOD(ROW(),2)&lt;&gt;0</formula>
    </cfRule>
  </conditionalFormatting>
  <conditionalFormatting sqref="B6:G6 C7:G7 B8:G16 C17:G21">
    <cfRule type="expression" dxfId="545" priority="27" stopIfTrue="1">
      <formula>MOD(ROW(),2)=0</formula>
    </cfRule>
    <cfRule type="expression" dxfId="544" priority="28" stopIfTrue="1">
      <formula>MOD(ROW(),2)&lt;&gt;0</formula>
    </cfRule>
  </conditionalFormatting>
  <conditionalFormatting sqref="B6:G21">
    <cfRule type="expression" dxfId="543" priority="17" stopIfTrue="1">
      <formula>MOD(ROW(),2)=0</formula>
    </cfRule>
    <cfRule type="expression" dxfId="542" priority="18" stopIfTrue="1">
      <formula>MOD(ROW(),2)&lt;&gt;0</formula>
    </cfRule>
  </conditionalFormatting>
  <conditionalFormatting sqref="B26:G38">
    <cfRule type="expression" dxfId="541" priority="11" stopIfTrue="1">
      <formula>MOD(ROW(),2)=0</formula>
    </cfRule>
    <cfRule type="expression" dxfId="540" priority="12" stopIfTrue="1">
      <formula>MOD(ROW(),2)&lt;&gt;0</formula>
    </cfRule>
  </conditionalFormatting>
  <hyperlinks>
    <hyperlink ref="B24" location="Sheet1!A1" display="Assumptions" xr:uid="{5388C31E-8B8F-42E1-B1DB-FBF3C76A552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44"/>
  <dimension ref="A1:I65"/>
  <sheetViews>
    <sheetView showGridLines="0" zoomScale="85" zoomScaleNormal="85" workbookViewId="0">
      <selection activeCell="A4" sqref="A4"/>
    </sheetView>
  </sheetViews>
  <sheetFormatPr defaultColWidth="10" defaultRowHeight="13.2" x14ac:dyDescent="0.25"/>
  <cols>
    <col min="1" max="1" width="31.5546875" style="27" customWidth="1"/>
    <col min="2" max="7" width="22.5546875" style="27" customWidth="1"/>
    <col min="8"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ARBO - x-711</v>
      </c>
      <c r="B3" s="42"/>
      <c r="C3" s="42"/>
      <c r="D3" s="42"/>
      <c r="E3" s="42"/>
      <c r="F3" s="42"/>
      <c r="G3" s="42"/>
      <c r="H3" s="42"/>
      <c r="I3" s="42"/>
    </row>
    <row r="4" spans="1:9" x14ac:dyDescent="0.25">
      <c r="A4" s="44"/>
    </row>
    <row r="6" spans="1:9" x14ac:dyDescent="0.25">
      <c r="A6" s="76" t="s">
        <v>290</v>
      </c>
      <c r="B6" s="129" t="s">
        <v>291</v>
      </c>
      <c r="C6" s="129"/>
      <c r="D6" s="129"/>
      <c r="E6" s="129"/>
      <c r="F6" s="129"/>
      <c r="G6" s="129"/>
    </row>
    <row r="7" spans="1:9" x14ac:dyDescent="0.25">
      <c r="A7" s="77" t="s">
        <v>804</v>
      </c>
      <c r="B7" s="129" t="s">
        <v>345</v>
      </c>
      <c r="C7" s="129"/>
      <c r="D7" s="129"/>
      <c r="E7" s="129"/>
      <c r="F7" s="129"/>
      <c r="G7" s="129"/>
    </row>
    <row r="8" spans="1:9" x14ac:dyDescent="0.25">
      <c r="A8" s="77" t="s">
        <v>805</v>
      </c>
      <c r="B8" s="129" t="s">
        <v>346</v>
      </c>
      <c r="C8" s="129"/>
      <c r="D8" s="129"/>
      <c r="E8" s="129"/>
      <c r="F8" s="129"/>
      <c r="G8" s="129"/>
    </row>
    <row r="9" spans="1:9" x14ac:dyDescent="0.25">
      <c r="A9" s="77" t="s">
        <v>296</v>
      </c>
      <c r="B9" s="129" t="s">
        <v>565</v>
      </c>
      <c r="C9" s="129"/>
      <c r="D9" s="129"/>
      <c r="E9" s="129"/>
      <c r="F9" s="129"/>
      <c r="G9" s="129"/>
    </row>
    <row r="10" spans="1:9" x14ac:dyDescent="0.25">
      <c r="A10" s="77" t="s">
        <v>6</v>
      </c>
      <c r="B10" s="129" t="s">
        <v>597</v>
      </c>
      <c r="C10" s="129"/>
      <c r="D10" s="129"/>
      <c r="E10" s="129"/>
      <c r="F10" s="129"/>
      <c r="G10" s="129"/>
    </row>
    <row r="11" spans="1:9" x14ac:dyDescent="0.25">
      <c r="A11" s="77" t="s">
        <v>299</v>
      </c>
      <c r="B11" s="129" t="s">
        <v>364</v>
      </c>
      <c r="C11" s="129"/>
      <c r="D11" s="129"/>
      <c r="E11" s="129"/>
      <c r="F11" s="129"/>
      <c r="G11" s="129"/>
    </row>
    <row r="12" spans="1:9" x14ac:dyDescent="0.25">
      <c r="A12" s="77" t="s">
        <v>301</v>
      </c>
      <c r="B12" s="129" t="s">
        <v>567</v>
      </c>
      <c r="C12" s="129"/>
      <c r="D12" s="129"/>
      <c r="E12" s="129"/>
      <c r="F12" s="129"/>
      <c r="G12" s="129"/>
    </row>
    <row r="13" spans="1:9" x14ac:dyDescent="0.25">
      <c r="A13" s="77" t="s">
        <v>806</v>
      </c>
      <c r="B13" s="129">
        <v>1</v>
      </c>
      <c r="C13" s="129"/>
      <c r="D13" s="129"/>
      <c r="E13" s="129"/>
      <c r="F13" s="129"/>
      <c r="G13" s="129"/>
    </row>
    <row r="14" spans="1:9" x14ac:dyDescent="0.25">
      <c r="A14" s="77" t="s">
        <v>305</v>
      </c>
      <c r="B14" s="129">
        <v>711</v>
      </c>
      <c r="C14" s="129"/>
      <c r="D14" s="129"/>
      <c r="E14" s="129"/>
      <c r="F14" s="129"/>
      <c r="G14" s="129"/>
    </row>
    <row r="15" spans="1:9" x14ac:dyDescent="0.25">
      <c r="A15" s="77" t="s">
        <v>307</v>
      </c>
      <c r="B15" s="129" t="s">
        <v>598</v>
      </c>
      <c r="C15" s="129"/>
      <c r="D15" s="129"/>
      <c r="E15" s="129"/>
      <c r="F15" s="129"/>
      <c r="G15" s="129"/>
    </row>
    <row r="16" spans="1:9" x14ac:dyDescent="0.25">
      <c r="A16" s="77" t="s">
        <v>309</v>
      </c>
      <c r="B16" s="129" t="s">
        <v>599</v>
      </c>
      <c r="C16" s="129"/>
      <c r="D16" s="129"/>
      <c r="E16" s="129"/>
      <c r="F16" s="129"/>
      <c r="G16" s="129"/>
    </row>
    <row r="17" spans="1:7" x14ac:dyDescent="0.25">
      <c r="A17" s="77" t="s">
        <v>803</v>
      </c>
      <c r="B17" s="129"/>
      <c r="C17" s="129"/>
      <c r="D17" s="129"/>
      <c r="E17" s="129"/>
      <c r="F17" s="129"/>
      <c r="G17" s="129"/>
    </row>
    <row r="18" spans="1:7" x14ac:dyDescent="0.25">
      <c r="A18" s="77" t="s">
        <v>313</v>
      </c>
      <c r="B18" s="187">
        <v>45135</v>
      </c>
      <c r="C18" s="129"/>
      <c r="D18" s="129"/>
      <c r="E18" s="129"/>
      <c r="F18" s="129"/>
      <c r="G18" s="129"/>
    </row>
    <row r="19" spans="1:7" x14ac:dyDescent="0.25">
      <c r="A19" s="77" t="s">
        <v>315</v>
      </c>
      <c r="B19" s="187"/>
      <c r="C19" s="129"/>
      <c r="D19" s="129"/>
      <c r="E19" s="129"/>
      <c r="F19" s="129"/>
      <c r="G19" s="129"/>
    </row>
    <row r="20" spans="1:7" x14ac:dyDescent="0.25">
      <c r="A20" s="77" t="s">
        <v>317</v>
      </c>
      <c r="B20" s="129" t="s">
        <v>331</v>
      </c>
      <c r="C20" s="129"/>
      <c r="D20" s="129"/>
      <c r="E20" s="129"/>
      <c r="F20" s="129"/>
      <c r="G20" s="129"/>
    </row>
    <row r="21" spans="1:7" x14ac:dyDescent="0.25">
      <c r="A21" s="77" t="s">
        <v>323</v>
      </c>
      <c r="B21" s="129" t="s">
        <v>332</v>
      </c>
      <c r="C21" s="129"/>
      <c r="D21" s="129"/>
      <c r="E21" s="129"/>
      <c r="F21" s="129"/>
      <c r="G21" s="129"/>
    </row>
    <row r="23" spans="1:7" x14ac:dyDescent="0.25">
      <c r="B23" s="102" t="str">
        <f>HYPERLINK("#'Factor List'!A1","Back to Factor List")</f>
        <v>Back to Factor List</v>
      </c>
    </row>
    <row r="24" spans="1:7" x14ac:dyDescent="0.25">
      <c r="B24" s="102" t="s">
        <v>13</v>
      </c>
    </row>
    <row r="25" spans="1:7" x14ac:dyDescent="0.25">
      <c r="B25" s="102"/>
    </row>
    <row r="26" spans="1:7" x14ac:dyDescent="0.25">
      <c r="A26" s="103" t="s">
        <v>855</v>
      </c>
      <c r="B26" s="103">
        <v>50</v>
      </c>
      <c r="C26" s="103">
        <v>51</v>
      </c>
      <c r="D26" s="103">
        <v>52</v>
      </c>
      <c r="E26" s="103">
        <v>53</v>
      </c>
      <c r="F26" s="103">
        <v>54</v>
      </c>
      <c r="G26" s="103">
        <v>55</v>
      </c>
    </row>
    <row r="27" spans="1:7" x14ac:dyDescent="0.25">
      <c r="A27" s="104">
        <v>0</v>
      </c>
      <c r="B27" s="105">
        <v>0.83</v>
      </c>
      <c r="C27" s="105">
        <v>0.86</v>
      </c>
      <c r="D27" s="105">
        <v>0.89</v>
      </c>
      <c r="E27" s="105">
        <v>0.92</v>
      </c>
      <c r="F27" s="105">
        <v>0.96</v>
      </c>
      <c r="G27" s="105">
        <v>1</v>
      </c>
    </row>
    <row r="28" spans="1:7" x14ac:dyDescent="0.25">
      <c r="A28" s="104">
        <v>1</v>
      </c>
      <c r="B28" s="105">
        <v>0.83</v>
      </c>
      <c r="C28" s="105">
        <v>0.86</v>
      </c>
      <c r="D28" s="105">
        <v>0.89</v>
      </c>
      <c r="E28" s="105">
        <v>0.93</v>
      </c>
      <c r="F28" s="105">
        <v>0.96</v>
      </c>
      <c r="G28" s="105"/>
    </row>
    <row r="29" spans="1:7" x14ac:dyDescent="0.25">
      <c r="A29" s="104">
        <v>2</v>
      </c>
      <c r="B29" s="105">
        <v>0.84</v>
      </c>
      <c r="C29" s="105">
        <v>0.87</v>
      </c>
      <c r="D29" s="105">
        <v>0.9</v>
      </c>
      <c r="E29" s="105">
        <v>0.93</v>
      </c>
      <c r="F29" s="105">
        <v>0.97</v>
      </c>
      <c r="G29" s="105"/>
    </row>
    <row r="30" spans="1:7" x14ac:dyDescent="0.25">
      <c r="A30" s="104">
        <v>3</v>
      </c>
      <c r="B30" s="105">
        <v>0.84</v>
      </c>
      <c r="C30" s="105">
        <v>0.87</v>
      </c>
      <c r="D30" s="105">
        <v>0.9</v>
      </c>
      <c r="E30" s="105">
        <v>0.93</v>
      </c>
      <c r="F30" s="105">
        <v>0.97</v>
      </c>
      <c r="G30" s="105"/>
    </row>
    <row r="31" spans="1:7" x14ac:dyDescent="0.25">
      <c r="A31" s="104">
        <v>4</v>
      </c>
      <c r="B31" s="105">
        <v>0.84</v>
      </c>
      <c r="C31" s="105">
        <v>0.87</v>
      </c>
      <c r="D31" s="105">
        <v>0.9</v>
      </c>
      <c r="E31" s="105">
        <v>0.94</v>
      </c>
      <c r="F31" s="105">
        <v>0.97</v>
      </c>
      <c r="G31" s="105"/>
    </row>
    <row r="32" spans="1:7" x14ac:dyDescent="0.25">
      <c r="A32" s="104">
        <v>5</v>
      </c>
      <c r="B32" s="105">
        <v>0.84</v>
      </c>
      <c r="C32" s="105">
        <v>0.87</v>
      </c>
      <c r="D32" s="105">
        <v>0.91</v>
      </c>
      <c r="E32" s="105">
        <v>0.94</v>
      </c>
      <c r="F32" s="105">
        <v>0.98</v>
      </c>
      <c r="G32" s="105"/>
    </row>
    <row r="33" spans="1:7" x14ac:dyDescent="0.25">
      <c r="A33" s="104">
        <v>6</v>
      </c>
      <c r="B33" s="105">
        <v>0.85</v>
      </c>
      <c r="C33" s="105">
        <v>0.88</v>
      </c>
      <c r="D33" s="105">
        <v>0.91</v>
      </c>
      <c r="E33" s="105">
        <v>0.94</v>
      </c>
      <c r="F33" s="105">
        <v>0.98</v>
      </c>
      <c r="G33" s="105"/>
    </row>
    <row r="34" spans="1:7" x14ac:dyDescent="0.25">
      <c r="A34" s="104">
        <v>7</v>
      </c>
      <c r="B34" s="105">
        <v>0.85</v>
      </c>
      <c r="C34" s="105">
        <v>0.88</v>
      </c>
      <c r="D34" s="105">
        <v>0.91</v>
      </c>
      <c r="E34" s="105">
        <v>0.95</v>
      </c>
      <c r="F34" s="105">
        <v>0.98</v>
      </c>
      <c r="G34" s="105"/>
    </row>
    <row r="35" spans="1:7" x14ac:dyDescent="0.25">
      <c r="A35" s="104">
        <v>8</v>
      </c>
      <c r="B35" s="105">
        <v>0.85</v>
      </c>
      <c r="C35" s="105">
        <v>0.88</v>
      </c>
      <c r="D35" s="105">
        <v>0.91</v>
      </c>
      <c r="E35" s="105">
        <v>0.95</v>
      </c>
      <c r="F35" s="105">
        <v>0.99</v>
      </c>
      <c r="G35" s="105"/>
    </row>
    <row r="36" spans="1:7" x14ac:dyDescent="0.25">
      <c r="A36" s="104">
        <v>9</v>
      </c>
      <c r="B36" s="105">
        <v>0.85</v>
      </c>
      <c r="C36" s="105">
        <v>0.88</v>
      </c>
      <c r="D36" s="105">
        <v>0.92</v>
      </c>
      <c r="E36" s="105">
        <v>0.95</v>
      </c>
      <c r="F36" s="105">
        <v>0.99</v>
      </c>
      <c r="G36" s="105"/>
    </row>
    <row r="37" spans="1:7" x14ac:dyDescent="0.25">
      <c r="A37" s="104">
        <v>10</v>
      </c>
      <c r="B37" s="105">
        <v>0.86</v>
      </c>
      <c r="C37" s="105">
        <v>0.89</v>
      </c>
      <c r="D37" s="105">
        <v>0.92</v>
      </c>
      <c r="E37" s="105">
        <v>0.95</v>
      </c>
      <c r="F37" s="105">
        <v>0.99</v>
      </c>
      <c r="G37" s="105"/>
    </row>
    <row r="38" spans="1:7" x14ac:dyDescent="0.25">
      <c r="A38" s="104">
        <v>11</v>
      </c>
      <c r="B38" s="105">
        <v>0.86</v>
      </c>
      <c r="C38" s="105">
        <v>0.89</v>
      </c>
      <c r="D38" s="105">
        <v>0.92</v>
      </c>
      <c r="E38" s="105">
        <v>0.96</v>
      </c>
      <c r="F38" s="105">
        <v>1</v>
      </c>
      <c r="G38" s="105"/>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 customHeight="1" x14ac:dyDescent="0.25">
      <c r="A44"/>
      <c r="B44"/>
    </row>
    <row r="45" spans="1:7" x14ac:dyDescent="0.25">
      <c r="A45"/>
      <c r="B45"/>
    </row>
    <row r="46" spans="1:7" ht="27.6"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GlNhtIkRL09RnPvIPW61EnFCf2VnEi8lbUFOcG7gq2BWSnqFd+Ag6pR+hBYHsTOv0aWeDHy9w06j8kyW9GbjPg==" saltValue="/MMYQsNWzASTUju0sy2c6w==" spinCount="100000" sheet="1" objects="1" scenarios="1"/>
  <conditionalFormatting sqref="A6:A21">
    <cfRule type="expression" dxfId="539" priority="1" stopIfTrue="1">
      <formula>MOD(ROW(),2)=0</formula>
    </cfRule>
    <cfRule type="expression" dxfId="538" priority="2" stopIfTrue="1">
      <formula>MOD(ROW(),2)&lt;&gt;0</formula>
    </cfRule>
  </conditionalFormatting>
  <conditionalFormatting sqref="A26:A38">
    <cfRule type="expression" dxfId="537" priority="9" stopIfTrue="1">
      <formula>MOD(ROW(),2)=0</formula>
    </cfRule>
    <cfRule type="expression" dxfId="536" priority="10" stopIfTrue="1">
      <formula>MOD(ROW(),2)&lt;&gt;0</formula>
    </cfRule>
  </conditionalFormatting>
  <conditionalFormatting sqref="B17:B21">
    <cfRule type="expression" dxfId="535" priority="5" stopIfTrue="1">
      <formula>MOD(ROW(),2)=0</formula>
    </cfRule>
    <cfRule type="expression" dxfId="534" priority="6" stopIfTrue="1">
      <formula>MOD(ROW(),2)&lt;&gt;0</formula>
    </cfRule>
  </conditionalFormatting>
  <conditionalFormatting sqref="B6:G6 C7:G7 B8:G16 C17:G21">
    <cfRule type="expression" dxfId="533" priority="31" stopIfTrue="1">
      <formula>MOD(ROW(),2)=0</formula>
    </cfRule>
    <cfRule type="expression" dxfId="532" priority="32" stopIfTrue="1">
      <formula>MOD(ROW(),2)&lt;&gt;0</formula>
    </cfRule>
  </conditionalFormatting>
  <conditionalFormatting sqref="B6:G21">
    <cfRule type="expression" dxfId="531" priority="21" stopIfTrue="1">
      <formula>MOD(ROW(),2)=0</formula>
    </cfRule>
    <cfRule type="expression" dxfId="530" priority="22" stopIfTrue="1">
      <formula>MOD(ROW(),2)&lt;&gt;0</formula>
    </cfRule>
  </conditionalFormatting>
  <conditionalFormatting sqref="B26:G38">
    <cfRule type="expression" dxfId="529" priority="11" stopIfTrue="1">
      <formula>MOD(ROW(),2)=0</formula>
    </cfRule>
    <cfRule type="expression" dxfId="528" priority="12" stopIfTrue="1">
      <formula>MOD(ROW(),2)&lt;&gt;0</formula>
    </cfRule>
  </conditionalFormatting>
  <hyperlinks>
    <hyperlink ref="B24" location="Sheet1!A1" display="Assumptions" xr:uid="{7E23A663-DCE4-41B7-BD41-4D7AB841800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45"/>
  <dimension ref="A1:L65"/>
  <sheetViews>
    <sheetView showGridLines="0" zoomScale="85" zoomScaleNormal="85" workbookViewId="0">
      <selection activeCell="A4" sqref="A4"/>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39" t="s">
        <v>0</v>
      </c>
      <c r="B1" s="40"/>
      <c r="C1" s="40"/>
      <c r="D1" s="40"/>
      <c r="E1" s="40"/>
      <c r="F1" s="40"/>
      <c r="G1" s="40"/>
      <c r="H1" s="40"/>
      <c r="I1" s="40"/>
    </row>
    <row r="2" spans="1:12"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2" ht="15.6" x14ac:dyDescent="0.3">
      <c r="A3" s="43" t="str">
        <f>TABLE_FACTOR_TYPE_1&amp;" - x-"&amp;TABLE_SERIES_NUMBER_1</f>
        <v>ARBO - x-712</v>
      </c>
      <c r="B3" s="42"/>
      <c r="C3" s="42"/>
      <c r="D3" s="42"/>
      <c r="E3" s="42"/>
      <c r="F3" s="42"/>
      <c r="G3" s="42"/>
      <c r="H3" s="42"/>
      <c r="I3" s="42"/>
    </row>
    <row r="4" spans="1:12" x14ac:dyDescent="0.25">
      <c r="A4" s="44"/>
    </row>
    <row r="6" spans="1:12" x14ac:dyDescent="0.25">
      <c r="A6" s="76" t="s">
        <v>290</v>
      </c>
      <c r="B6" s="129" t="s">
        <v>291</v>
      </c>
      <c r="C6" s="129"/>
      <c r="D6" s="129"/>
      <c r="E6" s="129"/>
      <c r="F6" s="129"/>
      <c r="G6" s="129"/>
      <c r="H6" s="129"/>
      <c r="I6" s="129"/>
      <c r="J6" s="129"/>
      <c r="K6" s="129"/>
      <c r="L6" s="129"/>
    </row>
    <row r="7" spans="1:12" x14ac:dyDescent="0.25">
      <c r="A7" s="77" t="s">
        <v>292</v>
      </c>
      <c r="B7" s="129" t="s">
        <v>345</v>
      </c>
      <c r="C7" s="129"/>
      <c r="D7" s="129"/>
      <c r="E7" s="129"/>
      <c r="F7" s="129"/>
      <c r="G7" s="129"/>
      <c r="H7" s="129"/>
      <c r="I7" s="129"/>
      <c r="J7" s="129"/>
      <c r="K7" s="129"/>
      <c r="L7" s="129"/>
    </row>
    <row r="8" spans="1:12" x14ac:dyDescent="0.25">
      <c r="A8" s="77" t="s">
        <v>294</v>
      </c>
      <c r="B8" s="129" t="s">
        <v>600</v>
      </c>
      <c r="C8" s="129"/>
      <c r="D8" s="129"/>
      <c r="E8" s="129"/>
      <c r="F8" s="129"/>
      <c r="G8" s="129"/>
      <c r="H8" s="129"/>
      <c r="I8" s="129"/>
      <c r="J8" s="129"/>
      <c r="K8" s="129"/>
      <c r="L8" s="129"/>
    </row>
    <row r="9" spans="1:12" x14ac:dyDescent="0.25">
      <c r="A9" s="77" t="s">
        <v>296</v>
      </c>
      <c r="B9" s="129" t="s">
        <v>565</v>
      </c>
      <c r="C9" s="129"/>
      <c r="D9" s="129"/>
      <c r="E9" s="129"/>
      <c r="F9" s="129"/>
      <c r="G9" s="129"/>
      <c r="H9" s="129"/>
      <c r="I9" s="129"/>
      <c r="J9" s="129"/>
      <c r="K9" s="129"/>
      <c r="L9" s="129"/>
    </row>
    <row r="10" spans="1:12" x14ac:dyDescent="0.25">
      <c r="A10" s="77" t="s">
        <v>6</v>
      </c>
      <c r="B10" s="129" t="s">
        <v>601</v>
      </c>
      <c r="C10" s="129"/>
      <c r="D10" s="129"/>
      <c r="E10" s="129"/>
      <c r="F10" s="129"/>
      <c r="G10" s="129"/>
      <c r="H10" s="129"/>
      <c r="I10" s="129"/>
      <c r="J10" s="129"/>
      <c r="K10" s="129"/>
      <c r="L10" s="129"/>
    </row>
    <row r="11" spans="1:12" x14ac:dyDescent="0.25">
      <c r="A11" s="77" t="s">
        <v>299</v>
      </c>
      <c r="B11" s="129" t="s">
        <v>364</v>
      </c>
      <c r="C11" s="129"/>
      <c r="D11" s="129"/>
      <c r="E11" s="129"/>
      <c r="F11" s="129"/>
      <c r="G11" s="129"/>
      <c r="H11" s="129"/>
      <c r="I11" s="129"/>
      <c r="J11" s="129"/>
      <c r="K11" s="129"/>
      <c r="L11" s="129"/>
    </row>
    <row r="12" spans="1:12" x14ac:dyDescent="0.25">
      <c r="A12" s="77" t="s">
        <v>301</v>
      </c>
      <c r="B12" s="129" t="s">
        <v>567</v>
      </c>
      <c r="C12" s="129"/>
      <c r="D12" s="129"/>
      <c r="E12" s="129"/>
      <c r="F12" s="129"/>
      <c r="G12" s="129"/>
      <c r="H12" s="129"/>
      <c r="I12" s="129"/>
      <c r="J12" s="129"/>
      <c r="K12" s="129"/>
      <c r="L12" s="129"/>
    </row>
    <row r="13" spans="1:12" x14ac:dyDescent="0.25">
      <c r="A13" s="77" t="s">
        <v>303</v>
      </c>
      <c r="B13" s="129">
        <v>1</v>
      </c>
      <c r="C13" s="129"/>
      <c r="D13" s="129"/>
      <c r="E13" s="129"/>
      <c r="F13" s="129"/>
      <c r="G13" s="129"/>
      <c r="H13" s="129"/>
      <c r="I13" s="129"/>
      <c r="J13" s="129"/>
      <c r="K13" s="129"/>
      <c r="L13" s="129"/>
    </row>
    <row r="14" spans="1:12" x14ac:dyDescent="0.25">
      <c r="A14" s="77" t="s">
        <v>305</v>
      </c>
      <c r="B14" s="129">
        <v>712</v>
      </c>
      <c r="C14" s="129"/>
      <c r="D14" s="129"/>
      <c r="E14" s="129"/>
      <c r="F14" s="129"/>
      <c r="G14" s="129"/>
      <c r="H14" s="129"/>
      <c r="I14" s="129"/>
      <c r="J14" s="129"/>
      <c r="K14" s="129"/>
      <c r="L14" s="129"/>
    </row>
    <row r="15" spans="1:12" x14ac:dyDescent="0.25">
      <c r="A15" s="77" t="s">
        <v>307</v>
      </c>
      <c r="B15" s="129" t="s">
        <v>602</v>
      </c>
      <c r="C15" s="129"/>
      <c r="D15" s="129"/>
      <c r="E15" s="129"/>
      <c r="F15" s="129"/>
      <c r="G15" s="129"/>
      <c r="H15" s="129"/>
      <c r="I15" s="129"/>
      <c r="J15" s="129"/>
      <c r="K15" s="129"/>
      <c r="L15" s="129"/>
    </row>
    <row r="16" spans="1:12" x14ac:dyDescent="0.25">
      <c r="A16" s="77" t="s">
        <v>309</v>
      </c>
      <c r="B16" s="129" t="s">
        <v>584</v>
      </c>
      <c r="C16" s="129"/>
      <c r="D16" s="129"/>
      <c r="E16" s="129"/>
      <c r="F16" s="129"/>
      <c r="G16" s="129"/>
      <c r="H16" s="129"/>
      <c r="I16" s="129"/>
      <c r="J16" s="129"/>
      <c r="K16" s="129"/>
      <c r="L16" s="129"/>
    </row>
    <row r="17" spans="1:12" x14ac:dyDescent="0.25">
      <c r="A17" s="81" t="s">
        <v>803</v>
      </c>
      <c r="B17" s="129"/>
      <c r="C17" s="129"/>
      <c r="D17" s="129"/>
      <c r="E17" s="129"/>
      <c r="F17" s="129"/>
      <c r="G17" s="129"/>
      <c r="H17" s="129"/>
      <c r="I17" s="129"/>
      <c r="J17" s="129"/>
      <c r="K17" s="129"/>
      <c r="L17" s="129"/>
    </row>
    <row r="18" spans="1:12" x14ac:dyDescent="0.25">
      <c r="A18" s="77" t="s">
        <v>313</v>
      </c>
      <c r="B18" s="187">
        <v>45135</v>
      </c>
      <c r="C18" s="129"/>
      <c r="D18" s="129"/>
      <c r="E18" s="129"/>
      <c r="F18" s="129"/>
      <c r="G18" s="129"/>
      <c r="H18" s="129"/>
      <c r="I18" s="129"/>
      <c r="J18" s="129"/>
      <c r="K18" s="129"/>
      <c r="L18" s="129"/>
    </row>
    <row r="19" spans="1:12" x14ac:dyDescent="0.25">
      <c r="A19" s="77" t="s">
        <v>315</v>
      </c>
      <c r="B19" s="187"/>
      <c r="C19" s="129"/>
      <c r="D19" s="129"/>
      <c r="E19" s="129"/>
      <c r="F19" s="129"/>
      <c r="G19" s="129"/>
      <c r="H19" s="129"/>
      <c r="I19" s="129"/>
      <c r="J19" s="129"/>
      <c r="K19" s="129"/>
      <c r="L19" s="129"/>
    </row>
    <row r="20" spans="1:12" x14ac:dyDescent="0.25">
      <c r="A20" s="77" t="s">
        <v>317</v>
      </c>
      <c r="B20" s="129" t="s">
        <v>331</v>
      </c>
      <c r="C20" s="129"/>
      <c r="D20" s="129"/>
      <c r="E20" s="129"/>
      <c r="F20" s="129"/>
      <c r="G20" s="129"/>
      <c r="H20" s="129"/>
      <c r="I20" s="129"/>
      <c r="J20" s="129"/>
      <c r="K20" s="129"/>
      <c r="L20" s="129"/>
    </row>
    <row r="21" spans="1:12" x14ac:dyDescent="0.25">
      <c r="A21" s="77" t="s">
        <v>323</v>
      </c>
      <c r="B21" s="129" t="s">
        <v>332</v>
      </c>
      <c r="C21" s="129"/>
      <c r="D21" s="129"/>
      <c r="E21" s="129"/>
      <c r="F21" s="129"/>
      <c r="G21" s="129"/>
      <c r="H21" s="129"/>
      <c r="I21" s="129"/>
      <c r="J21" s="129"/>
      <c r="K21" s="129"/>
      <c r="L21" s="129"/>
    </row>
    <row r="23" spans="1:12" x14ac:dyDescent="0.25">
      <c r="B23" s="102" t="str">
        <f>HYPERLINK("#'Factor List'!A1","Back to Factor List")</f>
        <v>Back to Factor List</v>
      </c>
    </row>
    <row r="24" spans="1:12" x14ac:dyDescent="0.25">
      <c r="B24" s="102" t="s">
        <v>13</v>
      </c>
    </row>
    <row r="25" spans="1:12" x14ac:dyDescent="0.25">
      <c r="B25" s="102"/>
    </row>
    <row r="26" spans="1:12" x14ac:dyDescent="0.25">
      <c r="A26" s="103" t="s">
        <v>855</v>
      </c>
      <c r="B26" s="103">
        <v>50</v>
      </c>
      <c r="C26" s="103">
        <v>51</v>
      </c>
      <c r="D26" s="103">
        <v>52</v>
      </c>
      <c r="E26" s="103">
        <v>53</v>
      </c>
      <c r="F26" s="103">
        <v>54</v>
      </c>
      <c r="G26" s="103">
        <v>55</v>
      </c>
      <c r="H26" s="103">
        <v>56</v>
      </c>
      <c r="I26" s="103">
        <v>57</v>
      </c>
      <c r="J26" s="103">
        <v>58</v>
      </c>
      <c r="K26" s="103">
        <v>59</v>
      </c>
      <c r="L26" s="103">
        <v>60</v>
      </c>
    </row>
    <row r="27" spans="1:12" x14ac:dyDescent="0.25">
      <c r="A27" s="104">
        <v>0</v>
      </c>
      <c r="B27" s="105">
        <v>8.8800000000000008</v>
      </c>
      <c r="C27" s="105">
        <v>8.11</v>
      </c>
      <c r="D27" s="105">
        <v>7.32</v>
      </c>
      <c r="E27" s="105">
        <v>6.5</v>
      </c>
      <c r="F27" s="105">
        <v>5.64</v>
      </c>
      <c r="G27" s="105">
        <v>4.75</v>
      </c>
      <c r="H27" s="105">
        <v>3.84</v>
      </c>
      <c r="I27" s="105">
        <v>2.9</v>
      </c>
      <c r="J27" s="105">
        <v>1.95</v>
      </c>
      <c r="K27" s="105">
        <v>0.99</v>
      </c>
      <c r="L27" s="105">
        <v>0</v>
      </c>
    </row>
    <row r="28" spans="1:12" x14ac:dyDescent="0.25">
      <c r="A28" s="104">
        <v>1</v>
      </c>
      <c r="B28" s="105">
        <v>8.81</v>
      </c>
      <c r="C28" s="105">
        <v>8.0500000000000007</v>
      </c>
      <c r="D28" s="105">
        <v>7.25</v>
      </c>
      <c r="E28" s="105">
        <v>6.43</v>
      </c>
      <c r="F28" s="105">
        <v>5.57</v>
      </c>
      <c r="G28" s="105">
        <v>4.68</v>
      </c>
      <c r="H28" s="105">
        <v>3.76</v>
      </c>
      <c r="I28" s="105">
        <v>2.83</v>
      </c>
      <c r="J28" s="105">
        <v>1.87</v>
      </c>
      <c r="K28" s="105">
        <v>0.9</v>
      </c>
      <c r="L28" s="105"/>
    </row>
    <row r="29" spans="1:12" x14ac:dyDescent="0.25">
      <c r="A29" s="104">
        <v>2</v>
      </c>
      <c r="B29" s="105">
        <v>8.75</v>
      </c>
      <c r="C29" s="105">
        <v>7.98</v>
      </c>
      <c r="D29" s="105">
        <v>7.19</v>
      </c>
      <c r="E29" s="105">
        <v>6.36</v>
      </c>
      <c r="F29" s="105">
        <v>5.49</v>
      </c>
      <c r="G29" s="105">
        <v>4.5999999999999996</v>
      </c>
      <c r="H29" s="105">
        <v>3.68</v>
      </c>
      <c r="I29" s="105">
        <v>2.75</v>
      </c>
      <c r="J29" s="105">
        <v>1.79</v>
      </c>
      <c r="K29" s="105">
        <v>0.82</v>
      </c>
      <c r="L29" s="105"/>
    </row>
    <row r="30" spans="1:12" x14ac:dyDescent="0.25">
      <c r="A30" s="104">
        <v>3</v>
      </c>
      <c r="B30" s="105">
        <v>8.69</v>
      </c>
      <c r="C30" s="105">
        <v>7.92</v>
      </c>
      <c r="D30" s="105">
        <v>7.12</v>
      </c>
      <c r="E30" s="105">
        <v>6.29</v>
      </c>
      <c r="F30" s="105">
        <v>5.42</v>
      </c>
      <c r="G30" s="105">
        <v>4.5199999999999996</v>
      </c>
      <c r="H30" s="105">
        <v>3.6</v>
      </c>
      <c r="I30" s="105">
        <v>2.67</v>
      </c>
      <c r="J30" s="105">
        <v>1.71</v>
      </c>
      <c r="K30" s="105">
        <v>0.74</v>
      </c>
      <c r="L30" s="105"/>
    </row>
    <row r="31" spans="1:12" x14ac:dyDescent="0.25">
      <c r="A31" s="104">
        <v>4</v>
      </c>
      <c r="B31" s="105">
        <v>8.6199999999999992</v>
      </c>
      <c r="C31" s="105">
        <v>7.85</v>
      </c>
      <c r="D31" s="105">
        <v>7.05</v>
      </c>
      <c r="E31" s="105">
        <v>6.21</v>
      </c>
      <c r="F31" s="105">
        <v>5.35</v>
      </c>
      <c r="G31" s="105">
        <v>4.45</v>
      </c>
      <c r="H31" s="105">
        <v>3.53</v>
      </c>
      <c r="I31" s="105">
        <v>2.59</v>
      </c>
      <c r="J31" s="105">
        <v>1.63</v>
      </c>
      <c r="K31" s="105">
        <v>0.66</v>
      </c>
      <c r="L31" s="105"/>
    </row>
    <row r="32" spans="1:12" x14ac:dyDescent="0.25">
      <c r="A32" s="104">
        <v>5</v>
      </c>
      <c r="B32" s="105">
        <v>8.56</v>
      </c>
      <c r="C32" s="105">
        <v>7.78</v>
      </c>
      <c r="D32" s="105">
        <v>6.98</v>
      </c>
      <c r="E32" s="105">
        <v>6.14</v>
      </c>
      <c r="F32" s="105">
        <v>5.27</v>
      </c>
      <c r="G32" s="105">
        <v>4.37</v>
      </c>
      <c r="H32" s="105">
        <v>3.45</v>
      </c>
      <c r="I32" s="105">
        <v>2.5099999999999998</v>
      </c>
      <c r="J32" s="105">
        <v>1.55</v>
      </c>
      <c r="K32" s="105">
        <v>0.57999999999999996</v>
      </c>
      <c r="L32" s="105"/>
    </row>
    <row r="33" spans="1:12" x14ac:dyDescent="0.25">
      <c r="A33" s="104">
        <v>6</v>
      </c>
      <c r="B33" s="105">
        <v>8.49</v>
      </c>
      <c r="C33" s="105">
        <v>7.72</v>
      </c>
      <c r="D33" s="105">
        <v>6.91</v>
      </c>
      <c r="E33" s="105">
        <v>6.07</v>
      </c>
      <c r="F33" s="105">
        <v>5.2</v>
      </c>
      <c r="G33" s="105">
        <v>4.29</v>
      </c>
      <c r="H33" s="105">
        <v>3.37</v>
      </c>
      <c r="I33" s="105">
        <v>2.4300000000000002</v>
      </c>
      <c r="J33" s="105">
        <v>1.47</v>
      </c>
      <c r="K33" s="105">
        <v>0.49</v>
      </c>
      <c r="L33" s="105"/>
    </row>
    <row r="34" spans="1:12" x14ac:dyDescent="0.25">
      <c r="A34" s="104">
        <v>7</v>
      </c>
      <c r="B34" s="105">
        <v>8.43</v>
      </c>
      <c r="C34" s="105">
        <v>7.65</v>
      </c>
      <c r="D34" s="105">
        <v>6.84</v>
      </c>
      <c r="E34" s="105">
        <v>6</v>
      </c>
      <c r="F34" s="105">
        <v>5.12</v>
      </c>
      <c r="G34" s="105">
        <v>4.22</v>
      </c>
      <c r="H34" s="105">
        <v>3.29</v>
      </c>
      <c r="I34" s="105">
        <v>2.35</v>
      </c>
      <c r="J34" s="105">
        <v>1.39</v>
      </c>
      <c r="K34" s="105">
        <v>0.41</v>
      </c>
      <c r="L34" s="105"/>
    </row>
    <row r="35" spans="1:12" x14ac:dyDescent="0.25">
      <c r="A35" s="104">
        <v>8</v>
      </c>
      <c r="B35" s="105">
        <v>8.3699999999999992</v>
      </c>
      <c r="C35" s="105">
        <v>7.59</v>
      </c>
      <c r="D35" s="105">
        <v>6.77</v>
      </c>
      <c r="E35" s="105">
        <v>5.93</v>
      </c>
      <c r="F35" s="105">
        <v>5.05</v>
      </c>
      <c r="G35" s="105">
        <v>4.1399999999999997</v>
      </c>
      <c r="H35" s="105">
        <v>3.22</v>
      </c>
      <c r="I35" s="105">
        <v>2.27</v>
      </c>
      <c r="J35" s="105">
        <v>1.31</v>
      </c>
      <c r="K35" s="105">
        <v>0.33</v>
      </c>
      <c r="L35" s="105"/>
    </row>
    <row r="36" spans="1:12" x14ac:dyDescent="0.25">
      <c r="A36" s="104">
        <v>9</v>
      </c>
      <c r="B36" s="105">
        <v>8.3000000000000007</v>
      </c>
      <c r="C36" s="105">
        <v>7.52</v>
      </c>
      <c r="D36" s="105">
        <v>6.71</v>
      </c>
      <c r="E36" s="105">
        <v>5.86</v>
      </c>
      <c r="F36" s="105">
        <v>4.9800000000000004</v>
      </c>
      <c r="G36" s="105">
        <v>4.07</v>
      </c>
      <c r="H36" s="105">
        <v>3.14</v>
      </c>
      <c r="I36" s="105">
        <v>2.19</v>
      </c>
      <c r="J36" s="105">
        <v>1.23</v>
      </c>
      <c r="K36" s="105">
        <v>0.25</v>
      </c>
      <c r="L36" s="105"/>
    </row>
    <row r="37" spans="1:12" x14ac:dyDescent="0.25">
      <c r="A37" s="104">
        <v>10</v>
      </c>
      <c r="B37" s="105">
        <v>8.24</v>
      </c>
      <c r="C37" s="105">
        <v>7.45</v>
      </c>
      <c r="D37" s="105">
        <v>6.64</v>
      </c>
      <c r="E37" s="105">
        <v>5.79</v>
      </c>
      <c r="F37" s="105">
        <v>4.9000000000000004</v>
      </c>
      <c r="G37" s="105">
        <v>3.99</v>
      </c>
      <c r="H37" s="105">
        <v>3.06</v>
      </c>
      <c r="I37" s="105">
        <v>2.11</v>
      </c>
      <c r="J37" s="105">
        <v>1.1499999999999999</v>
      </c>
      <c r="K37" s="105">
        <v>0.16</v>
      </c>
      <c r="L37" s="105"/>
    </row>
    <row r="38" spans="1:12" x14ac:dyDescent="0.25">
      <c r="A38" s="104">
        <v>11</v>
      </c>
      <c r="B38" s="105">
        <v>8.18</v>
      </c>
      <c r="C38" s="105">
        <v>7.39</v>
      </c>
      <c r="D38" s="105">
        <v>6.57</v>
      </c>
      <c r="E38" s="105">
        <v>5.71</v>
      </c>
      <c r="F38" s="105">
        <v>4.83</v>
      </c>
      <c r="G38" s="105">
        <v>3.91</v>
      </c>
      <c r="H38" s="105">
        <v>2.98</v>
      </c>
      <c r="I38" s="105">
        <v>2.0299999999999998</v>
      </c>
      <c r="J38" s="105">
        <v>1.07</v>
      </c>
      <c r="K38" s="105">
        <v>0.08</v>
      </c>
      <c r="L38" s="105"/>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IZqkOePtkQSsMxS06TKcePywxHJWtqJQCUC16QjC6A3x5ukosDd04kqE8VOr6zNu1Il8HjvhhHiDG7RbfC77Ng==" saltValue="guhjhdnd5muksleVHAEBgg==" spinCount="100000" sheet="1" objects="1" scenarios="1"/>
  <conditionalFormatting sqref="A6:A21">
    <cfRule type="expression" dxfId="527" priority="1" stopIfTrue="1">
      <formula>MOD(ROW(),2)=0</formula>
    </cfRule>
    <cfRule type="expression" dxfId="526" priority="2" stopIfTrue="1">
      <formula>MOD(ROW(),2)&lt;&gt;0</formula>
    </cfRule>
  </conditionalFormatting>
  <conditionalFormatting sqref="A26:A38">
    <cfRule type="expression" dxfId="525" priority="11" stopIfTrue="1">
      <formula>MOD(ROW(),2)=0</formula>
    </cfRule>
    <cfRule type="expression" dxfId="524" priority="12" stopIfTrue="1">
      <formula>MOD(ROW(),2)&lt;&gt;0</formula>
    </cfRule>
  </conditionalFormatting>
  <conditionalFormatting sqref="B17:B21">
    <cfRule type="expression" dxfId="523" priority="7" stopIfTrue="1">
      <formula>MOD(ROW(),2)=0</formula>
    </cfRule>
    <cfRule type="expression" dxfId="522" priority="8" stopIfTrue="1">
      <formula>MOD(ROW(),2)&lt;&gt;0</formula>
    </cfRule>
  </conditionalFormatting>
  <conditionalFormatting sqref="B6:L21">
    <cfRule type="expression" dxfId="521" priority="25" stopIfTrue="1">
      <formula>MOD(ROW(),2)=0</formula>
    </cfRule>
    <cfRule type="expression" dxfId="520" priority="26" stopIfTrue="1">
      <formula>MOD(ROW(),2)&lt;&gt;0</formula>
    </cfRule>
  </conditionalFormatting>
  <conditionalFormatting sqref="B26:L38">
    <cfRule type="expression" dxfId="519" priority="13" stopIfTrue="1">
      <formula>MOD(ROW(),2)=0</formula>
    </cfRule>
    <cfRule type="expression" dxfId="518" priority="14" stopIfTrue="1">
      <formula>MOD(ROW(),2)&lt;&gt;0</formula>
    </cfRule>
  </conditionalFormatting>
  <hyperlinks>
    <hyperlink ref="B24" location="Sheet1!A1" display="Assumptions" xr:uid="{CAB8B999-89E4-4AFE-8517-E4A8A530011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46"/>
  <dimension ref="A1:Q65"/>
  <sheetViews>
    <sheetView showGridLines="0" zoomScale="85" zoomScaleNormal="85" workbookViewId="0">
      <selection activeCell="A4" sqref="A4"/>
    </sheetView>
  </sheetViews>
  <sheetFormatPr defaultColWidth="10" defaultRowHeight="13.2" x14ac:dyDescent="0.25"/>
  <cols>
    <col min="1" max="1" width="31.5546875" style="27" customWidth="1"/>
    <col min="2" max="17" width="22.5546875" style="27" customWidth="1"/>
    <col min="18" max="16384" width="10" style="27"/>
  </cols>
  <sheetData>
    <row r="1" spans="1:17" ht="21" x14ac:dyDescent="0.4">
      <c r="A1" s="39" t="s">
        <v>0</v>
      </c>
      <c r="B1" s="40"/>
      <c r="C1" s="40"/>
      <c r="D1" s="40"/>
      <c r="E1" s="40"/>
      <c r="F1" s="40"/>
      <c r="G1" s="40"/>
      <c r="H1" s="40"/>
      <c r="I1" s="40"/>
    </row>
    <row r="2" spans="1:17"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17" ht="15.6" x14ac:dyDescent="0.3">
      <c r="A3" s="43" t="str">
        <f>TABLE_FACTOR_TYPE_1&amp;" - x-"&amp;TABLE_SERIES_NUMBER_1</f>
        <v>ARBO - x-713</v>
      </c>
      <c r="B3" s="42"/>
      <c r="C3" s="42"/>
      <c r="D3" s="42"/>
      <c r="E3" s="42"/>
      <c r="F3" s="42"/>
      <c r="G3" s="42"/>
      <c r="H3" s="42"/>
      <c r="I3" s="42"/>
    </row>
    <row r="4" spans="1:17" x14ac:dyDescent="0.25">
      <c r="A4" s="44"/>
    </row>
    <row r="6" spans="1:17" x14ac:dyDescent="0.25">
      <c r="A6" s="76" t="s">
        <v>290</v>
      </c>
      <c r="B6" s="129" t="s">
        <v>291</v>
      </c>
      <c r="C6" s="129"/>
      <c r="D6" s="129"/>
      <c r="E6" s="129"/>
      <c r="F6" s="129"/>
      <c r="G6" s="129"/>
      <c r="H6" s="129"/>
      <c r="I6" s="129"/>
      <c r="J6" s="129"/>
      <c r="K6" s="129"/>
      <c r="L6" s="129"/>
      <c r="M6" s="129"/>
      <c r="N6" s="129"/>
      <c r="O6" s="129"/>
      <c r="P6" s="129"/>
      <c r="Q6" s="129"/>
    </row>
    <row r="7" spans="1:17" x14ac:dyDescent="0.25">
      <c r="A7" s="77" t="s">
        <v>292</v>
      </c>
      <c r="B7" s="129" t="s">
        <v>345</v>
      </c>
      <c r="C7" s="129"/>
      <c r="D7" s="129"/>
      <c r="E7" s="129"/>
      <c r="F7" s="129"/>
      <c r="G7" s="129"/>
      <c r="H7" s="129"/>
      <c r="I7" s="129"/>
      <c r="J7" s="129"/>
      <c r="K7" s="129"/>
      <c r="L7" s="129"/>
      <c r="M7" s="129"/>
      <c r="N7" s="129"/>
      <c r="O7" s="129"/>
      <c r="P7" s="129"/>
      <c r="Q7" s="129"/>
    </row>
    <row r="8" spans="1:17" x14ac:dyDescent="0.25">
      <c r="A8" s="77" t="s">
        <v>294</v>
      </c>
      <c r="B8" s="129" t="s">
        <v>600</v>
      </c>
      <c r="C8" s="129"/>
      <c r="D8" s="129"/>
      <c r="E8" s="129"/>
      <c r="F8" s="129"/>
      <c r="G8" s="129"/>
      <c r="H8" s="129"/>
      <c r="I8" s="129"/>
      <c r="J8" s="129"/>
      <c r="K8" s="129"/>
      <c r="L8" s="129"/>
      <c r="M8" s="129"/>
      <c r="N8" s="129"/>
      <c r="O8" s="129"/>
      <c r="P8" s="129"/>
      <c r="Q8" s="129"/>
    </row>
    <row r="9" spans="1:17" x14ac:dyDescent="0.25">
      <c r="A9" s="77" t="s">
        <v>296</v>
      </c>
      <c r="B9" s="129" t="s">
        <v>565</v>
      </c>
      <c r="C9" s="129"/>
      <c r="D9" s="129"/>
      <c r="E9" s="129"/>
      <c r="F9" s="129"/>
      <c r="G9" s="129"/>
      <c r="H9" s="129"/>
      <c r="I9" s="129"/>
      <c r="J9" s="129"/>
      <c r="K9" s="129"/>
      <c r="L9" s="129"/>
      <c r="M9" s="129"/>
      <c r="N9" s="129"/>
      <c r="O9" s="129"/>
      <c r="P9" s="129"/>
      <c r="Q9" s="129"/>
    </row>
    <row r="10" spans="1:17" x14ac:dyDescent="0.25">
      <c r="A10" s="77" t="s">
        <v>6</v>
      </c>
      <c r="B10" s="129" t="s">
        <v>603</v>
      </c>
      <c r="C10" s="129"/>
      <c r="D10" s="129"/>
      <c r="E10" s="129"/>
      <c r="F10" s="129"/>
      <c r="G10" s="129"/>
      <c r="H10" s="129"/>
      <c r="I10" s="129"/>
      <c r="J10" s="129"/>
      <c r="K10" s="129"/>
      <c r="L10" s="129"/>
      <c r="M10" s="129"/>
      <c r="N10" s="129"/>
      <c r="O10" s="129"/>
      <c r="P10" s="129"/>
      <c r="Q10" s="129"/>
    </row>
    <row r="11" spans="1:17" x14ac:dyDescent="0.25">
      <c r="A11" s="77" t="s">
        <v>299</v>
      </c>
      <c r="B11" s="129" t="s">
        <v>364</v>
      </c>
      <c r="C11" s="129"/>
      <c r="D11" s="129"/>
      <c r="E11" s="129"/>
      <c r="F11" s="129"/>
      <c r="G11" s="129"/>
      <c r="H11" s="129"/>
      <c r="I11" s="129"/>
      <c r="J11" s="129"/>
      <c r="K11" s="129"/>
      <c r="L11" s="129"/>
      <c r="M11" s="129"/>
      <c r="N11" s="129"/>
      <c r="O11" s="129"/>
      <c r="P11" s="129"/>
      <c r="Q11" s="129"/>
    </row>
    <row r="12" spans="1:17" x14ac:dyDescent="0.25">
      <c r="A12" s="77" t="s">
        <v>301</v>
      </c>
      <c r="B12" s="129" t="s">
        <v>567</v>
      </c>
      <c r="C12" s="129"/>
      <c r="D12" s="129"/>
      <c r="E12" s="129"/>
      <c r="F12" s="129"/>
      <c r="G12" s="129"/>
      <c r="H12" s="129"/>
      <c r="I12" s="129"/>
      <c r="J12" s="129"/>
      <c r="K12" s="129"/>
      <c r="L12" s="129"/>
      <c r="M12" s="129"/>
      <c r="N12" s="129"/>
      <c r="O12" s="129"/>
      <c r="P12" s="129"/>
      <c r="Q12" s="129"/>
    </row>
    <row r="13" spans="1:17" x14ac:dyDescent="0.25">
      <c r="A13" s="77" t="s">
        <v>303</v>
      </c>
      <c r="B13" s="129">
        <v>1</v>
      </c>
      <c r="C13" s="129"/>
      <c r="D13" s="129"/>
      <c r="E13" s="129"/>
      <c r="F13" s="129"/>
      <c r="G13" s="129"/>
      <c r="H13" s="129"/>
      <c r="I13" s="129"/>
      <c r="J13" s="129"/>
      <c r="K13" s="129"/>
      <c r="L13" s="129"/>
      <c r="M13" s="129"/>
      <c r="N13" s="129"/>
      <c r="O13" s="129"/>
      <c r="P13" s="129"/>
      <c r="Q13" s="129"/>
    </row>
    <row r="14" spans="1:17" x14ac:dyDescent="0.25">
      <c r="A14" s="77" t="s">
        <v>305</v>
      </c>
      <c r="B14" s="129">
        <v>713</v>
      </c>
      <c r="C14" s="129"/>
      <c r="D14" s="129"/>
      <c r="E14" s="129"/>
      <c r="F14" s="129"/>
      <c r="G14" s="129"/>
      <c r="H14" s="129"/>
      <c r="I14" s="129"/>
      <c r="J14" s="129"/>
      <c r="K14" s="129"/>
      <c r="L14" s="129"/>
      <c r="M14" s="129"/>
      <c r="N14" s="129"/>
      <c r="O14" s="129"/>
      <c r="P14" s="129"/>
      <c r="Q14" s="129"/>
    </row>
    <row r="15" spans="1:17" x14ac:dyDescent="0.25">
      <c r="A15" s="77" t="s">
        <v>307</v>
      </c>
      <c r="B15" s="129" t="s">
        <v>604</v>
      </c>
      <c r="C15" s="129"/>
      <c r="D15" s="129"/>
      <c r="E15" s="129"/>
      <c r="F15" s="129"/>
      <c r="G15" s="129"/>
      <c r="H15" s="129"/>
      <c r="I15" s="129"/>
      <c r="J15" s="129"/>
      <c r="K15" s="129"/>
      <c r="L15" s="129"/>
      <c r="M15" s="129"/>
      <c r="N15" s="129"/>
      <c r="O15" s="129"/>
      <c r="P15" s="129"/>
      <c r="Q15" s="129"/>
    </row>
    <row r="16" spans="1:17" x14ac:dyDescent="0.25">
      <c r="A16" s="77" t="s">
        <v>309</v>
      </c>
      <c r="B16" s="129" t="s">
        <v>587</v>
      </c>
      <c r="C16" s="129"/>
      <c r="D16" s="129"/>
      <c r="E16" s="129"/>
      <c r="F16" s="129"/>
      <c r="G16" s="129"/>
      <c r="H16" s="129"/>
      <c r="I16" s="129"/>
      <c r="J16" s="129"/>
      <c r="K16" s="129"/>
      <c r="L16" s="129"/>
      <c r="M16" s="129"/>
      <c r="N16" s="129"/>
      <c r="O16" s="129"/>
      <c r="P16" s="129"/>
      <c r="Q16" s="129"/>
    </row>
    <row r="17" spans="1:17" x14ac:dyDescent="0.25">
      <c r="A17" s="81" t="s">
        <v>803</v>
      </c>
      <c r="B17" s="129"/>
      <c r="C17" s="129"/>
      <c r="D17" s="129"/>
      <c r="E17" s="129"/>
      <c r="F17" s="129"/>
      <c r="G17" s="129"/>
      <c r="H17" s="129"/>
      <c r="I17" s="129"/>
      <c r="J17" s="129"/>
      <c r="K17" s="129"/>
      <c r="L17" s="129"/>
      <c r="M17" s="129"/>
      <c r="N17" s="129"/>
      <c r="O17" s="129"/>
      <c r="P17" s="129"/>
      <c r="Q17" s="129"/>
    </row>
    <row r="18" spans="1:17" x14ac:dyDescent="0.25">
      <c r="A18" s="77" t="s">
        <v>313</v>
      </c>
      <c r="B18" s="187">
        <v>45135</v>
      </c>
      <c r="C18" s="129"/>
      <c r="D18" s="129"/>
      <c r="E18" s="129"/>
      <c r="F18" s="129"/>
      <c r="G18" s="129"/>
      <c r="H18" s="129"/>
      <c r="I18" s="129"/>
      <c r="J18" s="129"/>
      <c r="K18" s="129"/>
      <c r="L18" s="129"/>
      <c r="M18" s="129"/>
      <c r="N18" s="129"/>
      <c r="O18" s="129"/>
      <c r="P18" s="129"/>
      <c r="Q18" s="129"/>
    </row>
    <row r="19" spans="1:17" x14ac:dyDescent="0.25">
      <c r="A19" s="77" t="s">
        <v>315</v>
      </c>
      <c r="B19" s="187"/>
      <c r="C19" s="129"/>
      <c r="D19" s="129"/>
      <c r="E19" s="129"/>
      <c r="F19" s="129"/>
      <c r="G19" s="129"/>
      <c r="H19" s="129"/>
      <c r="I19" s="129"/>
      <c r="J19" s="129"/>
      <c r="K19" s="129"/>
      <c r="L19" s="129"/>
      <c r="M19" s="129"/>
      <c r="N19" s="129"/>
      <c r="O19" s="129"/>
      <c r="P19" s="129"/>
      <c r="Q19" s="129"/>
    </row>
    <row r="20" spans="1:17" x14ac:dyDescent="0.25">
      <c r="A20" s="77" t="s">
        <v>317</v>
      </c>
      <c r="B20" s="129" t="s">
        <v>331</v>
      </c>
      <c r="C20" s="129"/>
      <c r="D20" s="129"/>
      <c r="E20" s="129"/>
      <c r="F20" s="129"/>
      <c r="G20" s="129"/>
      <c r="H20" s="129"/>
      <c r="I20" s="129"/>
      <c r="J20" s="129"/>
      <c r="K20" s="129"/>
      <c r="L20" s="129"/>
      <c r="M20" s="129"/>
      <c r="N20" s="129"/>
      <c r="O20" s="129"/>
      <c r="P20" s="129"/>
      <c r="Q20" s="129"/>
    </row>
    <row r="21" spans="1:17" x14ac:dyDescent="0.25">
      <c r="A21" s="77" t="s">
        <v>323</v>
      </c>
      <c r="B21" s="129" t="s">
        <v>332</v>
      </c>
      <c r="C21" s="129"/>
      <c r="D21" s="129"/>
      <c r="E21" s="129"/>
      <c r="F21" s="129"/>
      <c r="G21" s="129"/>
      <c r="H21" s="129"/>
      <c r="I21" s="129"/>
      <c r="J21" s="129"/>
      <c r="K21" s="129"/>
      <c r="L21" s="129"/>
      <c r="M21" s="129"/>
      <c r="N21" s="129"/>
      <c r="O21" s="129"/>
      <c r="P21" s="129"/>
      <c r="Q21" s="129"/>
    </row>
    <row r="23" spans="1:17" x14ac:dyDescent="0.25">
      <c r="B23" s="102" t="str">
        <f>HYPERLINK("#'Factor List'!A1","Back to Factor List")</f>
        <v>Back to Factor List</v>
      </c>
    </row>
    <row r="24" spans="1:17" x14ac:dyDescent="0.25">
      <c r="B24" s="102" t="s">
        <v>13</v>
      </c>
    </row>
    <row r="25" spans="1:17" x14ac:dyDescent="0.25">
      <c r="B25" s="102"/>
    </row>
    <row r="26" spans="1:17" x14ac:dyDescent="0.25">
      <c r="A26" s="103" t="s">
        <v>855</v>
      </c>
      <c r="B26" s="103">
        <v>50</v>
      </c>
      <c r="C26" s="103">
        <v>51</v>
      </c>
      <c r="D26" s="103">
        <v>52</v>
      </c>
      <c r="E26" s="103">
        <v>53</v>
      </c>
      <c r="F26" s="103">
        <v>54</v>
      </c>
      <c r="G26" s="103">
        <v>55</v>
      </c>
      <c r="H26" s="103">
        <v>56</v>
      </c>
      <c r="I26" s="103">
        <v>57</v>
      </c>
      <c r="J26" s="103">
        <v>58</v>
      </c>
      <c r="K26" s="103">
        <v>59</v>
      </c>
      <c r="L26" s="103">
        <v>60</v>
      </c>
      <c r="M26" s="103">
        <v>61</v>
      </c>
      <c r="N26" s="103">
        <v>62</v>
      </c>
      <c r="O26" s="103">
        <v>63</v>
      </c>
      <c r="P26" s="103">
        <v>64</v>
      </c>
      <c r="Q26" s="103">
        <v>65</v>
      </c>
    </row>
    <row r="27" spans="1:17" x14ac:dyDescent="0.25">
      <c r="A27" s="104">
        <v>0</v>
      </c>
      <c r="B27" s="105">
        <v>12.78</v>
      </c>
      <c r="C27" s="105">
        <v>12.09</v>
      </c>
      <c r="D27" s="105">
        <v>11.37</v>
      </c>
      <c r="E27" s="105">
        <v>10.63</v>
      </c>
      <c r="F27" s="105">
        <v>9.85</v>
      </c>
      <c r="G27" s="105">
        <v>9.0399999999999991</v>
      </c>
      <c r="H27" s="105">
        <v>8.1999999999999993</v>
      </c>
      <c r="I27" s="105">
        <v>7.36</v>
      </c>
      <c r="J27" s="105">
        <v>6.49</v>
      </c>
      <c r="K27" s="105">
        <v>5.62</v>
      </c>
      <c r="L27" s="105">
        <v>4.72</v>
      </c>
      <c r="M27" s="105">
        <v>3.82</v>
      </c>
      <c r="N27" s="105">
        <v>2.89</v>
      </c>
      <c r="O27" s="105">
        <v>1.95</v>
      </c>
      <c r="P27" s="105">
        <v>0.98</v>
      </c>
      <c r="Q27" s="105">
        <v>0</v>
      </c>
    </row>
    <row r="28" spans="1:17" x14ac:dyDescent="0.25">
      <c r="A28" s="104">
        <v>1</v>
      </c>
      <c r="B28" s="105">
        <v>12.73</v>
      </c>
      <c r="C28" s="105">
        <v>12.03</v>
      </c>
      <c r="D28" s="105">
        <v>11.31</v>
      </c>
      <c r="E28" s="105">
        <v>10.56</v>
      </c>
      <c r="F28" s="105">
        <v>9.7799999999999994</v>
      </c>
      <c r="G28" s="105">
        <v>8.9700000000000006</v>
      </c>
      <c r="H28" s="105">
        <v>8.1300000000000008</v>
      </c>
      <c r="I28" s="105">
        <v>7.28</v>
      </c>
      <c r="J28" s="105">
        <v>6.42</v>
      </c>
      <c r="K28" s="105">
        <v>5.54</v>
      </c>
      <c r="L28" s="105">
        <v>4.6500000000000004</v>
      </c>
      <c r="M28" s="105">
        <v>3.74</v>
      </c>
      <c r="N28" s="105">
        <v>2.81</v>
      </c>
      <c r="O28" s="105">
        <v>1.87</v>
      </c>
      <c r="P28" s="105">
        <v>0.9</v>
      </c>
      <c r="Q28" s="105"/>
    </row>
    <row r="29" spans="1:17" x14ac:dyDescent="0.25">
      <c r="A29" s="104">
        <v>2</v>
      </c>
      <c r="B29" s="105">
        <v>12.67</v>
      </c>
      <c r="C29" s="105">
        <v>11.97</v>
      </c>
      <c r="D29" s="105">
        <v>11.25</v>
      </c>
      <c r="E29" s="105">
        <v>10.5</v>
      </c>
      <c r="F29" s="105">
        <v>9.7100000000000009</v>
      </c>
      <c r="G29" s="105">
        <v>8.9</v>
      </c>
      <c r="H29" s="105">
        <v>8.06</v>
      </c>
      <c r="I29" s="105">
        <v>7.21</v>
      </c>
      <c r="J29" s="105">
        <v>6.35</v>
      </c>
      <c r="K29" s="105">
        <v>5.47</v>
      </c>
      <c r="L29" s="105">
        <v>4.57</v>
      </c>
      <c r="M29" s="105">
        <v>3.66</v>
      </c>
      <c r="N29" s="105">
        <v>2.73</v>
      </c>
      <c r="O29" s="105">
        <v>1.79</v>
      </c>
      <c r="P29" s="105">
        <v>0.82</v>
      </c>
      <c r="Q29" s="105"/>
    </row>
    <row r="30" spans="1:17" x14ac:dyDescent="0.25">
      <c r="A30" s="104">
        <v>3</v>
      </c>
      <c r="B30" s="105">
        <v>12.61</v>
      </c>
      <c r="C30" s="105">
        <v>11.91</v>
      </c>
      <c r="D30" s="105">
        <v>11.19</v>
      </c>
      <c r="E30" s="105">
        <v>10.43</v>
      </c>
      <c r="F30" s="105">
        <v>9.65</v>
      </c>
      <c r="G30" s="105">
        <v>8.83</v>
      </c>
      <c r="H30" s="105">
        <v>7.99</v>
      </c>
      <c r="I30" s="105">
        <v>7.14</v>
      </c>
      <c r="J30" s="105">
        <v>6.27</v>
      </c>
      <c r="K30" s="105">
        <v>5.39</v>
      </c>
      <c r="L30" s="105">
        <v>4.5</v>
      </c>
      <c r="M30" s="105">
        <v>3.58</v>
      </c>
      <c r="N30" s="105">
        <v>2.65</v>
      </c>
      <c r="O30" s="105">
        <v>1.71</v>
      </c>
      <c r="P30" s="105">
        <v>0.74</v>
      </c>
      <c r="Q30" s="105"/>
    </row>
    <row r="31" spans="1:17" x14ac:dyDescent="0.25">
      <c r="A31" s="104">
        <v>4</v>
      </c>
      <c r="B31" s="105">
        <v>12.55</v>
      </c>
      <c r="C31" s="105">
        <v>11.85</v>
      </c>
      <c r="D31" s="105">
        <v>11.13</v>
      </c>
      <c r="E31" s="105">
        <v>10.37</v>
      </c>
      <c r="F31" s="105">
        <v>9.58</v>
      </c>
      <c r="G31" s="105">
        <v>8.76</v>
      </c>
      <c r="H31" s="105">
        <v>7.92</v>
      </c>
      <c r="I31" s="105">
        <v>7.07</v>
      </c>
      <c r="J31" s="105">
        <v>6.2</v>
      </c>
      <c r="K31" s="105">
        <v>5.32</v>
      </c>
      <c r="L31" s="105">
        <v>4.42</v>
      </c>
      <c r="M31" s="105">
        <v>3.51</v>
      </c>
      <c r="N31" s="105">
        <v>2.58</v>
      </c>
      <c r="O31" s="105">
        <v>1.63</v>
      </c>
      <c r="P31" s="105">
        <v>0.66</v>
      </c>
      <c r="Q31" s="105"/>
    </row>
    <row r="32" spans="1:17" x14ac:dyDescent="0.25">
      <c r="A32" s="104">
        <v>5</v>
      </c>
      <c r="B32" s="105">
        <v>12.5</v>
      </c>
      <c r="C32" s="105">
        <v>11.79</v>
      </c>
      <c r="D32" s="105">
        <v>11.06</v>
      </c>
      <c r="E32" s="105">
        <v>10.3</v>
      </c>
      <c r="F32" s="105">
        <v>9.51</v>
      </c>
      <c r="G32" s="105">
        <v>8.69</v>
      </c>
      <c r="H32" s="105">
        <v>7.85</v>
      </c>
      <c r="I32" s="105">
        <v>7</v>
      </c>
      <c r="J32" s="105">
        <v>6.13</v>
      </c>
      <c r="K32" s="105">
        <v>5.24</v>
      </c>
      <c r="L32" s="105">
        <v>4.3499999999999996</v>
      </c>
      <c r="M32" s="105">
        <v>3.43</v>
      </c>
      <c r="N32" s="105">
        <v>2.5</v>
      </c>
      <c r="O32" s="105">
        <v>1.55</v>
      </c>
      <c r="P32" s="105">
        <v>0.56999999999999995</v>
      </c>
      <c r="Q32" s="105"/>
    </row>
    <row r="33" spans="1:17" x14ac:dyDescent="0.25">
      <c r="A33" s="104">
        <v>6</v>
      </c>
      <c r="B33" s="105">
        <v>12.44</v>
      </c>
      <c r="C33" s="105">
        <v>11.73</v>
      </c>
      <c r="D33" s="105">
        <v>11</v>
      </c>
      <c r="E33" s="105">
        <v>10.24</v>
      </c>
      <c r="F33" s="105">
        <v>9.44</v>
      </c>
      <c r="G33" s="105">
        <v>8.6199999999999992</v>
      </c>
      <c r="H33" s="105">
        <v>7.78</v>
      </c>
      <c r="I33" s="105">
        <v>6.92</v>
      </c>
      <c r="J33" s="105">
        <v>6.06</v>
      </c>
      <c r="K33" s="105">
        <v>5.17</v>
      </c>
      <c r="L33" s="105">
        <v>4.2699999999999996</v>
      </c>
      <c r="M33" s="105">
        <v>3.35</v>
      </c>
      <c r="N33" s="105">
        <v>2.42</v>
      </c>
      <c r="O33" s="105">
        <v>1.46</v>
      </c>
      <c r="P33" s="105">
        <v>0.49</v>
      </c>
      <c r="Q33" s="105"/>
    </row>
    <row r="34" spans="1:17" x14ac:dyDescent="0.25">
      <c r="A34" s="104">
        <v>7</v>
      </c>
      <c r="B34" s="105">
        <v>12.38</v>
      </c>
      <c r="C34" s="105">
        <v>11.67</v>
      </c>
      <c r="D34" s="105">
        <v>10.94</v>
      </c>
      <c r="E34" s="105">
        <v>10.17</v>
      </c>
      <c r="F34" s="105">
        <v>9.3800000000000008</v>
      </c>
      <c r="G34" s="105">
        <v>8.5500000000000007</v>
      </c>
      <c r="H34" s="105">
        <v>7.71</v>
      </c>
      <c r="I34" s="105">
        <v>6.85</v>
      </c>
      <c r="J34" s="105">
        <v>5.98</v>
      </c>
      <c r="K34" s="105">
        <v>5.0999999999999996</v>
      </c>
      <c r="L34" s="105">
        <v>4.1900000000000004</v>
      </c>
      <c r="M34" s="105">
        <v>3.28</v>
      </c>
      <c r="N34" s="105">
        <v>2.34</v>
      </c>
      <c r="O34" s="105">
        <v>1.38</v>
      </c>
      <c r="P34" s="105">
        <v>0.41</v>
      </c>
      <c r="Q34" s="105"/>
    </row>
    <row r="35" spans="1:17" x14ac:dyDescent="0.25">
      <c r="A35" s="104">
        <v>8</v>
      </c>
      <c r="B35" s="105">
        <v>12.32</v>
      </c>
      <c r="C35" s="105">
        <v>11.61</v>
      </c>
      <c r="D35" s="105">
        <v>10.88</v>
      </c>
      <c r="E35" s="105">
        <v>10.11</v>
      </c>
      <c r="F35" s="105">
        <v>9.31</v>
      </c>
      <c r="G35" s="105">
        <v>8.48</v>
      </c>
      <c r="H35" s="105">
        <v>7.64</v>
      </c>
      <c r="I35" s="105">
        <v>6.78</v>
      </c>
      <c r="J35" s="105">
        <v>5.91</v>
      </c>
      <c r="K35" s="105">
        <v>5.0199999999999996</v>
      </c>
      <c r="L35" s="105">
        <v>4.12</v>
      </c>
      <c r="M35" s="105">
        <v>3.2</v>
      </c>
      <c r="N35" s="105">
        <v>2.2599999999999998</v>
      </c>
      <c r="O35" s="105">
        <v>1.3</v>
      </c>
      <c r="P35" s="105">
        <v>0.33</v>
      </c>
      <c r="Q35" s="105"/>
    </row>
    <row r="36" spans="1:17" x14ac:dyDescent="0.25">
      <c r="A36" s="104">
        <v>9</v>
      </c>
      <c r="B36" s="105">
        <v>12.27</v>
      </c>
      <c r="C36" s="105">
        <v>11.55</v>
      </c>
      <c r="D36" s="105">
        <v>10.81</v>
      </c>
      <c r="E36" s="105">
        <v>10.039999999999999</v>
      </c>
      <c r="F36" s="105">
        <v>9.24</v>
      </c>
      <c r="G36" s="105">
        <v>8.41</v>
      </c>
      <c r="H36" s="105">
        <v>7.57</v>
      </c>
      <c r="I36" s="105">
        <v>6.71</v>
      </c>
      <c r="J36" s="105">
        <v>5.84</v>
      </c>
      <c r="K36" s="105">
        <v>4.95</v>
      </c>
      <c r="L36" s="105">
        <v>4.04</v>
      </c>
      <c r="M36" s="105">
        <v>3.12</v>
      </c>
      <c r="N36" s="105">
        <v>2.1800000000000002</v>
      </c>
      <c r="O36" s="105">
        <v>1.22</v>
      </c>
      <c r="P36" s="105">
        <v>0.25</v>
      </c>
      <c r="Q36" s="105"/>
    </row>
    <row r="37" spans="1:17" x14ac:dyDescent="0.25">
      <c r="A37" s="104">
        <v>10</v>
      </c>
      <c r="B37" s="105">
        <v>12.21</v>
      </c>
      <c r="C37" s="105">
        <v>11.49</v>
      </c>
      <c r="D37" s="105">
        <v>10.75</v>
      </c>
      <c r="E37" s="105">
        <v>9.98</v>
      </c>
      <c r="F37" s="105">
        <v>9.17</v>
      </c>
      <c r="G37" s="105">
        <v>8.34</v>
      </c>
      <c r="H37" s="105">
        <v>7.5</v>
      </c>
      <c r="I37" s="105">
        <v>6.64</v>
      </c>
      <c r="J37" s="105">
        <v>5.76</v>
      </c>
      <c r="K37" s="105">
        <v>4.87</v>
      </c>
      <c r="L37" s="105">
        <v>3.97</v>
      </c>
      <c r="M37" s="105">
        <v>3.04</v>
      </c>
      <c r="N37" s="105">
        <v>2.1</v>
      </c>
      <c r="O37" s="105">
        <v>1.1399999999999999</v>
      </c>
      <c r="P37" s="105">
        <v>0.16</v>
      </c>
      <c r="Q37" s="105"/>
    </row>
    <row r="38" spans="1:17" x14ac:dyDescent="0.25">
      <c r="A38" s="104">
        <v>11</v>
      </c>
      <c r="B38" s="105">
        <v>12.15</v>
      </c>
      <c r="C38" s="105">
        <v>11.43</v>
      </c>
      <c r="D38" s="105">
        <v>10.69</v>
      </c>
      <c r="E38" s="105">
        <v>9.91</v>
      </c>
      <c r="F38" s="105">
        <v>9.1</v>
      </c>
      <c r="G38" s="105">
        <v>8.27</v>
      </c>
      <c r="H38" s="105">
        <v>7.43</v>
      </c>
      <c r="I38" s="105">
        <v>6.57</v>
      </c>
      <c r="J38" s="105">
        <v>5.69</v>
      </c>
      <c r="K38" s="105">
        <v>4.8</v>
      </c>
      <c r="L38" s="105">
        <v>3.89</v>
      </c>
      <c r="M38" s="105">
        <v>2.97</v>
      </c>
      <c r="N38" s="105">
        <v>2.02</v>
      </c>
      <c r="O38" s="105">
        <v>1.06</v>
      </c>
      <c r="P38" s="105">
        <v>0.08</v>
      </c>
      <c r="Q38" s="105"/>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 customHeight="1" x14ac:dyDescent="0.25">
      <c r="A44"/>
      <c r="B44"/>
    </row>
    <row r="45" spans="1:17" x14ac:dyDescent="0.25">
      <c r="A45"/>
      <c r="B45"/>
    </row>
    <row r="46" spans="1:17" ht="27.6"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blLy92Xpjx6UC7LMKL6QxxZE6ToV2ilz3bPaKXZ+rUpFvHwmp+aJXElid2qL2vTMqQrY+2+tL3hYALKJrai7kA==" saltValue="wHdg4T0/ZfkjxERoqi+Ebw==" spinCount="100000" sheet="1" objects="1" scenarios="1"/>
  <conditionalFormatting sqref="A6:A21">
    <cfRule type="expression" dxfId="517" priority="1" stopIfTrue="1">
      <formula>MOD(ROW(),2)=0</formula>
    </cfRule>
    <cfRule type="expression" dxfId="516" priority="2" stopIfTrue="1">
      <formula>MOD(ROW(),2)&lt;&gt;0</formula>
    </cfRule>
  </conditionalFormatting>
  <conditionalFormatting sqref="A26:A38">
    <cfRule type="expression" dxfId="515" priority="11" stopIfTrue="1">
      <formula>MOD(ROW(),2)=0</formula>
    </cfRule>
    <cfRule type="expression" dxfId="514" priority="12" stopIfTrue="1">
      <formula>MOD(ROW(),2)&lt;&gt;0</formula>
    </cfRule>
  </conditionalFormatting>
  <conditionalFormatting sqref="B17:B21">
    <cfRule type="expression" dxfId="513" priority="7" stopIfTrue="1">
      <formula>MOD(ROW(),2)=0</formula>
    </cfRule>
    <cfRule type="expression" dxfId="512" priority="8" stopIfTrue="1">
      <formula>MOD(ROW(),2)&lt;&gt;0</formula>
    </cfRule>
  </conditionalFormatting>
  <conditionalFormatting sqref="B6:Q21">
    <cfRule type="expression" dxfId="511" priority="25" stopIfTrue="1">
      <formula>MOD(ROW(),2)=0</formula>
    </cfRule>
    <cfRule type="expression" dxfId="510" priority="26" stopIfTrue="1">
      <formula>MOD(ROW(),2)&lt;&gt;0</formula>
    </cfRule>
  </conditionalFormatting>
  <conditionalFormatting sqref="B26:Q38">
    <cfRule type="expression" dxfId="509" priority="13" stopIfTrue="1">
      <formula>MOD(ROW(),2)=0</formula>
    </cfRule>
    <cfRule type="expression" dxfId="508" priority="14" stopIfTrue="1">
      <formula>MOD(ROW(),2)&lt;&gt;0</formula>
    </cfRule>
  </conditionalFormatting>
  <hyperlinks>
    <hyperlink ref="B24" location="Sheet1!A1" display="Assumptions" xr:uid="{5BB53E8E-5D8C-4A04-BCBC-B414A624711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92"/>
  <dimension ref="A1:I86"/>
  <sheetViews>
    <sheetView showGridLines="0" zoomScale="85" zoomScaleNormal="85" workbookViewId="0">
      <selection activeCell="A4" sqref="A4"/>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Added pension - x-714</v>
      </c>
      <c r="B3" s="42"/>
      <c r="C3" s="42"/>
      <c r="D3" s="42"/>
      <c r="E3" s="42"/>
      <c r="F3" s="42"/>
      <c r="G3" s="42"/>
      <c r="H3" s="42"/>
      <c r="I3" s="42"/>
    </row>
    <row r="4" spans="1:9" x14ac:dyDescent="0.25">
      <c r="A4" s="44"/>
    </row>
    <row r="6" spans="1:9" x14ac:dyDescent="0.25">
      <c r="A6" s="76" t="s">
        <v>290</v>
      </c>
      <c r="B6" s="129" t="s">
        <v>291</v>
      </c>
      <c r="C6" s="129"/>
      <c r="D6" s="129"/>
    </row>
    <row r="7" spans="1:9" x14ac:dyDescent="0.25">
      <c r="A7" s="77" t="s">
        <v>804</v>
      </c>
      <c r="B7" s="129" t="s">
        <v>324</v>
      </c>
      <c r="C7" s="129"/>
      <c r="D7" s="129"/>
    </row>
    <row r="8" spans="1:9" x14ac:dyDescent="0.25">
      <c r="A8" s="77" t="s">
        <v>805</v>
      </c>
      <c r="B8" s="129" t="s">
        <v>85</v>
      </c>
      <c r="C8" s="129"/>
      <c r="D8" s="129"/>
    </row>
    <row r="9" spans="1:9" x14ac:dyDescent="0.25">
      <c r="A9" s="77" t="s">
        <v>296</v>
      </c>
      <c r="B9" s="129" t="s">
        <v>605</v>
      </c>
      <c r="C9" s="129"/>
      <c r="D9" s="129"/>
    </row>
    <row r="10" spans="1:9" x14ac:dyDescent="0.25">
      <c r="A10" s="77" t="s">
        <v>6</v>
      </c>
      <c r="B10" s="129" t="s">
        <v>606</v>
      </c>
      <c r="C10" s="129"/>
      <c r="D10" s="129"/>
    </row>
    <row r="11" spans="1:9" x14ac:dyDescent="0.25">
      <c r="A11" s="77" t="s">
        <v>299</v>
      </c>
      <c r="B11" s="129" t="s">
        <v>607</v>
      </c>
      <c r="C11" s="129"/>
      <c r="D11" s="129"/>
    </row>
    <row r="12" spans="1:9" x14ac:dyDescent="0.25">
      <c r="A12" s="77" t="s">
        <v>301</v>
      </c>
      <c r="B12" s="129" t="s">
        <v>328</v>
      </c>
      <c r="C12" s="129"/>
      <c r="D12" s="129"/>
    </row>
    <row r="13" spans="1:9" x14ac:dyDescent="0.25">
      <c r="A13" s="77" t="s">
        <v>806</v>
      </c>
      <c r="B13" s="129">
        <v>0</v>
      </c>
      <c r="C13" s="129"/>
      <c r="D13" s="129"/>
    </row>
    <row r="14" spans="1:9" x14ac:dyDescent="0.25">
      <c r="A14" s="77" t="s">
        <v>305</v>
      </c>
      <c r="B14" s="129">
        <v>714</v>
      </c>
      <c r="C14" s="129"/>
      <c r="D14" s="129"/>
    </row>
    <row r="15" spans="1:9" x14ac:dyDescent="0.25">
      <c r="A15" s="77" t="s">
        <v>307</v>
      </c>
      <c r="B15" s="129" t="s">
        <v>608</v>
      </c>
      <c r="C15" s="129"/>
      <c r="D15" s="129"/>
    </row>
    <row r="16" spans="1:9" x14ac:dyDescent="0.25">
      <c r="A16" s="77" t="s">
        <v>825</v>
      </c>
      <c r="B16" s="129" t="s">
        <v>609</v>
      </c>
      <c r="C16" s="129"/>
      <c r="D16" s="129"/>
    </row>
    <row r="17" spans="1:4" x14ac:dyDescent="0.25">
      <c r="A17" s="77" t="s">
        <v>803</v>
      </c>
      <c r="B17" s="129"/>
      <c r="C17" s="129"/>
      <c r="D17" s="129"/>
    </row>
    <row r="18" spans="1:4" x14ac:dyDescent="0.25">
      <c r="A18" s="77" t="s">
        <v>313</v>
      </c>
      <c r="B18" s="187">
        <v>45184</v>
      </c>
      <c r="C18" s="129"/>
      <c r="D18" s="129"/>
    </row>
    <row r="19" spans="1:4" x14ac:dyDescent="0.25">
      <c r="A19" s="77" t="s">
        <v>315</v>
      </c>
      <c r="B19" s="187"/>
      <c r="C19" s="129"/>
      <c r="D19" s="129"/>
    </row>
    <row r="20" spans="1:4" x14ac:dyDescent="0.25">
      <c r="A20" s="77" t="s">
        <v>317</v>
      </c>
      <c r="B20" s="129" t="s">
        <v>331</v>
      </c>
      <c r="C20" s="129"/>
      <c r="D20" s="129"/>
    </row>
    <row r="21" spans="1:4" x14ac:dyDescent="0.25">
      <c r="A21" s="77" t="s">
        <v>323</v>
      </c>
      <c r="B21" s="129" t="s">
        <v>332</v>
      </c>
      <c r="C21" s="129"/>
      <c r="D21" s="129"/>
    </row>
    <row r="23" spans="1:4" x14ac:dyDescent="0.25">
      <c r="B23" s="102" t="str">
        <f>HYPERLINK("#'Factor List'!A1","Back to Factor List")</f>
        <v>Back to Factor List</v>
      </c>
    </row>
    <row r="24" spans="1:4" x14ac:dyDescent="0.25">
      <c r="B24" s="102" t="s">
        <v>13</v>
      </c>
    </row>
    <row r="25" spans="1:4" x14ac:dyDescent="0.25">
      <c r="B25" s="102"/>
    </row>
    <row r="26" spans="1:4" ht="26.4" x14ac:dyDescent="0.25">
      <c r="A26" s="103" t="s">
        <v>373</v>
      </c>
      <c r="B26" s="103" t="s">
        <v>956</v>
      </c>
      <c r="C26" s="103" t="s">
        <v>957</v>
      </c>
      <c r="D26" s="103" t="s">
        <v>958</v>
      </c>
    </row>
    <row r="27" spans="1:4" x14ac:dyDescent="0.25">
      <c r="A27" s="104">
        <v>16</v>
      </c>
      <c r="B27" s="105">
        <v>3.54</v>
      </c>
      <c r="C27" s="105">
        <v>3.54</v>
      </c>
      <c r="D27" s="105">
        <v>3.84</v>
      </c>
    </row>
    <row r="28" spans="1:4" x14ac:dyDescent="0.25">
      <c r="A28" s="104">
        <v>17</v>
      </c>
      <c r="B28" s="105">
        <v>3.67</v>
      </c>
      <c r="C28" s="105">
        <v>3.67</v>
      </c>
      <c r="D28" s="105">
        <v>3.98</v>
      </c>
    </row>
    <row r="29" spans="1:4" x14ac:dyDescent="0.25">
      <c r="A29" s="104">
        <v>18</v>
      </c>
      <c r="B29" s="105">
        <v>3.79</v>
      </c>
      <c r="C29" s="105">
        <v>3.79</v>
      </c>
      <c r="D29" s="105">
        <v>4.13</v>
      </c>
    </row>
    <row r="30" spans="1:4" x14ac:dyDescent="0.25">
      <c r="A30" s="104">
        <v>19</v>
      </c>
      <c r="B30" s="105">
        <v>3.93</v>
      </c>
      <c r="C30" s="105">
        <v>3.93</v>
      </c>
      <c r="D30" s="105">
        <v>4.29</v>
      </c>
    </row>
    <row r="31" spans="1:4" x14ac:dyDescent="0.25">
      <c r="A31" s="104">
        <v>20</v>
      </c>
      <c r="B31" s="105">
        <v>4.0599999999999996</v>
      </c>
      <c r="C31" s="105">
        <v>4.0599999999999996</v>
      </c>
      <c r="D31" s="105">
        <v>4.43</v>
      </c>
    </row>
    <row r="32" spans="1:4" x14ac:dyDescent="0.25">
      <c r="A32" s="104">
        <v>21</v>
      </c>
      <c r="B32" s="105">
        <v>4.2</v>
      </c>
      <c r="C32" s="105">
        <v>4.2</v>
      </c>
      <c r="D32" s="105">
        <v>4.59</v>
      </c>
    </row>
    <row r="33" spans="1:4" x14ac:dyDescent="0.25">
      <c r="A33" s="104">
        <v>22</v>
      </c>
      <c r="B33" s="105">
        <v>4.3499999999999996</v>
      </c>
      <c r="C33" s="105">
        <v>4.3499999999999996</v>
      </c>
      <c r="D33" s="105">
        <v>4.75</v>
      </c>
    </row>
    <row r="34" spans="1:4" x14ac:dyDescent="0.25">
      <c r="A34" s="104">
        <v>23</v>
      </c>
      <c r="B34" s="105">
        <v>4.5</v>
      </c>
      <c r="C34" s="105">
        <v>4.5</v>
      </c>
      <c r="D34" s="105">
        <v>4.91</v>
      </c>
    </row>
    <row r="35" spans="1:4" x14ac:dyDescent="0.25">
      <c r="A35" s="104">
        <v>24</v>
      </c>
      <c r="B35" s="105">
        <v>4.66</v>
      </c>
      <c r="C35" s="105">
        <v>4.66</v>
      </c>
      <c r="D35" s="105">
        <v>5.08</v>
      </c>
    </row>
    <row r="36" spans="1:4" x14ac:dyDescent="0.25">
      <c r="A36" s="104">
        <v>25</v>
      </c>
      <c r="B36" s="105">
        <v>4.82</v>
      </c>
      <c r="C36" s="105">
        <v>4.82</v>
      </c>
      <c r="D36" s="105">
        <v>5.26</v>
      </c>
    </row>
    <row r="37" spans="1:4" x14ac:dyDescent="0.25">
      <c r="A37" s="104">
        <v>26</v>
      </c>
      <c r="B37" s="105">
        <v>4.9800000000000004</v>
      </c>
      <c r="C37" s="105">
        <v>4.9800000000000004</v>
      </c>
      <c r="D37" s="105">
        <v>5.44</v>
      </c>
    </row>
    <row r="38" spans="1:4" x14ac:dyDescent="0.25">
      <c r="A38" s="104">
        <v>27</v>
      </c>
      <c r="B38" s="105">
        <v>5.16</v>
      </c>
      <c r="C38" s="105">
        <v>5.16</v>
      </c>
      <c r="D38" s="105">
        <v>5.63</v>
      </c>
    </row>
    <row r="39" spans="1:4" x14ac:dyDescent="0.25">
      <c r="A39" s="104">
        <v>28</v>
      </c>
      <c r="B39" s="105">
        <v>5.34</v>
      </c>
      <c r="C39" s="105">
        <v>5.34</v>
      </c>
      <c r="D39" s="105">
        <v>5.83</v>
      </c>
    </row>
    <row r="40" spans="1:4" x14ac:dyDescent="0.25">
      <c r="A40" s="104">
        <v>29</v>
      </c>
      <c r="B40" s="105">
        <v>5.52</v>
      </c>
      <c r="C40" s="105">
        <v>5.52</v>
      </c>
      <c r="D40" s="105">
        <v>6.03</v>
      </c>
    </row>
    <row r="41" spans="1:4" x14ac:dyDescent="0.25">
      <c r="A41" s="104">
        <v>30</v>
      </c>
      <c r="B41" s="105">
        <v>5.71</v>
      </c>
      <c r="C41" s="105">
        <v>5.71</v>
      </c>
      <c r="D41" s="105">
        <v>6.24</v>
      </c>
    </row>
    <row r="42" spans="1:4" x14ac:dyDescent="0.25">
      <c r="A42" s="104">
        <v>31</v>
      </c>
      <c r="B42" s="105">
        <v>5.91</v>
      </c>
      <c r="C42" s="105">
        <v>5.91</v>
      </c>
      <c r="D42" s="105">
        <v>6.45</v>
      </c>
    </row>
    <row r="43" spans="1:4" x14ac:dyDescent="0.25">
      <c r="A43" s="104">
        <v>32</v>
      </c>
      <c r="B43" s="105">
        <v>6.11</v>
      </c>
      <c r="C43" s="105">
        <v>6.11</v>
      </c>
      <c r="D43" s="105">
        <v>6.68</v>
      </c>
    </row>
    <row r="44" spans="1:4" x14ac:dyDescent="0.25">
      <c r="A44" s="104">
        <v>33</v>
      </c>
      <c r="B44" s="105">
        <v>6.32</v>
      </c>
      <c r="C44" s="105">
        <v>6.32</v>
      </c>
      <c r="D44" s="105">
        <v>6.91</v>
      </c>
    </row>
    <row r="45" spans="1:4" x14ac:dyDescent="0.25">
      <c r="A45" s="104">
        <v>34</v>
      </c>
      <c r="B45" s="105">
        <v>6.54</v>
      </c>
      <c r="C45" s="105">
        <v>6.54</v>
      </c>
      <c r="D45" s="105">
        <v>7.14</v>
      </c>
    </row>
    <row r="46" spans="1:4" x14ac:dyDescent="0.25">
      <c r="A46" s="104">
        <v>35</v>
      </c>
      <c r="B46" s="105">
        <v>6.76</v>
      </c>
      <c r="C46" s="105">
        <v>6.76</v>
      </c>
      <c r="D46" s="105">
        <v>7.39</v>
      </c>
    </row>
    <row r="47" spans="1:4" x14ac:dyDescent="0.25">
      <c r="A47" s="104">
        <v>36</v>
      </c>
      <c r="B47" s="105">
        <v>6.99</v>
      </c>
      <c r="C47" s="105">
        <v>6.99</v>
      </c>
      <c r="D47" s="105">
        <v>7.64</v>
      </c>
    </row>
    <row r="48" spans="1:4" x14ac:dyDescent="0.25">
      <c r="A48" s="104">
        <v>37</v>
      </c>
      <c r="B48" s="105">
        <v>7.23</v>
      </c>
      <c r="C48" s="105">
        <v>7.23</v>
      </c>
      <c r="D48" s="105">
        <v>7.9</v>
      </c>
    </row>
    <row r="49" spans="1:4" x14ac:dyDescent="0.25">
      <c r="A49" s="104">
        <v>38</v>
      </c>
      <c r="B49" s="105">
        <v>7.48</v>
      </c>
      <c r="C49" s="105">
        <v>7.48</v>
      </c>
      <c r="D49" s="105">
        <v>8.17</v>
      </c>
    </row>
    <row r="50" spans="1:4" x14ac:dyDescent="0.25">
      <c r="A50" s="104">
        <v>39</v>
      </c>
      <c r="B50" s="105">
        <v>7.73</v>
      </c>
      <c r="C50" s="105">
        <v>7.73</v>
      </c>
      <c r="D50" s="105">
        <v>8.44</v>
      </c>
    </row>
    <row r="51" spans="1:4" x14ac:dyDescent="0.25">
      <c r="A51" s="104">
        <v>40</v>
      </c>
      <c r="B51" s="105">
        <v>8</v>
      </c>
      <c r="C51" s="105">
        <v>8</v>
      </c>
      <c r="D51" s="105">
        <v>8.73</v>
      </c>
    </row>
    <row r="52" spans="1:4" x14ac:dyDescent="0.25">
      <c r="A52" s="104">
        <v>41</v>
      </c>
      <c r="B52" s="105">
        <v>8.27</v>
      </c>
      <c r="C52" s="105">
        <v>8.27</v>
      </c>
      <c r="D52" s="105">
        <v>9.0299999999999994</v>
      </c>
    </row>
    <row r="53" spans="1:4" x14ac:dyDescent="0.25">
      <c r="A53" s="104">
        <v>42</v>
      </c>
      <c r="B53" s="105">
        <v>8.5500000000000007</v>
      </c>
      <c r="C53" s="105">
        <v>8.5500000000000007</v>
      </c>
      <c r="D53" s="105">
        <v>9.33</v>
      </c>
    </row>
    <row r="54" spans="1:4" x14ac:dyDescent="0.25">
      <c r="A54" s="104">
        <v>43</v>
      </c>
      <c r="B54" s="105">
        <v>8.84</v>
      </c>
      <c r="C54" s="105">
        <v>8.84</v>
      </c>
      <c r="D54" s="105">
        <v>9.65</v>
      </c>
    </row>
    <row r="55" spans="1:4" x14ac:dyDescent="0.25">
      <c r="A55" s="104">
        <v>44</v>
      </c>
      <c r="B55" s="105">
        <v>9.14</v>
      </c>
      <c r="C55" s="105">
        <v>9.14</v>
      </c>
      <c r="D55" s="105">
        <v>9.9700000000000006</v>
      </c>
    </row>
    <row r="56" spans="1:4" x14ac:dyDescent="0.25">
      <c r="A56" s="104">
        <v>45</v>
      </c>
      <c r="B56" s="105">
        <v>9.4499999999999993</v>
      </c>
      <c r="C56" s="105">
        <v>9.4499999999999993</v>
      </c>
      <c r="D56" s="105">
        <v>10.31</v>
      </c>
    </row>
    <row r="57" spans="1:4" x14ac:dyDescent="0.25">
      <c r="A57" s="104">
        <v>46</v>
      </c>
      <c r="B57" s="105">
        <v>9.77</v>
      </c>
      <c r="C57" s="105">
        <v>9.77</v>
      </c>
      <c r="D57" s="105">
        <v>10.66</v>
      </c>
    </row>
    <row r="58" spans="1:4" x14ac:dyDescent="0.25">
      <c r="A58" s="104">
        <v>47</v>
      </c>
      <c r="B58" s="105">
        <v>10.1</v>
      </c>
      <c r="C58" s="105">
        <v>10.1</v>
      </c>
      <c r="D58" s="105">
        <v>11.02</v>
      </c>
    </row>
    <row r="59" spans="1:4" x14ac:dyDescent="0.25">
      <c r="A59" s="104">
        <v>48</v>
      </c>
      <c r="B59" s="105">
        <v>10.44</v>
      </c>
      <c r="C59" s="105">
        <v>10.44</v>
      </c>
      <c r="D59" s="105">
        <v>11.39</v>
      </c>
    </row>
    <row r="60" spans="1:4" x14ac:dyDescent="0.25">
      <c r="A60" s="104">
        <v>49</v>
      </c>
      <c r="B60" s="105">
        <v>10.8</v>
      </c>
      <c r="C60" s="105">
        <v>10.8</v>
      </c>
      <c r="D60" s="105">
        <v>11.77</v>
      </c>
    </row>
    <row r="61" spans="1:4" x14ac:dyDescent="0.25">
      <c r="A61" s="104">
        <v>50</v>
      </c>
      <c r="B61" s="105">
        <v>11.16</v>
      </c>
      <c r="C61" s="105">
        <v>11.16</v>
      </c>
      <c r="D61" s="105">
        <v>12.16</v>
      </c>
    </row>
    <row r="62" spans="1:4" x14ac:dyDescent="0.25">
      <c r="A62" s="104">
        <v>51</v>
      </c>
      <c r="B62" s="105">
        <v>11.54</v>
      </c>
      <c r="C62" s="105">
        <v>11.54</v>
      </c>
      <c r="D62" s="105">
        <v>12.57</v>
      </c>
    </row>
    <row r="63" spans="1:4" x14ac:dyDescent="0.25">
      <c r="A63" s="104">
        <v>52</v>
      </c>
      <c r="B63" s="105">
        <v>11.93</v>
      </c>
      <c r="C63" s="105">
        <v>11.93</v>
      </c>
      <c r="D63" s="105">
        <v>12.99</v>
      </c>
    </row>
    <row r="64" spans="1:4" x14ac:dyDescent="0.25">
      <c r="A64" s="104">
        <v>53</v>
      </c>
      <c r="B64" s="105">
        <v>12.34</v>
      </c>
      <c r="C64" s="105">
        <v>12.34</v>
      </c>
      <c r="D64" s="105">
        <v>13.43</v>
      </c>
    </row>
    <row r="65" spans="1:4" x14ac:dyDescent="0.25">
      <c r="A65" s="104">
        <v>54</v>
      </c>
      <c r="B65" s="105">
        <v>12.76</v>
      </c>
      <c r="C65" s="105">
        <v>12.76</v>
      </c>
      <c r="D65" s="105">
        <v>13.88</v>
      </c>
    </row>
    <row r="66" spans="1:4" x14ac:dyDescent="0.25">
      <c r="A66" s="104">
        <v>55</v>
      </c>
      <c r="B66" s="105">
        <v>13.19</v>
      </c>
      <c r="C66" s="105">
        <v>13.19</v>
      </c>
      <c r="D66" s="105">
        <v>14.35</v>
      </c>
    </row>
    <row r="67" spans="1:4" x14ac:dyDescent="0.25">
      <c r="A67" s="104">
        <v>56</v>
      </c>
      <c r="B67" s="105">
        <v>13.65</v>
      </c>
      <c r="C67" s="105">
        <v>13.65</v>
      </c>
      <c r="D67" s="105">
        <v>14.83</v>
      </c>
    </row>
    <row r="68" spans="1:4" x14ac:dyDescent="0.25">
      <c r="A68" s="104">
        <v>57</v>
      </c>
      <c r="B68" s="105">
        <v>14.12</v>
      </c>
      <c r="C68" s="105">
        <v>14.12</v>
      </c>
      <c r="D68" s="105">
        <v>15.34</v>
      </c>
    </row>
    <row r="69" spans="1:4" x14ac:dyDescent="0.25">
      <c r="A69" s="104">
        <v>58</v>
      </c>
      <c r="B69" s="105">
        <v>14.61</v>
      </c>
      <c r="C69" s="105">
        <v>14.61</v>
      </c>
      <c r="D69" s="105">
        <v>15.86</v>
      </c>
    </row>
    <row r="70" spans="1:4" x14ac:dyDescent="0.25">
      <c r="A70" s="104">
        <v>59</v>
      </c>
      <c r="B70" s="105">
        <v>15.12</v>
      </c>
      <c r="C70" s="105">
        <v>15.12</v>
      </c>
      <c r="D70" s="105">
        <v>16.399999999999999</v>
      </c>
    </row>
    <row r="71" spans="1:4" x14ac:dyDescent="0.25">
      <c r="A71" s="104">
        <v>60</v>
      </c>
      <c r="B71" s="105">
        <v>15.66</v>
      </c>
      <c r="C71" s="105">
        <v>15.66</v>
      </c>
      <c r="D71" s="105">
        <v>16.97</v>
      </c>
    </row>
    <row r="72" spans="1:4" x14ac:dyDescent="0.25">
      <c r="A72" s="104">
        <v>61</v>
      </c>
      <c r="B72" s="105">
        <v>16.22</v>
      </c>
      <c r="C72" s="105">
        <v>16.22</v>
      </c>
      <c r="D72" s="105">
        <v>17.57</v>
      </c>
    </row>
    <row r="73" spans="1:4" x14ac:dyDescent="0.25">
      <c r="A73" s="104">
        <v>62</v>
      </c>
      <c r="B73" s="105">
        <v>16.809999999999999</v>
      </c>
      <c r="C73" s="105">
        <v>16.809999999999999</v>
      </c>
      <c r="D73" s="105">
        <v>18.190000000000001</v>
      </c>
    </row>
    <row r="74" spans="1:4" x14ac:dyDescent="0.25">
      <c r="A74" s="104">
        <v>63</v>
      </c>
      <c r="B74" s="105">
        <v>17.440000000000001</v>
      </c>
      <c r="C74" s="105">
        <v>17.440000000000001</v>
      </c>
      <c r="D74" s="105">
        <v>18.84</v>
      </c>
    </row>
    <row r="75" spans="1:4" x14ac:dyDescent="0.25">
      <c r="A75" s="104">
        <v>64</v>
      </c>
      <c r="B75" s="105">
        <v>18.09</v>
      </c>
      <c r="C75" s="105">
        <v>18.09</v>
      </c>
      <c r="D75" s="105">
        <v>19.53</v>
      </c>
    </row>
    <row r="76" spans="1:4" x14ac:dyDescent="0.25">
      <c r="A76" s="104">
        <v>65</v>
      </c>
      <c r="B76" s="105">
        <v>18.12</v>
      </c>
      <c r="C76" s="105">
        <v>18.12</v>
      </c>
      <c r="D76" s="105">
        <v>19.579999999999998</v>
      </c>
    </row>
    <row r="77" spans="1:4" x14ac:dyDescent="0.25">
      <c r="A77" s="104">
        <v>66</v>
      </c>
      <c r="B77" s="105">
        <v>17.5</v>
      </c>
      <c r="C77" s="105">
        <v>17.5</v>
      </c>
      <c r="D77" s="105">
        <v>18.95</v>
      </c>
    </row>
    <row r="78" spans="1:4" x14ac:dyDescent="0.25">
      <c r="A78" s="104">
        <v>67</v>
      </c>
      <c r="B78" s="105">
        <v>16.87</v>
      </c>
      <c r="C78" s="105">
        <v>16.87</v>
      </c>
      <c r="D78" s="105">
        <v>18.32</v>
      </c>
    </row>
    <row r="79" spans="1:4" x14ac:dyDescent="0.25">
      <c r="A79" s="104">
        <v>68</v>
      </c>
      <c r="B79" s="105">
        <v>16.239999999999998</v>
      </c>
      <c r="C79" s="105">
        <v>16.239999999999998</v>
      </c>
      <c r="D79" s="105">
        <v>17.690000000000001</v>
      </c>
    </row>
    <row r="80" spans="1:4" x14ac:dyDescent="0.25">
      <c r="A80" s="104">
        <v>69</v>
      </c>
      <c r="B80" s="105">
        <v>15.61</v>
      </c>
      <c r="C80" s="105">
        <v>15.61</v>
      </c>
      <c r="D80" s="105">
        <v>17.059999999999999</v>
      </c>
    </row>
    <row r="81" spans="1:4" x14ac:dyDescent="0.25">
      <c r="A81" s="104">
        <v>70</v>
      </c>
      <c r="B81" s="105">
        <v>14.99</v>
      </c>
      <c r="C81" s="105">
        <v>14.99</v>
      </c>
      <c r="D81" s="105">
        <v>16.43</v>
      </c>
    </row>
    <row r="82" spans="1:4" x14ac:dyDescent="0.25">
      <c r="A82" s="104">
        <v>71</v>
      </c>
      <c r="B82" s="105">
        <v>14.37</v>
      </c>
      <c r="C82" s="105">
        <v>14.37</v>
      </c>
      <c r="D82" s="105">
        <v>15.8</v>
      </c>
    </row>
    <row r="83" spans="1:4" x14ac:dyDescent="0.25">
      <c r="A83" s="104">
        <v>72</v>
      </c>
      <c r="B83" s="105">
        <v>13.76</v>
      </c>
      <c r="C83" s="105">
        <v>13.76</v>
      </c>
      <c r="D83" s="105">
        <v>15.18</v>
      </c>
    </row>
    <row r="84" spans="1:4" x14ac:dyDescent="0.25">
      <c r="A84" s="104">
        <v>73</v>
      </c>
      <c r="B84" s="105">
        <v>13.15</v>
      </c>
      <c r="C84" s="105">
        <v>13.15</v>
      </c>
      <c r="D84" s="105">
        <v>14.56</v>
      </c>
    </row>
    <row r="85" spans="1:4" x14ac:dyDescent="0.25">
      <c r="A85" s="104">
        <v>74</v>
      </c>
      <c r="B85" s="105">
        <v>12.56</v>
      </c>
      <c r="C85" s="105">
        <v>12.56</v>
      </c>
      <c r="D85" s="105">
        <v>13.95</v>
      </c>
    </row>
    <row r="86" spans="1:4" x14ac:dyDescent="0.25">
      <c r="A86" s="104">
        <v>75</v>
      </c>
      <c r="B86" s="105">
        <v>12.26</v>
      </c>
      <c r="C86" s="105">
        <v>12.26</v>
      </c>
      <c r="D86" s="105">
        <v>13.65</v>
      </c>
    </row>
  </sheetData>
  <sheetProtection algorithmName="SHA-512" hashValue="GQ2Q4XQYkN1BV4wWaCKFpJpPhdXy4AJvf0nPlgIwLQzj2H6uSMfwIuI2Q0Zlab84qjlDBXlhtYUFlA+7CyMAUA==" saltValue="dBOOYPv6DIz3ryNhD3OVPQ==" spinCount="100000" sheet="1" objects="1" scenarios="1"/>
  <conditionalFormatting sqref="A6:A21">
    <cfRule type="expression" dxfId="507" priority="1" stopIfTrue="1">
      <formula>MOD(ROW(),2)=0</formula>
    </cfRule>
    <cfRule type="expression" dxfId="506" priority="2" stopIfTrue="1">
      <formula>MOD(ROW(),2)&lt;&gt;0</formula>
    </cfRule>
  </conditionalFormatting>
  <conditionalFormatting sqref="A26:A86">
    <cfRule type="expression" dxfId="505" priority="5" stopIfTrue="1">
      <formula>MOD(ROW(),2)=0</formula>
    </cfRule>
    <cfRule type="expression" dxfId="504" priority="6" stopIfTrue="1">
      <formula>MOD(ROW(),2)&lt;&gt;0</formula>
    </cfRule>
  </conditionalFormatting>
  <conditionalFormatting sqref="B18:B21">
    <cfRule type="expression" dxfId="503" priority="9" stopIfTrue="1">
      <formula>MOD(ROW(),2)=0</formula>
    </cfRule>
    <cfRule type="expression" dxfId="502" priority="10" stopIfTrue="1">
      <formula>MOD(ROW(),2)&lt;&gt;0</formula>
    </cfRule>
  </conditionalFormatting>
  <conditionalFormatting sqref="B6:D21">
    <cfRule type="expression" dxfId="501" priority="21" stopIfTrue="1">
      <formula>MOD(ROW(),2)=0</formula>
    </cfRule>
    <cfRule type="expression" dxfId="500" priority="22" stopIfTrue="1">
      <formula>MOD(ROW(),2)&lt;&gt;0</formula>
    </cfRule>
  </conditionalFormatting>
  <conditionalFormatting sqref="B26:D86">
    <cfRule type="expression" dxfId="499" priority="7" stopIfTrue="1">
      <formula>MOD(ROW(),2)=0</formula>
    </cfRule>
    <cfRule type="expression" dxfId="498" priority="8" stopIfTrue="1">
      <formula>MOD(ROW(),2)&lt;&gt;0</formula>
    </cfRule>
  </conditionalFormatting>
  <hyperlinks>
    <hyperlink ref="B24" location="Sheet1!A1" display="Assumptions" xr:uid="{44563891-3D8F-4C6C-85D3-B1E34481D7A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9"/>
  <dimension ref="A1:E85"/>
  <sheetViews>
    <sheetView showGridLines="0" zoomScale="85" zoomScaleNormal="85" workbookViewId="0">
      <selection activeCell="A3" sqref="A3"/>
    </sheetView>
  </sheetViews>
  <sheetFormatPr defaultColWidth="10" defaultRowHeight="13.2" x14ac:dyDescent="0.25"/>
  <cols>
    <col min="1" max="1" width="31.5546875" style="27" customWidth="1"/>
    <col min="2" max="5" width="22.5546875" style="27" customWidth="1"/>
    <col min="6" max="16384" width="10" style="27"/>
  </cols>
  <sheetData>
    <row r="1" spans="1:5" ht="21" x14ac:dyDescent="0.4">
      <c r="A1" s="39" t="s">
        <v>0</v>
      </c>
      <c r="B1" s="40"/>
      <c r="C1" s="40"/>
      <c r="D1" s="40"/>
      <c r="E1" s="40"/>
    </row>
    <row r="2" spans="1:5" ht="15.6" x14ac:dyDescent="0.3">
      <c r="A2" s="41" t="str">
        <f>IF(title="&gt; Enter workbook title here","Enter workbook title in Cover sheet",title)</f>
        <v>Civil Service Pension Schemes - Consolidated Factor Spreadsheet</v>
      </c>
      <c r="B2" s="42"/>
      <c r="C2" s="42"/>
      <c r="D2" s="42"/>
      <c r="E2" s="42"/>
    </row>
    <row r="3" spans="1:5" ht="15.6" x14ac:dyDescent="0.3">
      <c r="A3" s="43" t="str">
        <f>TABLE_FACTOR_TYPE_1&amp;" - x-"&amp;TABLE_SERIES_NUMBER_1</f>
        <v>CETV - x-201</v>
      </c>
      <c r="B3" s="42"/>
      <c r="C3" s="42"/>
      <c r="D3" s="42"/>
      <c r="E3" s="42"/>
    </row>
    <row r="4" spans="1:5" x14ac:dyDescent="0.25">
      <c r="A4" s="44"/>
    </row>
    <row r="6" spans="1:5" x14ac:dyDescent="0.25">
      <c r="A6" s="76" t="s">
        <v>290</v>
      </c>
      <c r="B6" s="129" t="s">
        <v>291</v>
      </c>
      <c r="C6" s="129"/>
      <c r="D6" s="129"/>
      <c r="E6" s="129"/>
    </row>
    <row r="7" spans="1:5" x14ac:dyDescent="0.25">
      <c r="A7" s="77" t="s">
        <v>804</v>
      </c>
      <c r="B7" s="129" t="s">
        <v>324</v>
      </c>
      <c r="C7" s="129"/>
      <c r="D7" s="129"/>
      <c r="E7" s="129"/>
    </row>
    <row r="8" spans="1:5" x14ac:dyDescent="0.25">
      <c r="A8" s="77" t="s">
        <v>805</v>
      </c>
      <c r="B8" s="129" t="s">
        <v>85</v>
      </c>
      <c r="C8" s="129"/>
      <c r="D8" s="129"/>
      <c r="E8" s="129"/>
    </row>
    <row r="9" spans="1:5" x14ac:dyDescent="0.25">
      <c r="A9" s="77" t="s">
        <v>296</v>
      </c>
      <c r="B9" s="129" t="s">
        <v>325</v>
      </c>
      <c r="C9" s="129"/>
      <c r="D9" s="129"/>
      <c r="E9" s="129"/>
    </row>
    <row r="10" spans="1:5" x14ac:dyDescent="0.25">
      <c r="A10" s="77" t="s">
        <v>6</v>
      </c>
      <c r="B10" s="129" t="s">
        <v>326</v>
      </c>
      <c r="C10" s="129"/>
      <c r="D10" s="129"/>
      <c r="E10" s="129"/>
    </row>
    <row r="11" spans="1:5" x14ac:dyDescent="0.25">
      <c r="A11" s="77" t="s">
        <v>299</v>
      </c>
      <c r="B11" s="129" t="s">
        <v>327</v>
      </c>
      <c r="C11" s="129"/>
      <c r="D11" s="129"/>
      <c r="E11" s="129"/>
    </row>
    <row r="12" spans="1:5" x14ac:dyDescent="0.25">
      <c r="A12" s="77" t="s">
        <v>301</v>
      </c>
      <c r="B12" s="129" t="s">
        <v>328</v>
      </c>
      <c r="C12" s="129"/>
      <c r="D12" s="129"/>
      <c r="E12" s="129"/>
    </row>
    <row r="13" spans="1:5" x14ac:dyDescent="0.25">
      <c r="A13" s="77" t="s">
        <v>806</v>
      </c>
      <c r="B13" s="129">
        <v>0</v>
      </c>
      <c r="C13" s="129"/>
      <c r="D13" s="129"/>
      <c r="E13" s="129"/>
    </row>
    <row r="14" spans="1:5" x14ac:dyDescent="0.25">
      <c r="A14" s="77" t="s">
        <v>305</v>
      </c>
      <c r="B14" s="129">
        <v>201</v>
      </c>
      <c r="C14" s="129"/>
      <c r="D14" s="129"/>
      <c r="E14" s="129"/>
    </row>
    <row r="15" spans="1:5" x14ac:dyDescent="0.25">
      <c r="A15" s="77" t="s">
        <v>307</v>
      </c>
      <c r="B15" s="129" t="s">
        <v>329</v>
      </c>
      <c r="C15" s="129"/>
      <c r="D15" s="129"/>
      <c r="E15" s="129"/>
    </row>
    <row r="16" spans="1:5" x14ac:dyDescent="0.25">
      <c r="A16" s="77" t="s">
        <v>309</v>
      </c>
      <c r="B16" s="129" t="s">
        <v>330</v>
      </c>
      <c r="C16" s="129"/>
      <c r="D16" s="129"/>
      <c r="E16" s="129"/>
    </row>
    <row r="17" spans="1:5" x14ac:dyDescent="0.25">
      <c r="A17" s="77" t="s">
        <v>803</v>
      </c>
      <c r="B17" s="129"/>
      <c r="C17" s="129"/>
      <c r="D17" s="129"/>
      <c r="E17" s="129"/>
    </row>
    <row r="18" spans="1:5" x14ac:dyDescent="0.25">
      <c r="A18" s="77" t="s">
        <v>313</v>
      </c>
      <c r="B18" s="187">
        <v>45071</v>
      </c>
      <c r="C18" s="129"/>
      <c r="D18" s="129"/>
      <c r="E18" s="129"/>
    </row>
    <row r="19" spans="1:5" x14ac:dyDescent="0.25">
      <c r="A19" s="77" t="s">
        <v>315</v>
      </c>
      <c r="B19" s="187"/>
      <c r="C19" s="129"/>
      <c r="D19" s="129"/>
      <c r="E19" s="129"/>
    </row>
    <row r="20" spans="1:5" x14ac:dyDescent="0.25">
      <c r="A20" s="77" t="s">
        <v>317</v>
      </c>
      <c r="B20" s="129" t="s">
        <v>331</v>
      </c>
      <c r="C20" s="129"/>
      <c r="D20" s="129"/>
      <c r="E20" s="129"/>
    </row>
    <row r="21" spans="1:5" x14ac:dyDescent="0.25">
      <c r="A21" s="77" t="s">
        <v>323</v>
      </c>
      <c r="B21" s="129" t="s">
        <v>332</v>
      </c>
      <c r="C21" s="129"/>
      <c r="D21" s="129"/>
      <c r="E21" s="129"/>
    </row>
    <row r="23" spans="1:5" x14ac:dyDescent="0.25">
      <c r="B23" s="102" t="str">
        <f>HYPERLINK("#'Factor List'!A1","Back to Factor List")</f>
        <v>Back to Factor List</v>
      </c>
    </row>
    <row r="24" spans="1:5" x14ac:dyDescent="0.25">
      <c r="B24" s="102" t="s">
        <v>13</v>
      </c>
    </row>
    <row r="26" spans="1:5" ht="26.4" x14ac:dyDescent="0.25">
      <c r="A26" s="103" t="s">
        <v>373</v>
      </c>
      <c r="B26" s="103" t="s">
        <v>807</v>
      </c>
      <c r="C26" s="103" t="s">
        <v>808</v>
      </c>
      <c r="D26" s="103" t="s">
        <v>809</v>
      </c>
      <c r="E26" s="103" t="s">
        <v>810</v>
      </c>
    </row>
    <row r="27" spans="1:5" x14ac:dyDescent="0.25">
      <c r="A27" s="104">
        <v>17</v>
      </c>
      <c r="B27" s="105">
        <v>4.8499999999999996</v>
      </c>
      <c r="C27" s="105">
        <v>0.64</v>
      </c>
      <c r="D27" s="105">
        <v>4.8499999999999996</v>
      </c>
      <c r="E27" s="105">
        <v>0.64</v>
      </c>
    </row>
    <row r="28" spans="1:5" x14ac:dyDescent="0.25">
      <c r="A28" s="104">
        <v>18</v>
      </c>
      <c r="B28" s="105">
        <v>5.0199999999999996</v>
      </c>
      <c r="C28" s="105">
        <v>0.68</v>
      </c>
      <c r="D28" s="105">
        <v>5.0199999999999996</v>
      </c>
      <c r="E28" s="105">
        <v>0.68</v>
      </c>
    </row>
    <row r="29" spans="1:5" x14ac:dyDescent="0.25">
      <c r="A29" s="104">
        <v>19</v>
      </c>
      <c r="B29" s="105">
        <v>5.19</v>
      </c>
      <c r="C29" s="105">
        <v>0.72</v>
      </c>
      <c r="D29" s="105">
        <v>5.19</v>
      </c>
      <c r="E29" s="105">
        <v>0.72</v>
      </c>
    </row>
    <row r="30" spans="1:5" x14ac:dyDescent="0.25">
      <c r="A30" s="104">
        <v>20</v>
      </c>
      <c r="B30" s="105">
        <v>5.37</v>
      </c>
      <c r="C30" s="105">
        <v>0.75</v>
      </c>
      <c r="D30" s="105">
        <v>5.37</v>
      </c>
      <c r="E30" s="105">
        <v>0.75</v>
      </c>
    </row>
    <row r="31" spans="1:5" x14ac:dyDescent="0.25">
      <c r="A31" s="104">
        <v>21</v>
      </c>
      <c r="B31" s="105">
        <v>5.56</v>
      </c>
      <c r="C31" s="105">
        <v>0.77</v>
      </c>
      <c r="D31" s="105">
        <v>5.56</v>
      </c>
      <c r="E31" s="105">
        <v>0.77</v>
      </c>
    </row>
    <row r="32" spans="1:5" x14ac:dyDescent="0.25">
      <c r="A32" s="104">
        <v>22</v>
      </c>
      <c r="B32" s="105">
        <v>5.75</v>
      </c>
      <c r="C32" s="105">
        <v>0.8</v>
      </c>
      <c r="D32" s="105">
        <v>5.75</v>
      </c>
      <c r="E32" s="105">
        <v>0.8</v>
      </c>
    </row>
    <row r="33" spans="1:5" x14ac:dyDescent="0.25">
      <c r="A33" s="104">
        <v>23</v>
      </c>
      <c r="B33" s="105">
        <v>5.96</v>
      </c>
      <c r="C33" s="105">
        <v>0.83</v>
      </c>
      <c r="D33" s="105">
        <v>5.96</v>
      </c>
      <c r="E33" s="105">
        <v>0.83</v>
      </c>
    </row>
    <row r="34" spans="1:5" x14ac:dyDescent="0.25">
      <c r="A34" s="104">
        <v>24</v>
      </c>
      <c r="B34" s="105">
        <v>6.16</v>
      </c>
      <c r="C34" s="105">
        <v>0.86</v>
      </c>
      <c r="D34" s="105">
        <v>6.16</v>
      </c>
      <c r="E34" s="105">
        <v>0.86</v>
      </c>
    </row>
    <row r="35" spans="1:5" x14ac:dyDescent="0.25">
      <c r="A35" s="104">
        <v>25</v>
      </c>
      <c r="B35" s="105">
        <v>6.38</v>
      </c>
      <c r="C35" s="105">
        <v>0.89</v>
      </c>
      <c r="D35" s="105">
        <v>6.38</v>
      </c>
      <c r="E35" s="105">
        <v>0.89</v>
      </c>
    </row>
    <row r="36" spans="1:5" x14ac:dyDescent="0.25">
      <c r="A36" s="104">
        <v>26</v>
      </c>
      <c r="B36" s="105">
        <v>6.6</v>
      </c>
      <c r="C36" s="105">
        <v>0.93</v>
      </c>
      <c r="D36" s="105">
        <v>6.6</v>
      </c>
      <c r="E36" s="105">
        <v>0.93</v>
      </c>
    </row>
    <row r="37" spans="1:5" x14ac:dyDescent="0.25">
      <c r="A37" s="104">
        <v>27</v>
      </c>
      <c r="B37" s="105">
        <v>6.83</v>
      </c>
      <c r="C37" s="105">
        <v>0.96</v>
      </c>
      <c r="D37" s="105">
        <v>6.83</v>
      </c>
      <c r="E37" s="105">
        <v>0.96</v>
      </c>
    </row>
    <row r="38" spans="1:5" x14ac:dyDescent="0.25">
      <c r="A38" s="104">
        <v>28</v>
      </c>
      <c r="B38" s="105">
        <v>7.07</v>
      </c>
      <c r="C38" s="105">
        <v>0.99</v>
      </c>
      <c r="D38" s="105">
        <v>7.07</v>
      </c>
      <c r="E38" s="105">
        <v>0.99</v>
      </c>
    </row>
    <row r="39" spans="1:5" x14ac:dyDescent="0.25">
      <c r="A39" s="104">
        <v>29</v>
      </c>
      <c r="B39" s="105">
        <v>7.32</v>
      </c>
      <c r="C39" s="105">
        <v>1.03</v>
      </c>
      <c r="D39" s="105">
        <v>7.32</v>
      </c>
      <c r="E39" s="105">
        <v>1.03</v>
      </c>
    </row>
    <row r="40" spans="1:5" x14ac:dyDescent="0.25">
      <c r="A40" s="104">
        <v>30</v>
      </c>
      <c r="B40" s="105">
        <v>7.58</v>
      </c>
      <c r="C40" s="105">
        <v>1.07</v>
      </c>
      <c r="D40" s="105">
        <v>7.58</v>
      </c>
      <c r="E40" s="105">
        <v>1.07</v>
      </c>
    </row>
    <row r="41" spans="1:5" x14ac:dyDescent="0.25">
      <c r="A41" s="104">
        <v>31</v>
      </c>
      <c r="B41" s="105">
        <v>7.84</v>
      </c>
      <c r="C41" s="105">
        <v>1.1000000000000001</v>
      </c>
      <c r="D41" s="105">
        <v>7.84</v>
      </c>
      <c r="E41" s="105">
        <v>1.1000000000000001</v>
      </c>
    </row>
    <row r="42" spans="1:5" x14ac:dyDescent="0.25">
      <c r="A42" s="104">
        <v>32</v>
      </c>
      <c r="B42" s="105">
        <v>8.1199999999999992</v>
      </c>
      <c r="C42" s="105">
        <v>1.1399999999999999</v>
      </c>
      <c r="D42" s="105">
        <v>8.1199999999999992</v>
      </c>
      <c r="E42" s="105">
        <v>1.1399999999999999</v>
      </c>
    </row>
    <row r="43" spans="1:5" x14ac:dyDescent="0.25">
      <c r="A43" s="104">
        <v>33</v>
      </c>
      <c r="B43" s="105">
        <v>8.41</v>
      </c>
      <c r="C43" s="105">
        <v>1.18</v>
      </c>
      <c r="D43" s="105">
        <v>8.41</v>
      </c>
      <c r="E43" s="105">
        <v>1.18</v>
      </c>
    </row>
    <row r="44" spans="1:5" x14ac:dyDescent="0.25">
      <c r="A44" s="104">
        <v>34</v>
      </c>
      <c r="B44" s="105">
        <v>8.6999999999999993</v>
      </c>
      <c r="C44" s="105">
        <v>1.22</v>
      </c>
      <c r="D44" s="105">
        <v>8.6999999999999993</v>
      </c>
      <c r="E44" s="105">
        <v>1.22</v>
      </c>
    </row>
    <row r="45" spans="1:5" x14ac:dyDescent="0.25">
      <c r="A45" s="104">
        <v>35</v>
      </c>
      <c r="B45" s="105">
        <v>9.01</v>
      </c>
      <c r="C45" s="105">
        <v>1.26</v>
      </c>
      <c r="D45" s="105">
        <v>9.01</v>
      </c>
      <c r="E45" s="105">
        <v>1.26</v>
      </c>
    </row>
    <row r="46" spans="1:5" x14ac:dyDescent="0.25">
      <c r="A46" s="104">
        <v>36</v>
      </c>
      <c r="B46" s="105">
        <v>9.32</v>
      </c>
      <c r="C46" s="105">
        <v>1.3</v>
      </c>
      <c r="D46" s="105">
        <v>9.32</v>
      </c>
      <c r="E46" s="105">
        <v>1.3</v>
      </c>
    </row>
    <row r="47" spans="1:5" x14ac:dyDescent="0.25">
      <c r="A47" s="104">
        <v>37</v>
      </c>
      <c r="B47" s="105">
        <v>9.65</v>
      </c>
      <c r="C47" s="105">
        <v>1.35</v>
      </c>
      <c r="D47" s="105">
        <v>9.65</v>
      </c>
      <c r="E47" s="105">
        <v>1.35</v>
      </c>
    </row>
    <row r="48" spans="1:5" x14ac:dyDescent="0.25">
      <c r="A48" s="104">
        <v>38</v>
      </c>
      <c r="B48" s="105">
        <v>9.99</v>
      </c>
      <c r="C48" s="105">
        <v>1.39</v>
      </c>
      <c r="D48" s="105">
        <v>9.99</v>
      </c>
      <c r="E48" s="105">
        <v>1.39</v>
      </c>
    </row>
    <row r="49" spans="1:5" x14ac:dyDescent="0.25">
      <c r="A49" s="104">
        <v>39</v>
      </c>
      <c r="B49" s="105">
        <v>10.35</v>
      </c>
      <c r="C49" s="105">
        <v>1.44</v>
      </c>
      <c r="D49" s="105">
        <v>10.35</v>
      </c>
      <c r="E49" s="105">
        <v>1.44</v>
      </c>
    </row>
    <row r="50" spans="1:5" x14ac:dyDescent="0.25">
      <c r="A50" s="104">
        <v>40</v>
      </c>
      <c r="B50" s="105">
        <v>10.71</v>
      </c>
      <c r="C50" s="105">
        <v>1.48</v>
      </c>
      <c r="D50" s="105">
        <v>10.71</v>
      </c>
      <c r="E50" s="105">
        <v>1.48</v>
      </c>
    </row>
    <row r="51" spans="1:5" x14ac:dyDescent="0.25">
      <c r="A51" s="104">
        <v>41</v>
      </c>
      <c r="B51" s="105">
        <v>11.09</v>
      </c>
      <c r="C51" s="105">
        <v>1.53</v>
      </c>
      <c r="D51" s="105">
        <v>11.09</v>
      </c>
      <c r="E51" s="105">
        <v>1.53</v>
      </c>
    </row>
    <row r="52" spans="1:5" x14ac:dyDescent="0.25">
      <c r="A52" s="104">
        <v>42</v>
      </c>
      <c r="B52" s="105">
        <v>11.49</v>
      </c>
      <c r="C52" s="105">
        <v>1.58</v>
      </c>
      <c r="D52" s="105">
        <v>11.49</v>
      </c>
      <c r="E52" s="105">
        <v>1.58</v>
      </c>
    </row>
    <row r="53" spans="1:5" x14ac:dyDescent="0.25">
      <c r="A53" s="104">
        <v>43</v>
      </c>
      <c r="B53" s="105">
        <v>11.89</v>
      </c>
      <c r="C53" s="105">
        <v>1.63</v>
      </c>
      <c r="D53" s="105">
        <v>11.89</v>
      </c>
      <c r="E53" s="105">
        <v>1.63</v>
      </c>
    </row>
    <row r="54" spans="1:5" x14ac:dyDescent="0.25">
      <c r="A54" s="104">
        <v>44</v>
      </c>
      <c r="B54" s="105">
        <v>12.32</v>
      </c>
      <c r="C54" s="105">
        <v>1.68</v>
      </c>
      <c r="D54" s="105">
        <v>12.32</v>
      </c>
      <c r="E54" s="105">
        <v>1.68</v>
      </c>
    </row>
    <row r="55" spans="1:5" x14ac:dyDescent="0.25">
      <c r="A55" s="104">
        <v>45</v>
      </c>
      <c r="B55" s="105">
        <v>12.76</v>
      </c>
      <c r="C55" s="105">
        <v>1.73</v>
      </c>
      <c r="D55" s="105">
        <v>12.76</v>
      </c>
      <c r="E55" s="105">
        <v>1.73</v>
      </c>
    </row>
    <row r="56" spans="1:5" x14ac:dyDescent="0.25">
      <c r="A56" s="104">
        <v>46</v>
      </c>
      <c r="B56" s="105">
        <v>13.21</v>
      </c>
      <c r="C56" s="105">
        <v>1.78</v>
      </c>
      <c r="D56" s="105">
        <v>13.21</v>
      </c>
      <c r="E56" s="105">
        <v>1.78</v>
      </c>
    </row>
    <row r="57" spans="1:5" x14ac:dyDescent="0.25">
      <c r="A57" s="104">
        <v>47</v>
      </c>
      <c r="B57" s="105">
        <v>13.69</v>
      </c>
      <c r="C57" s="105">
        <v>1.83</v>
      </c>
      <c r="D57" s="105">
        <v>13.69</v>
      </c>
      <c r="E57" s="105">
        <v>1.83</v>
      </c>
    </row>
    <row r="58" spans="1:5" x14ac:dyDescent="0.25">
      <c r="A58" s="104">
        <v>48</v>
      </c>
      <c r="B58" s="105">
        <v>14.18</v>
      </c>
      <c r="C58" s="105">
        <v>1.88</v>
      </c>
      <c r="D58" s="105">
        <v>14.18</v>
      </c>
      <c r="E58" s="105">
        <v>1.88</v>
      </c>
    </row>
    <row r="59" spans="1:5" x14ac:dyDescent="0.25">
      <c r="A59" s="104">
        <v>49</v>
      </c>
      <c r="B59" s="105">
        <v>14.69</v>
      </c>
      <c r="C59" s="105">
        <v>1.94</v>
      </c>
      <c r="D59" s="105">
        <v>14.69</v>
      </c>
      <c r="E59" s="105">
        <v>1.94</v>
      </c>
    </row>
    <row r="60" spans="1:5" x14ac:dyDescent="0.25">
      <c r="A60" s="104">
        <v>50</v>
      </c>
      <c r="B60" s="105">
        <v>15.22</v>
      </c>
      <c r="C60" s="105">
        <v>1.99</v>
      </c>
      <c r="D60" s="105">
        <v>15.22</v>
      </c>
      <c r="E60" s="105">
        <v>1.99</v>
      </c>
    </row>
    <row r="61" spans="1:5" x14ac:dyDescent="0.25">
      <c r="A61" s="104">
        <v>51</v>
      </c>
      <c r="B61" s="105">
        <v>15.78</v>
      </c>
      <c r="C61" s="105">
        <v>2.0499999999999998</v>
      </c>
      <c r="D61" s="105">
        <v>15.78</v>
      </c>
      <c r="E61" s="105">
        <v>2.0499999999999998</v>
      </c>
    </row>
    <row r="62" spans="1:5" x14ac:dyDescent="0.25">
      <c r="A62" s="104">
        <v>52</v>
      </c>
      <c r="B62" s="105">
        <v>16.350000000000001</v>
      </c>
      <c r="C62" s="105">
        <v>2.1</v>
      </c>
      <c r="D62" s="105">
        <v>16.350000000000001</v>
      </c>
      <c r="E62" s="105">
        <v>2.1</v>
      </c>
    </row>
    <row r="63" spans="1:5" x14ac:dyDescent="0.25">
      <c r="A63" s="104">
        <v>53</v>
      </c>
      <c r="B63" s="105">
        <v>16.95</v>
      </c>
      <c r="C63" s="105">
        <v>2.15</v>
      </c>
      <c r="D63" s="105">
        <v>16.95</v>
      </c>
      <c r="E63" s="105">
        <v>2.15</v>
      </c>
    </row>
    <row r="64" spans="1:5" x14ac:dyDescent="0.25">
      <c r="A64" s="104">
        <v>54</v>
      </c>
      <c r="B64" s="105">
        <v>17.579999999999998</v>
      </c>
      <c r="C64" s="105">
        <v>2.21</v>
      </c>
      <c r="D64" s="105">
        <v>17.579999999999998</v>
      </c>
      <c r="E64" s="105">
        <v>2.21</v>
      </c>
    </row>
    <row r="65" spans="1:5" x14ac:dyDescent="0.25">
      <c r="A65" s="104">
        <v>55</v>
      </c>
      <c r="B65" s="105">
        <v>18.23</v>
      </c>
      <c r="C65" s="105">
        <v>2.27</v>
      </c>
      <c r="D65" s="105">
        <v>18.23</v>
      </c>
      <c r="E65" s="105">
        <v>2.27</v>
      </c>
    </row>
    <row r="66" spans="1:5" x14ac:dyDescent="0.25">
      <c r="A66" s="104">
        <v>56</v>
      </c>
      <c r="B66" s="105">
        <v>18.91</v>
      </c>
      <c r="C66" s="105">
        <v>2.3199999999999998</v>
      </c>
      <c r="D66" s="105">
        <v>18.91</v>
      </c>
      <c r="E66" s="105">
        <v>2.3199999999999998</v>
      </c>
    </row>
    <row r="67" spans="1:5" x14ac:dyDescent="0.25">
      <c r="A67" s="104">
        <v>57</v>
      </c>
      <c r="B67" s="105">
        <v>19.61</v>
      </c>
      <c r="C67" s="105">
        <v>2.38</v>
      </c>
      <c r="D67" s="105">
        <v>19.61</v>
      </c>
      <c r="E67" s="105">
        <v>2.38</v>
      </c>
    </row>
    <row r="68" spans="1:5" x14ac:dyDescent="0.25">
      <c r="A68" s="104">
        <v>58</v>
      </c>
      <c r="B68" s="105">
        <v>20.36</v>
      </c>
      <c r="C68" s="105">
        <v>2.4300000000000002</v>
      </c>
      <c r="D68" s="105">
        <v>20.36</v>
      </c>
      <c r="E68" s="105">
        <v>2.4300000000000002</v>
      </c>
    </row>
    <row r="69" spans="1:5" x14ac:dyDescent="0.25">
      <c r="A69" s="104">
        <v>59</v>
      </c>
      <c r="B69" s="105">
        <v>21.13</v>
      </c>
      <c r="C69" s="105">
        <v>2.48</v>
      </c>
      <c r="D69" s="105">
        <v>21.13</v>
      </c>
      <c r="E69" s="105">
        <v>2.48</v>
      </c>
    </row>
    <row r="70" spans="1:5" x14ac:dyDescent="0.25">
      <c r="A70" s="104">
        <v>60</v>
      </c>
      <c r="B70" s="105">
        <v>21.21</v>
      </c>
      <c r="C70" s="105">
        <v>2.52</v>
      </c>
      <c r="D70" s="105">
        <v>21.21</v>
      </c>
      <c r="E70" s="105">
        <v>2.52</v>
      </c>
    </row>
    <row r="71" spans="1:5" x14ac:dyDescent="0.25">
      <c r="A71" s="104">
        <v>61</v>
      </c>
      <c r="B71" s="105">
        <v>20.58</v>
      </c>
      <c r="C71" s="105">
        <v>2.5299999999999998</v>
      </c>
      <c r="D71" s="105">
        <v>20.58</v>
      </c>
      <c r="E71" s="105">
        <v>2.5299999999999998</v>
      </c>
    </row>
    <row r="72" spans="1:5" x14ac:dyDescent="0.25">
      <c r="A72" s="104">
        <v>62</v>
      </c>
      <c r="B72" s="105">
        <v>19.940000000000001</v>
      </c>
      <c r="C72" s="105">
        <v>2.54</v>
      </c>
      <c r="D72" s="105">
        <v>19.940000000000001</v>
      </c>
      <c r="E72" s="105">
        <v>2.54</v>
      </c>
    </row>
    <row r="73" spans="1:5" x14ac:dyDescent="0.25">
      <c r="A73" s="104">
        <v>63</v>
      </c>
      <c r="B73" s="105">
        <v>19.309999999999999</v>
      </c>
      <c r="C73" s="105">
        <v>2.5499999999999998</v>
      </c>
      <c r="D73" s="105">
        <v>19.309999999999999</v>
      </c>
      <c r="E73" s="105">
        <v>2.5499999999999998</v>
      </c>
    </row>
    <row r="74" spans="1:5" x14ac:dyDescent="0.25">
      <c r="A74" s="104">
        <v>64</v>
      </c>
      <c r="B74" s="105">
        <v>18.670000000000002</v>
      </c>
      <c r="C74" s="105">
        <v>2.5499999999999998</v>
      </c>
      <c r="D74" s="105">
        <v>18.670000000000002</v>
      </c>
      <c r="E74" s="105">
        <v>2.5499999999999998</v>
      </c>
    </row>
    <row r="75" spans="1:5" x14ac:dyDescent="0.25">
      <c r="A75" s="104">
        <v>65</v>
      </c>
      <c r="B75" s="105">
        <v>18.04</v>
      </c>
      <c r="C75" s="105">
        <v>2.5499999999999998</v>
      </c>
      <c r="D75" s="105">
        <v>18.04</v>
      </c>
      <c r="E75" s="105">
        <v>2.5499999999999998</v>
      </c>
    </row>
    <row r="76" spans="1:5" x14ac:dyDescent="0.25">
      <c r="A76" s="104">
        <v>66</v>
      </c>
      <c r="B76" s="105">
        <v>17.399999999999999</v>
      </c>
      <c r="C76" s="105">
        <v>2.5499999999999998</v>
      </c>
      <c r="D76" s="105">
        <v>17.399999999999999</v>
      </c>
      <c r="E76" s="105">
        <v>2.5499999999999998</v>
      </c>
    </row>
    <row r="77" spans="1:5" x14ac:dyDescent="0.25">
      <c r="A77" s="104">
        <v>67</v>
      </c>
      <c r="B77" s="105">
        <v>16.760000000000002</v>
      </c>
      <c r="C77" s="105">
        <v>2.5499999999999998</v>
      </c>
      <c r="D77" s="105">
        <v>16.760000000000002</v>
      </c>
      <c r="E77" s="105">
        <v>2.5499999999999998</v>
      </c>
    </row>
    <row r="78" spans="1:5" x14ac:dyDescent="0.25">
      <c r="A78" s="104">
        <v>68</v>
      </c>
      <c r="B78" s="105">
        <v>16.12</v>
      </c>
      <c r="C78" s="105">
        <v>2.5499999999999998</v>
      </c>
      <c r="D78" s="105">
        <v>16.12</v>
      </c>
      <c r="E78" s="105">
        <v>2.5499999999999998</v>
      </c>
    </row>
    <row r="79" spans="1:5" x14ac:dyDescent="0.25">
      <c r="A79" s="104">
        <v>69</v>
      </c>
      <c r="B79" s="105">
        <v>15.48</v>
      </c>
      <c r="C79" s="105">
        <v>2.54</v>
      </c>
      <c r="D79" s="105">
        <v>15.48</v>
      </c>
      <c r="E79" s="105">
        <v>2.54</v>
      </c>
    </row>
    <row r="80" spans="1:5" x14ac:dyDescent="0.25">
      <c r="A80" s="104">
        <v>70</v>
      </c>
      <c r="B80" s="105">
        <v>14.84</v>
      </c>
      <c r="C80" s="105">
        <v>2.5299999999999998</v>
      </c>
      <c r="D80" s="105">
        <v>14.84</v>
      </c>
      <c r="E80" s="105">
        <v>2.5299999999999998</v>
      </c>
    </row>
    <row r="81" spans="1:5" x14ac:dyDescent="0.25">
      <c r="A81" s="104">
        <v>71</v>
      </c>
      <c r="B81" s="105">
        <v>14.2</v>
      </c>
      <c r="C81" s="105">
        <v>2.5099999999999998</v>
      </c>
      <c r="D81" s="105">
        <v>14.2</v>
      </c>
      <c r="E81" s="105">
        <v>2.5099999999999998</v>
      </c>
    </row>
    <row r="82" spans="1:5" x14ac:dyDescent="0.25">
      <c r="A82" s="104">
        <v>72</v>
      </c>
      <c r="B82" s="105">
        <v>13.57</v>
      </c>
      <c r="C82" s="105">
        <v>2.5</v>
      </c>
      <c r="D82" s="105">
        <v>13.57</v>
      </c>
      <c r="E82" s="105">
        <v>2.5</v>
      </c>
    </row>
    <row r="83" spans="1:5" x14ac:dyDescent="0.25">
      <c r="A83" s="104">
        <v>73</v>
      </c>
      <c r="B83" s="105">
        <v>12.94</v>
      </c>
      <c r="C83" s="105">
        <v>2.4700000000000002</v>
      </c>
      <c r="D83" s="105">
        <v>12.94</v>
      </c>
      <c r="E83" s="105">
        <v>2.4700000000000002</v>
      </c>
    </row>
    <row r="84" spans="1:5" x14ac:dyDescent="0.25">
      <c r="A84" s="104">
        <v>74</v>
      </c>
      <c r="B84" s="105">
        <v>12.31</v>
      </c>
      <c r="C84" s="105">
        <v>2.4500000000000002</v>
      </c>
      <c r="D84" s="105">
        <v>12.31</v>
      </c>
      <c r="E84" s="105">
        <v>2.4500000000000002</v>
      </c>
    </row>
    <row r="85" spans="1:5" x14ac:dyDescent="0.25">
      <c r="A85" s="104">
        <v>75</v>
      </c>
      <c r="B85" s="105">
        <v>11.69</v>
      </c>
      <c r="C85" s="105">
        <v>2.42</v>
      </c>
      <c r="D85" s="105">
        <v>11.69</v>
      </c>
      <c r="E85" s="105">
        <v>2.42</v>
      </c>
    </row>
  </sheetData>
  <sheetProtection algorithmName="SHA-512" hashValue="TwmTqIer6tOh6mb7TyWRwgT4LWctJfGn2+aEZPEQljy7VE1MAWCpRP8nJGsBEJhgvRxNAKU7F11oDHIR65nbvQ==" saltValue="g7wgs+0+MGSFZjQRF+95uw==" spinCount="100000" sheet="1" objects="1" scenarios="1"/>
  <conditionalFormatting sqref="A6:A21">
    <cfRule type="expression" dxfId="1491" priority="5" stopIfTrue="1">
      <formula>MOD(ROW(),2)=0</formula>
    </cfRule>
    <cfRule type="expression" dxfId="1490" priority="6" stopIfTrue="1">
      <formula>MOD(ROW(),2)&lt;&gt;0</formula>
    </cfRule>
  </conditionalFormatting>
  <conditionalFormatting sqref="A26:A85">
    <cfRule type="expression" dxfId="1489" priority="1" stopIfTrue="1">
      <formula>MOD(ROW(),2)=0</formula>
    </cfRule>
    <cfRule type="expression" dxfId="1488" priority="2" stopIfTrue="1">
      <formula>MOD(ROW(),2)&lt;&gt;0</formula>
    </cfRule>
  </conditionalFormatting>
  <conditionalFormatting sqref="B6:E21">
    <cfRule type="expression" dxfId="1487" priority="13" stopIfTrue="1">
      <formula>MOD(ROW(),2)=0</formula>
    </cfRule>
    <cfRule type="expression" dxfId="1486" priority="14" stopIfTrue="1">
      <formula>MOD(ROW(),2)&lt;&gt;0</formula>
    </cfRule>
  </conditionalFormatting>
  <conditionalFormatting sqref="B26:E85">
    <cfRule type="expression" dxfId="1485" priority="3" stopIfTrue="1">
      <formula>MOD(ROW(),2)=0</formula>
    </cfRule>
    <cfRule type="expression" dxfId="1484" priority="4" stopIfTrue="1">
      <formula>MOD(ROW(),2)&lt;&gt;0</formula>
    </cfRule>
  </conditionalFormatting>
  <hyperlinks>
    <hyperlink ref="B24" location="Sheet1!A1" display="Assumptions" xr:uid="{D174EC97-D6AD-4ABF-84A6-4D75B8B9A55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93"/>
  <dimension ref="A1:I86"/>
  <sheetViews>
    <sheetView showGridLines="0" zoomScale="85" zoomScaleNormal="85" workbookViewId="0">
      <selection activeCell="A4" sqref="A4"/>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Added pension - x-715</v>
      </c>
      <c r="B3" s="42"/>
      <c r="C3" s="42"/>
      <c r="D3" s="42"/>
      <c r="E3" s="42"/>
      <c r="F3" s="42"/>
      <c r="G3" s="42"/>
      <c r="H3" s="42"/>
      <c r="I3" s="42"/>
    </row>
    <row r="4" spans="1:9" x14ac:dyDescent="0.25">
      <c r="A4" s="44"/>
    </row>
    <row r="6" spans="1:9" x14ac:dyDescent="0.25">
      <c r="A6" s="76" t="s">
        <v>290</v>
      </c>
      <c r="B6" s="129" t="s">
        <v>291</v>
      </c>
      <c r="C6" s="129"/>
      <c r="D6" s="129"/>
    </row>
    <row r="7" spans="1:9" x14ac:dyDescent="0.25">
      <c r="A7" s="77" t="s">
        <v>804</v>
      </c>
      <c r="B7" s="129" t="s">
        <v>324</v>
      </c>
      <c r="C7" s="129"/>
      <c r="D7" s="129"/>
    </row>
    <row r="8" spans="1:9" x14ac:dyDescent="0.25">
      <c r="A8" s="77" t="s">
        <v>805</v>
      </c>
      <c r="B8" s="129" t="s">
        <v>85</v>
      </c>
      <c r="C8" s="129"/>
      <c r="D8" s="129"/>
    </row>
    <row r="9" spans="1:9" x14ac:dyDescent="0.25">
      <c r="A9" s="77" t="s">
        <v>296</v>
      </c>
      <c r="B9" s="129" t="s">
        <v>605</v>
      </c>
      <c r="C9" s="129"/>
      <c r="D9" s="129"/>
    </row>
    <row r="10" spans="1:9" x14ac:dyDescent="0.25">
      <c r="A10" s="77" t="s">
        <v>6</v>
      </c>
      <c r="B10" s="129" t="s">
        <v>610</v>
      </c>
      <c r="C10" s="129"/>
      <c r="D10" s="129"/>
    </row>
    <row r="11" spans="1:9" x14ac:dyDescent="0.25">
      <c r="A11" s="77" t="s">
        <v>299</v>
      </c>
      <c r="B11" s="129" t="s">
        <v>607</v>
      </c>
      <c r="C11" s="129"/>
      <c r="D11" s="129"/>
    </row>
    <row r="12" spans="1:9" x14ac:dyDescent="0.25">
      <c r="A12" s="77" t="s">
        <v>301</v>
      </c>
      <c r="B12" s="129" t="s">
        <v>328</v>
      </c>
      <c r="C12" s="129"/>
      <c r="D12" s="129"/>
    </row>
    <row r="13" spans="1:9" x14ac:dyDescent="0.25">
      <c r="A13" s="77" t="s">
        <v>806</v>
      </c>
      <c r="B13" s="129">
        <v>0</v>
      </c>
      <c r="C13" s="129"/>
      <c r="D13" s="129"/>
    </row>
    <row r="14" spans="1:9" x14ac:dyDescent="0.25">
      <c r="A14" s="77" t="s">
        <v>305</v>
      </c>
      <c r="B14" s="129">
        <v>715</v>
      </c>
      <c r="C14" s="129"/>
      <c r="D14" s="129"/>
    </row>
    <row r="15" spans="1:9" x14ac:dyDescent="0.25">
      <c r="A15" s="77" t="s">
        <v>307</v>
      </c>
      <c r="B15" s="129" t="s">
        <v>611</v>
      </c>
      <c r="C15" s="129"/>
      <c r="D15" s="129"/>
    </row>
    <row r="16" spans="1:9" x14ac:dyDescent="0.25">
      <c r="A16" s="77" t="s">
        <v>825</v>
      </c>
      <c r="B16" s="129" t="s">
        <v>612</v>
      </c>
      <c r="C16" s="129"/>
      <c r="D16" s="129"/>
    </row>
    <row r="17" spans="1:4" x14ac:dyDescent="0.25">
      <c r="A17" s="77" t="s">
        <v>803</v>
      </c>
      <c r="B17" s="129"/>
      <c r="C17" s="129"/>
      <c r="D17" s="129"/>
    </row>
    <row r="18" spans="1:4" x14ac:dyDescent="0.25">
      <c r="A18" s="77" t="s">
        <v>313</v>
      </c>
      <c r="B18" s="187">
        <v>45184</v>
      </c>
      <c r="C18" s="129"/>
      <c r="D18" s="129"/>
    </row>
    <row r="19" spans="1:4" x14ac:dyDescent="0.25">
      <c r="A19" s="77" t="s">
        <v>315</v>
      </c>
      <c r="B19" s="187"/>
      <c r="C19" s="129"/>
      <c r="D19" s="129"/>
    </row>
    <row r="20" spans="1:4" x14ac:dyDescent="0.25">
      <c r="A20" s="77" t="s">
        <v>317</v>
      </c>
      <c r="B20" s="129" t="s">
        <v>331</v>
      </c>
      <c r="C20" s="129"/>
      <c r="D20" s="129"/>
    </row>
    <row r="21" spans="1:4" x14ac:dyDescent="0.25">
      <c r="A21" s="77" t="s">
        <v>323</v>
      </c>
      <c r="B21" s="129" t="s">
        <v>332</v>
      </c>
      <c r="C21" s="129"/>
      <c r="D21" s="129"/>
    </row>
    <row r="23" spans="1:4" x14ac:dyDescent="0.25">
      <c r="B23" s="102" t="str">
        <f>HYPERLINK("#'Factor List'!A1","Back to Factor List")</f>
        <v>Back to Factor List</v>
      </c>
    </row>
    <row r="24" spans="1:4" x14ac:dyDescent="0.25">
      <c r="B24" s="102" t="s">
        <v>13</v>
      </c>
    </row>
    <row r="25" spans="1:4" x14ac:dyDescent="0.25">
      <c r="B25" s="102"/>
    </row>
    <row r="26" spans="1:4" ht="26.4" x14ac:dyDescent="0.25">
      <c r="A26" s="103" t="s">
        <v>373</v>
      </c>
      <c r="B26" s="103" t="s">
        <v>956</v>
      </c>
      <c r="C26" s="103" t="s">
        <v>957</v>
      </c>
      <c r="D26" s="103" t="s">
        <v>958</v>
      </c>
    </row>
    <row r="27" spans="1:4" x14ac:dyDescent="0.25">
      <c r="A27" s="104">
        <v>16</v>
      </c>
      <c r="B27" s="105">
        <v>3.33</v>
      </c>
      <c r="C27" s="105">
        <v>3.33</v>
      </c>
      <c r="D27" s="105">
        <v>3.62</v>
      </c>
    </row>
    <row r="28" spans="1:4" x14ac:dyDescent="0.25">
      <c r="A28" s="104">
        <v>17</v>
      </c>
      <c r="B28" s="105">
        <v>3.45</v>
      </c>
      <c r="C28" s="105">
        <v>3.45</v>
      </c>
      <c r="D28" s="105">
        <v>3.75</v>
      </c>
    </row>
    <row r="29" spans="1:4" x14ac:dyDescent="0.25">
      <c r="A29" s="104">
        <v>18</v>
      </c>
      <c r="B29" s="105">
        <v>3.56</v>
      </c>
      <c r="C29" s="105">
        <v>3.56</v>
      </c>
      <c r="D29" s="105">
        <v>3.9</v>
      </c>
    </row>
    <row r="30" spans="1:4" x14ac:dyDescent="0.25">
      <c r="A30" s="104">
        <v>19</v>
      </c>
      <c r="B30" s="105">
        <v>3.69</v>
      </c>
      <c r="C30" s="105">
        <v>3.69</v>
      </c>
      <c r="D30" s="105">
        <v>4.04</v>
      </c>
    </row>
    <row r="31" spans="1:4" x14ac:dyDescent="0.25">
      <c r="A31" s="104">
        <v>20</v>
      </c>
      <c r="B31" s="105">
        <v>3.82</v>
      </c>
      <c r="C31" s="105">
        <v>3.82</v>
      </c>
      <c r="D31" s="105">
        <v>4.18</v>
      </c>
    </row>
    <row r="32" spans="1:4" x14ac:dyDescent="0.25">
      <c r="A32" s="104">
        <v>21</v>
      </c>
      <c r="B32" s="105">
        <v>3.95</v>
      </c>
      <c r="C32" s="105">
        <v>3.95</v>
      </c>
      <c r="D32" s="105">
        <v>4.33</v>
      </c>
    </row>
    <row r="33" spans="1:4" x14ac:dyDescent="0.25">
      <c r="A33" s="104">
        <v>22</v>
      </c>
      <c r="B33" s="105">
        <v>4.08</v>
      </c>
      <c r="C33" s="105">
        <v>4.08</v>
      </c>
      <c r="D33" s="105">
        <v>4.4800000000000004</v>
      </c>
    </row>
    <row r="34" spans="1:4" x14ac:dyDescent="0.25">
      <c r="A34" s="104">
        <v>23</v>
      </c>
      <c r="B34" s="105">
        <v>4.2300000000000004</v>
      </c>
      <c r="C34" s="105">
        <v>4.2300000000000004</v>
      </c>
      <c r="D34" s="105">
        <v>4.63</v>
      </c>
    </row>
    <row r="35" spans="1:4" x14ac:dyDescent="0.25">
      <c r="A35" s="104">
        <v>24</v>
      </c>
      <c r="B35" s="105">
        <v>4.37</v>
      </c>
      <c r="C35" s="105">
        <v>4.37</v>
      </c>
      <c r="D35" s="105">
        <v>4.79</v>
      </c>
    </row>
    <row r="36" spans="1:4" x14ac:dyDescent="0.25">
      <c r="A36" s="104">
        <v>25</v>
      </c>
      <c r="B36" s="105">
        <v>4.5199999999999996</v>
      </c>
      <c r="C36" s="105">
        <v>4.5199999999999996</v>
      </c>
      <c r="D36" s="105">
        <v>4.96</v>
      </c>
    </row>
    <row r="37" spans="1:4" x14ac:dyDescent="0.25">
      <c r="A37" s="104">
        <v>26</v>
      </c>
      <c r="B37" s="105">
        <v>4.68</v>
      </c>
      <c r="C37" s="105">
        <v>4.68</v>
      </c>
      <c r="D37" s="105">
        <v>5.13</v>
      </c>
    </row>
    <row r="38" spans="1:4" x14ac:dyDescent="0.25">
      <c r="A38" s="104">
        <v>27</v>
      </c>
      <c r="B38" s="105">
        <v>4.84</v>
      </c>
      <c r="C38" s="105">
        <v>4.84</v>
      </c>
      <c r="D38" s="105">
        <v>5.31</v>
      </c>
    </row>
    <row r="39" spans="1:4" x14ac:dyDescent="0.25">
      <c r="A39" s="104">
        <v>28</v>
      </c>
      <c r="B39" s="105">
        <v>5.01</v>
      </c>
      <c r="C39" s="105">
        <v>5.01</v>
      </c>
      <c r="D39" s="105">
        <v>5.49</v>
      </c>
    </row>
    <row r="40" spans="1:4" x14ac:dyDescent="0.25">
      <c r="A40" s="104">
        <v>29</v>
      </c>
      <c r="B40" s="105">
        <v>5.18</v>
      </c>
      <c r="C40" s="105">
        <v>5.18</v>
      </c>
      <c r="D40" s="105">
        <v>5.68</v>
      </c>
    </row>
    <row r="41" spans="1:4" x14ac:dyDescent="0.25">
      <c r="A41" s="104">
        <v>30</v>
      </c>
      <c r="B41" s="105">
        <v>5.36</v>
      </c>
      <c r="C41" s="105">
        <v>5.36</v>
      </c>
      <c r="D41" s="105">
        <v>5.88</v>
      </c>
    </row>
    <row r="42" spans="1:4" x14ac:dyDescent="0.25">
      <c r="A42" s="104">
        <v>31</v>
      </c>
      <c r="B42" s="105">
        <v>5.55</v>
      </c>
      <c r="C42" s="105">
        <v>5.55</v>
      </c>
      <c r="D42" s="105">
        <v>6.08</v>
      </c>
    </row>
    <row r="43" spans="1:4" x14ac:dyDescent="0.25">
      <c r="A43" s="104">
        <v>32</v>
      </c>
      <c r="B43" s="105">
        <v>5.74</v>
      </c>
      <c r="C43" s="105">
        <v>5.74</v>
      </c>
      <c r="D43" s="105">
        <v>6.29</v>
      </c>
    </row>
    <row r="44" spans="1:4" x14ac:dyDescent="0.25">
      <c r="A44" s="104">
        <v>33</v>
      </c>
      <c r="B44" s="105">
        <v>5.93</v>
      </c>
      <c r="C44" s="105">
        <v>5.93</v>
      </c>
      <c r="D44" s="105">
        <v>6.5</v>
      </c>
    </row>
    <row r="45" spans="1:4" x14ac:dyDescent="0.25">
      <c r="A45" s="104">
        <v>34</v>
      </c>
      <c r="B45" s="105">
        <v>6.14</v>
      </c>
      <c r="C45" s="105">
        <v>6.14</v>
      </c>
      <c r="D45" s="105">
        <v>6.73</v>
      </c>
    </row>
    <row r="46" spans="1:4" x14ac:dyDescent="0.25">
      <c r="A46" s="104">
        <v>35</v>
      </c>
      <c r="B46" s="105">
        <v>6.34</v>
      </c>
      <c r="C46" s="105">
        <v>6.34</v>
      </c>
      <c r="D46" s="105">
        <v>6.96</v>
      </c>
    </row>
    <row r="47" spans="1:4" x14ac:dyDescent="0.25">
      <c r="A47" s="104">
        <v>36</v>
      </c>
      <c r="B47" s="105">
        <v>6.56</v>
      </c>
      <c r="C47" s="105">
        <v>6.56</v>
      </c>
      <c r="D47" s="105">
        <v>7.19</v>
      </c>
    </row>
    <row r="48" spans="1:4" x14ac:dyDescent="0.25">
      <c r="A48" s="104">
        <v>37</v>
      </c>
      <c r="B48" s="105">
        <v>6.78</v>
      </c>
      <c r="C48" s="105">
        <v>6.78</v>
      </c>
      <c r="D48" s="105">
        <v>7.44</v>
      </c>
    </row>
    <row r="49" spans="1:4" x14ac:dyDescent="0.25">
      <c r="A49" s="104">
        <v>38</v>
      </c>
      <c r="B49" s="105">
        <v>7.01</v>
      </c>
      <c r="C49" s="105">
        <v>7.01</v>
      </c>
      <c r="D49" s="105">
        <v>7.69</v>
      </c>
    </row>
    <row r="50" spans="1:4" x14ac:dyDescent="0.25">
      <c r="A50" s="104">
        <v>39</v>
      </c>
      <c r="B50" s="105">
        <v>7.25</v>
      </c>
      <c r="C50" s="105">
        <v>7.25</v>
      </c>
      <c r="D50" s="105">
        <v>7.95</v>
      </c>
    </row>
    <row r="51" spans="1:4" x14ac:dyDescent="0.25">
      <c r="A51" s="104">
        <v>40</v>
      </c>
      <c r="B51" s="105">
        <v>7.5</v>
      </c>
      <c r="C51" s="105">
        <v>7.5</v>
      </c>
      <c r="D51" s="105">
        <v>8.2200000000000006</v>
      </c>
    </row>
    <row r="52" spans="1:4" x14ac:dyDescent="0.25">
      <c r="A52" s="104">
        <v>41</v>
      </c>
      <c r="B52" s="105">
        <v>7.75</v>
      </c>
      <c r="C52" s="105">
        <v>7.75</v>
      </c>
      <c r="D52" s="105">
        <v>8.49</v>
      </c>
    </row>
    <row r="53" spans="1:4" x14ac:dyDescent="0.25">
      <c r="A53" s="104">
        <v>42</v>
      </c>
      <c r="B53" s="105">
        <v>8.01</v>
      </c>
      <c r="C53" s="105">
        <v>8.01</v>
      </c>
      <c r="D53" s="105">
        <v>8.7799999999999994</v>
      </c>
    </row>
    <row r="54" spans="1:4" x14ac:dyDescent="0.25">
      <c r="A54" s="104">
        <v>43</v>
      </c>
      <c r="B54" s="105">
        <v>8.2799999999999994</v>
      </c>
      <c r="C54" s="105">
        <v>8.2799999999999994</v>
      </c>
      <c r="D54" s="105">
        <v>9.08</v>
      </c>
    </row>
    <row r="55" spans="1:4" x14ac:dyDescent="0.25">
      <c r="A55" s="104">
        <v>44</v>
      </c>
      <c r="B55" s="105">
        <v>8.56</v>
      </c>
      <c r="C55" s="105">
        <v>8.56</v>
      </c>
      <c r="D55" s="105">
        <v>9.3800000000000008</v>
      </c>
    </row>
    <row r="56" spans="1:4" x14ac:dyDescent="0.25">
      <c r="A56" s="104">
        <v>45</v>
      </c>
      <c r="B56" s="105">
        <v>8.85</v>
      </c>
      <c r="C56" s="105">
        <v>8.85</v>
      </c>
      <c r="D56" s="105">
        <v>9.6999999999999993</v>
      </c>
    </row>
    <row r="57" spans="1:4" x14ac:dyDescent="0.25">
      <c r="A57" s="104">
        <v>46</v>
      </c>
      <c r="B57" s="105">
        <v>9.15</v>
      </c>
      <c r="C57" s="105">
        <v>9.15</v>
      </c>
      <c r="D57" s="105">
        <v>10.02</v>
      </c>
    </row>
    <row r="58" spans="1:4" x14ac:dyDescent="0.25">
      <c r="A58" s="104">
        <v>47</v>
      </c>
      <c r="B58" s="105">
        <v>9.4600000000000009</v>
      </c>
      <c r="C58" s="105">
        <v>9.4600000000000009</v>
      </c>
      <c r="D58" s="105">
        <v>10.36</v>
      </c>
    </row>
    <row r="59" spans="1:4" x14ac:dyDescent="0.25">
      <c r="A59" s="104">
        <v>48</v>
      </c>
      <c r="B59" s="105">
        <v>9.7799999999999994</v>
      </c>
      <c r="C59" s="105">
        <v>9.7799999999999994</v>
      </c>
      <c r="D59" s="105">
        <v>10.7</v>
      </c>
    </row>
    <row r="60" spans="1:4" x14ac:dyDescent="0.25">
      <c r="A60" s="104">
        <v>49</v>
      </c>
      <c r="B60" s="105">
        <v>10.1</v>
      </c>
      <c r="C60" s="105">
        <v>10.1</v>
      </c>
      <c r="D60" s="105">
        <v>11.06</v>
      </c>
    </row>
    <row r="61" spans="1:4" x14ac:dyDescent="0.25">
      <c r="A61" s="104">
        <v>50</v>
      </c>
      <c r="B61" s="105">
        <v>10.44</v>
      </c>
      <c r="C61" s="105">
        <v>10.44</v>
      </c>
      <c r="D61" s="105">
        <v>11.43</v>
      </c>
    </row>
    <row r="62" spans="1:4" x14ac:dyDescent="0.25">
      <c r="A62" s="104">
        <v>51</v>
      </c>
      <c r="B62" s="105">
        <v>10.8</v>
      </c>
      <c r="C62" s="105">
        <v>10.8</v>
      </c>
      <c r="D62" s="105">
        <v>11.81</v>
      </c>
    </row>
    <row r="63" spans="1:4" x14ac:dyDescent="0.25">
      <c r="A63" s="104">
        <v>52</v>
      </c>
      <c r="B63" s="105">
        <v>11.16</v>
      </c>
      <c r="C63" s="105">
        <v>11.16</v>
      </c>
      <c r="D63" s="105">
        <v>12.2</v>
      </c>
    </row>
    <row r="64" spans="1:4" x14ac:dyDescent="0.25">
      <c r="A64" s="104">
        <v>53</v>
      </c>
      <c r="B64" s="105">
        <v>11.53</v>
      </c>
      <c r="C64" s="105">
        <v>11.53</v>
      </c>
      <c r="D64" s="105">
        <v>12.61</v>
      </c>
    </row>
    <row r="65" spans="1:4" x14ac:dyDescent="0.25">
      <c r="A65" s="104">
        <v>54</v>
      </c>
      <c r="B65" s="105">
        <v>11.92</v>
      </c>
      <c r="C65" s="105">
        <v>11.92</v>
      </c>
      <c r="D65" s="105">
        <v>13.03</v>
      </c>
    </row>
    <row r="66" spans="1:4" x14ac:dyDescent="0.25">
      <c r="A66" s="104">
        <v>55</v>
      </c>
      <c r="B66" s="105">
        <v>12.33</v>
      </c>
      <c r="C66" s="105">
        <v>12.33</v>
      </c>
      <c r="D66" s="105">
        <v>13.46</v>
      </c>
    </row>
    <row r="67" spans="1:4" x14ac:dyDescent="0.25">
      <c r="A67" s="104">
        <v>56</v>
      </c>
      <c r="B67" s="105">
        <v>12.75</v>
      </c>
      <c r="C67" s="105">
        <v>12.75</v>
      </c>
      <c r="D67" s="105">
        <v>13.91</v>
      </c>
    </row>
    <row r="68" spans="1:4" x14ac:dyDescent="0.25">
      <c r="A68" s="104">
        <v>57</v>
      </c>
      <c r="B68" s="105">
        <v>13.18</v>
      </c>
      <c r="C68" s="105">
        <v>13.18</v>
      </c>
      <c r="D68" s="105">
        <v>14.38</v>
      </c>
    </row>
    <row r="69" spans="1:4" x14ac:dyDescent="0.25">
      <c r="A69" s="104">
        <v>58</v>
      </c>
      <c r="B69" s="105">
        <v>13.64</v>
      </c>
      <c r="C69" s="105">
        <v>13.64</v>
      </c>
      <c r="D69" s="105">
        <v>14.86</v>
      </c>
    </row>
    <row r="70" spans="1:4" x14ac:dyDescent="0.25">
      <c r="A70" s="104">
        <v>59</v>
      </c>
      <c r="B70" s="105">
        <v>14.11</v>
      </c>
      <c r="C70" s="105">
        <v>14.11</v>
      </c>
      <c r="D70" s="105">
        <v>15.36</v>
      </c>
    </row>
    <row r="71" spans="1:4" x14ac:dyDescent="0.25">
      <c r="A71" s="104">
        <v>60</v>
      </c>
      <c r="B71" s="105">
        <v>14.6</v>
      </c>
      <c r="C71" s="105">
        <v>14.6</v>
      </c>
      <c r="D71" s="105">
        <v>15.89</v>
      </c>
    </row>
    <row r="72" spans="1:4" x14ac:dyDescent="0.25">
      <c r="A72" s="104">
        <v>61</v>
      </c>
      <c r="B72" s="105">
        <v>15.12</v>
      </c>
      <c r="C72" s="105">
        <v>15.12</v>
      </c>
      <c r="D72" s="105">
        <v>16.440000000000001</v>
      </c>
    </row>
    <row r="73" spans="1:4" x14ac:dyDescent="0.25">
      <c r="A73" s="104">
        <v>62</v>
      </c>
      <c r="B73" s="105">
        <v>15.66</v>
      </c>
      <c r="C73" s="105">
        <v>15.66</v>
      </c>
      <c r="D73" s="105">
        <v>17.010000000000002</v>
      </c>
    </row>
    <row r="74" spans="1:4" x14ac:dyDescent="0.25">
      <c r="A74" s="104">
        <v>63</v>
      </c>
      <c r="B74" s="105">
        <v>16.23</v>
      </c>
      <c r="C74" s="105">
        <v>16.23</v>
      </c>
      <c r="D74" s="105">
        <v>17.61</v>
      </c>
    </row>
    <row r="75" spans="1:4" x14ac:dyDescent="0.25">
      <c r="A75" s="104">
        <v>64</v>
      </c>
      <c r="B75" s="105">
        <v>16.84</v>
      </c>
      <c r="C75" s="105">
        <v>16.84</v>
      </c>
      <c r="D75" s="105">
        <v>18.25</v>
      </c>
    </row>
    <row r="76" spans="1:4" x14ac:dyDescent="0.25">
      <c r="A76" s="104">
        <v>65</v>
      </c>
      <c r="B76" s="105">
        <v>17.48</v>
      </c>
      <c r="C76" s="105">
        <v>17.48</v>
      </c>
      <c r="D76" s="105">
        <v>18.920000000000002</v>
      </c>
    </row>
    <row r="77" spans="1:4" x14ac:dyDescent="0.25">
      <c r="A77" s="104">
        <v>66</v>
      </c>
      <c r="B77" s="105">
        <v>17.5</v>
      </c>
      <c r="C77" s="105">
        <v>17.5</v>
      </c>
      <c r="D77" s="105">
        <v>18.95</v>
      </c>
    </row>
    <row r="78" spans="1:4" x14ac:dyDescent="0.25">
      <c r="A78" s="104">
        <v>67</v>
      </c>
      <c r="B78" s="105">
        <v>16.87</v>
      </c>
      <c r="C78" s="105">
        <v>16.87</v>
      </c>
      <c r="D78" s="105">
        <v>18.32</v>
      </c>
    </row>
    <row r="79" spans="1:4" x14ac:dyDescent="0.25">
      <c r="A79" s="104">
        <v>68</v>
      </c>
      <c r="B79" s="105">
        <v>16.239999999999998</v>
      </c>
      <c r="C79" s="105">
        <v>16.239999999999998</v>
      </c>
      <c r="D79" s="105">
        <v>17.690000000000001</v>
      </c>
    </row>
    <row r="80" spans="1:4" x14ac:dyDescent="0.25">
      <c r="A80" s="104">
        <v>69</v>
      </c>
      <c r="B80" s="105">
        <v>15.61</v>
      </c>
      <c r="C80" s="105">
        <v>15.61</v>
      </c>
      <c r="D80" s="105">
        <v>17.059999999999999</v>
      </c>
    </row>
    <row r="81" spans="1:4" x14ac:dyDescent="0.25">
      <c r="A81" s="104">
        <v>70</v>
      </c>
      <c r="B81" s="105">
        <v>14.99</v>
      </c>
      <c r="C81" s="105">
        <v>14.99</v>
      </c>
      <c r="D81" s="105">
        <v>16.43</v>
      </c>
    </row>
    <row r="82" spans="1:4" x14ac:dyDescent="0.25">
      <c r="A82" s="104">
        <v>71</v>
      </c>
      <c r="B82" s="105">
        <v>14.37</v>
      </c>
      <c r="C82" s="105">
        <v>14.37</v>
      </c>
      <c r="D82" s="105">
        <v>15.8</v>
      </c>
    </row>
    <row r="83" spans="1:4" x14ac:dyDescent="0.25">
      <c r="A83" s="104">
        <v>72</v>
      </c>
      <c r="B83" s="105">
        <v>13.76</v>
      </c>
      <c r="C83" s="105">
        <v>13.76</v>
      </c>
      <c r="D83" s="105">
        <v>15.18</v>
      </c>
    </row>
    <row r="84" spans="1:4" x14ac:dyDescent="0.25">
      <c r="A84" s="104">
        <v>73</v>
      </c>
      <c r="B84" s="105">
        <v>13.15</v>
      </c>
      <c r="C84" s="105">
        <v>13.15</v>
      </c>
      <c r="D84" s="105">
        <v>14.56</v>
      </c>
    </row>
    <row r="85" spans="1:4" x14ac:dyDescent="0.25">
      <c r="A85" s="104">
        <v>74</v>
      </c>
      <c r="B85" s="105">
        <v>12.56</v>
      </c>
      <c r="C85" s="105">
        <v>12.56</v>
      </c>
      <c r="D85" s="105">
        <v>13.95</v>
      </c>
    </row>
    <row r="86" spans="1:4" x14ac:dyDescent="0.25">
      <c r="A86" s="104">
        <v>75</v>
      </c>
      <c r="B86" s="105">
        <v>12.26</v>
      </c>
      <c r="C86" s="105">
        <v>12.26</v>
      </c>
      <c r="D86" s="105">
        <v>13.65</v>
      </c>
    </row>
  </sheetData>
  <sheetProtection algorithmName="SHA-512" hashValue="YlN8BlYBXG7SUOokzW7+J0Rnh7s/yBZWLcLg1UmD2GiUmk/aipbCNhGiM6UTR2Y9wlnUedkybie0Ng835sNtSQ==" saltValue="XcCvmgpiIQV6mvyBGDq+Cg==" spinCount="100000" sheet="1" objects="1" scenarios="1"/>
  <conditionalFormatting sqref="A6:A21">
    <cfRule type="expression" dxfId="497" priority="1" stopIfTrue="1">
      <formula>MOD(ROW(),2)=0</formula>
    </cfRule>
    <cfRule type="expression" dxfId="496" priority="2" stopIfTrue="1">
      <formula>MOD(ROW(),2)&lt;&gt;0</formula>
    </cfRule>
  </conditionalFormatting>
  <conditionalFormatting sqref="A26:A86">
    <cfRule type="expression" dxfId="495" priority="5" stopIfTrue="1">
      <formula>MOD(ROW(),2)=0</formula>
    </cfRule>
    <cfRule type="expression" dxfId="494" priority="6" stopIfTrue="1">
      <formula>MOD(ROW(),2)&lt;&gt;0</formula>
    </cfRule>
  </conditionalFormatting>
  <conditionalFormatting sqref="B12">
    <cfRule type="expression" dxfId="493" priority="13" stopIfTrue="1">
      <formula>MOD(ROW(),2)=0</formula>
    </cfRule>
    <cfRule type="expression" dxfId="492" priority="14" stopIfTrue="1">
      <formula>MOD(ROW(),2)&lt;&gt;0</formula>
    </cfRule>
  </conditionalFormatting>
  <conditionalFormatting sqref="B18:B21">
    <cfRule type="expression" dxfId="491" priority="9" stopIfTrue="1">
      <formula>MOD(ROW(),2)=0</formula>
    </cfRule>
    <cfRule type="expression" dxfId="490" priority="10" stopIfTrue="1">
      <formula>MOD(ROW(),2)&lt;&gt;0</formula>
    </cfRule>
  </conditionalFormatting>
  <conditionalFormatting sqref="B6:D21">
    <cfRule type="expression" dxfId="489" priority="23" stopIfTrue="1">
      <formula>MOD(ROW(),2)=0</formula>
    </cfRule>
    <cfRule type="expression" dxfId="488" priority="24" stopIfTrue="1">
      <formula>MOD(ROW(),2)&lt;&gt;0</formula>
    </cfRule>
  </conditionalFormatting>
  <conditionalFormatting sqref="B26:D86">
    <cfRule type="expression" dxfId="487" priority="7" stopIfTrue="1">
      <formula>MOD(ROW(),2)=0</formula>
    </cfRule>
    <cfRule type="expression" dxfId="486" priority="8" stopIfTrue="1">
      <formula>MOD(ROW(),2)&lt;&gt;0</formula>
    </cfRule>
  </conditionalFormatting>
  <hyperlinks>
    <hyperlink ref="B24" location="Sheet1!A1" display="Assumptions" xr:uid="{7A6F2F9D-1201-48DA-89AE-1F10FED1FFF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94"/>
  <dimension ref="A1:I86"/>
  <sheetViews>
    <sheetView showGridLines="0" zoomScale="85" zoomScaleNormal="85" workbookViewId="0">
      <selection activeCell="A4" sqref="A4"/>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Added pension - x-716</v>
      </c>
      <c r="B3" s="42"/>
      <c r="C3" s="42"/>
      <c r="D3" s="42"/>
      <c r="E3" s="42"/>
      <c r="F3" s="42"/>
      <c r="G3" s="42"/>
      <c r="H3" s="42"/>
      <c r="I3" s="42"/>
    </row>
    <row r="4" spans="1:9" x14ac:dyDescent="0.25">
      <c r="A4" s="44"/>
    </row>
    <row r="6" spans="1:9" x14ac:dyDescent="0.25">
      <c r="A6" s="76" t="s">
        <v>290</v>
      </c>
      <c r="B6" s="129" t="s">
        <v>291</v>
      </c>
      <c r="C6" s="129"/>
      <c r="D6" s="129"/>
    </row>
    <row r="7" spans="1:9" x14ac:dyDescent="0.25">
      <c r="A7" s="77" t="s">
        <v>804</v>
      </c>
      <c r="B7" s="129" t="s">
        <v>324</v>
      </c>
      <c r="C7" s="129"/>
      <c r="D7" s="129"/>
    </row>
    <row r="8" spans="1:9" x14ac:dyDescent="0.25">
      <c r="A8" s="77" t="s">
        <v>805</v>
      </c>
      <c r="B8" s="129" t="s">
        <v>85</v>
      </c>
      <c r="C8" s="129"/>
      <c r="D8" s="129"/>
    </row>
    <row r="9" spans="1:9" x14ac:dyDescent="0.25">
      <c r="A9" s="77" t="s">
        <v>296</v>
      </c>
      <c r="B9" s="129" t="s">
        <v>605</v>
      </c>
      <c r="C9" s="129"/>
      <c r="D9" s="129"/>
    </row>
    <row r="10" spans="1:9" x14ac:dyDescent="0.25">
      <c r="A10" s="77" t="s">
        <v>6</v>
      </c>
      <c r="B10" s="129" t="s">
        <v>613</v>
      </c>
      <c r="C10" s="129"/>
      <c r="D10" s="129"/>
    </row>
    <row r="11" spans="1:9" x14ac:dyDescent="0.25">
      <c r="A11" s="77" t="s">
        <v>299</v>
      </c>
      <c r="B11" s="129" t="s">
        <v>607</v>
      </c>
      <c r="C11" s="129"/>
      <c r="D11" s="129"/>
    </row>
    <row r="12" spans="1:9" x14ac:dyDescent="0.25">
      <c r="A12" s="77" t="s">
        <v>301</v>
      </c>
      <c r="B12" s="129" t="s">
        <v>328</v>
      </c>
      <c r="C12" s="129"/>
      <c r="D12" s="129"/>
    </row>
    <row r="13" spans="1:9" x14ac:dyDescent="0.25">
      <c r="A13" s="77" t="s">
        <v>806</v>
      </c>
      <c r="B13" s="129">
        <v>0</v>
      </c>
      <c r="C13" s="129"/>
      <c r="D13" s="129"/>
    </row>
    <row r="14" spans="1:9" x14ac:dyDescent="0.25">
      <c r="A14" s="77" t="s">
        <v>305</v>
      </c>
      <c r="B14" s="129">
        <v>716</v>
      </c>
      <c r="C14" s="129"/>
      <c r="D14" s="129"/>
    </row>
    <row r="15" spans="1:9" x14ac:dyDescent="0.25">
      <c r="A15" s="77" t="s">
        <v>307</v>
      </c>
      <c r="B15" s="129" t="s">
        <v>614</v>
      </c>
      <c r="C15" s="129"/>
      <c r="D15" s="129"/>
    </row>
    <row r="16" spans="1:9" x14ac:dyDescent="0.25">
      <c r="A16" s="77" t="s">
        <v>825</v>
      </c>
      <c r="B16" s="129" t="s">
        <v>615</v>
      </c>
      <c r="C16" s="129"/>
      <c r="D16" s="129"/>
    </row>
    <row r="17" spans="1:4" x14ac:dyDescent="0.25">
      <c r="A17" s="77" t="s">
        <v>803</v>
      </c>
      <c r="B17" s="129"/>
      <c r="C17" s="129"/>
      <c r="D17" s="129"/>
    </row>
    <row r="18" spans="1:4" x14ac:dyDescent="0.25">
      <c r="A18" s="77" t="s">
        <v>313</v>
      </c>
      <c r="B18" s="187">
        <v>45184</v>
      </c>
      <c r="C18" s="129"/>
      <c r="D18" s="129"/>
    </row>
    <row r="19" spans="1:4" x14ac:dyDescent="0.25">
      <c r="A19" s="77" t="s">
        <v>315</v>
      </c>
      <c r="B19" s="187"/>
      <c r="C19" s="129"/>
      <c r="D19" s="129"/>
    </row>
    <row r="20" spans="1:4" x14ac:dyDescent="0.25">
      <c r="A20" s="77" t="s">
        <v>317</v>
      </c>
      <c r="B20" s="129" t="s">
        <v>331</v>
      </c>
      <c r="C20" s="129"/>
      <c r="D20" s="129"/>
    </row>
    <row r="21" spans="1:4" x14ac:dyDescent="0.25">
      <c r="A21" s="77" t="s">
        <v>323</v>
      </c>
      <c r="B21" s="129" t="s">
        <v>332</v>
      </c>
      <c r="C21" s="129"/>
      <c r="D21" s="129"/>
    </row>
    <row r="23" spans="1:4" x14ac:dyDescent="0.25">
      <c r="B23" s="102" t="str">
        <f>HYPERLINK("#'Factor List'!A1","Back to Factor List")</f>
        <v>Back to Factor List</v>
      </c>
    </row>
    <row r="24" spans="1:4" x14ac:dyDescent="0.25">
      <c r="B24" s="102" t="s">
        <v>13</v>
      </c>
    </row>
    <row r="25" spans="1:4" x14ac:dyDescent="0.25">
      <c r="B25" s="102"/>
    </row>
    <row r="26" spans="1:4" ht="26.4" x14ac:dyDescent="0.25">
      <c r="A26" s="103" t="s">
        <v>373</v>
      </c>
      <c r="B26" s="103" t="s">
        <v>956</v>
      </c>
      <c r="C26" s="103" t="s">
        <v>957</v>
      </c>
      <c r="D26" s="103" t="s">
        <v>958</v>
      </c>
    </row>
    <row r="27" spans="1:4" x14ac:dyDescent="0.25">
      <c r="A27" s="104">
        <v>16</v>
      </c>
      <c r="B27" s="105">
        <v>3.13</v>
      </c>
      <c r="C27" s="105">
        <v>3.13</v>
      </c>
      <c r="D27" s="105">
        <v>3.41</v>
      </c>
    </row>
    <row r="28" spans="1:4" x14ac:dyDescent="0.25">
      <c r="A28" s="104">
        <v>17</v>
      </c>
      <c r="B28" s="105">
        <v>3.23</v>
      </c>
      <c r="C28" s="105">
        <v>3.23</v>
      </c>
      <c r="D28" s="105">
        <v>3.54</v>
      </c>
    </row>
    <row r="29" spans="1:4" x14ac:dyDescent="0.25">
      <c r="A29" s="104">
        <v>18</v>
      </c>
      <c r="B29" s="105">
        <v>3.35</v>
      </c>
      <c r="C29" s="105">
        <v>3.35</v>
      </c>
      <c r="D29" s="105">
        <v>3.67</v>
      </c>
    </row>
    <row r="30" spans="1:4" x14ac:dyDescent="0.25">
      <c r="A30" s="104">
        <v>19</v>
      </c>
      <c r="B30" s="105">
        <v>3.46</v>
      </c>
      <c r="C30" s="105">
        <v>3.46</v>
      </c>
      <c r="D30" s="105">
        <v>3.81</v>
      </c>
    </row>
    <row r="31" spans="1:4" x14ac:dyDescent="0.25">
      <c r="A31" s="104">
        <v>20</v>
      </c>
      <c r="B31" s="105">
        <v>3.58</v>
      </c>
      <c r="C31" s="105">
        <v>3.58</v>
      </c>
      <c r="D31" s="105">
        <v>3.94</v>
      </c>
    </row>
    <row r="32" spans="1:4" x14ac:dyDescent="0.25">
      <c r="A32" s="104">
        <v>21</v>
      </c>
      <c r="B32" s="105">
        <v>3.71</v>
      </c>
      <c r="C32" s="105">
        <v>3.71</v>
      </c>
      <c r="D32" s="105">
        <v>4.08</v>
      </c>
    </row>
    <row r="33" spans="1:4" x14ac:dyDescent="0.25">
      <c r="A33" s="104">
        <v>22</v>
      </c>
      <c r="B33" s="105">
        <v>3.83</v>
      </c>
      <c r="C33" s="105">
        <v>3.83</v>
      </c>
      <c r="D33" s="105">
        <v>4.22</v>
      </c>
    </row>
    <row r="34" spans="1:4" x14ac:dyDescent="0.25">
      <c r="A34" s="104">
        <v>23</v>
      </c>
      <c r="B34" s="105">
        <v>3.97</v>
      </c>
      <c r="C34" s="105">
        <v>3.97</v>
      </c>
      <c r="D34" s="105">
        <v>4.37</v>
      </c>
    </row>
    <row r="35" spans="1:4" x14ac:dyDescent="0.25">
      <c r="A35" s="104">
        <v>24</v>
      </c>
      <c r="B35" s="105">
        <v>4.0999999999999996</v>
      </c>
      <c r="C35" s="105">
        <v>4.0999999999999996</v>
      </c>
      <c r="D35" s="105">
        <v>4.5199999999999996</v>
      </c>
    </row>
    <row r="36" spans="1:4" x14ac:dyDescent="0.25">
      <c r="A36" s="104">
        <v>25</v>
      </c>
      <c r="B36" s="105">
        <v>4.24</v>
      </c>
      <c r="C36" s="105">
        <v>4.24</v>
      </c>
      <c r="D36" s="105">
        <v>4.67</v>
      </c>
    </row>
    <row r="37" spans="1:4" x14ac:dyDescent="0.25">
      <c r="A37" s="104">
        <v>26</v>
      </c>
      <c r="B37" s="105">
        <v>4.3899999999999997</v>
      </c>
      <c r="C37" s="105">
        <v>4.3899999999999997</v>
      </c>
      <c r="D37" s="105">
        <v>4.83</v>
      </c>
    </row>
    <row r="38" spans="1:4" x14ac:dyDescent="0.25">
      <c r="A38" s="104">
        <v>27</v>
      </c>
      <c r="B38" s="105">
        <v>4.54</v>
      </c>
      <c r="C38" s="105">
        <v>4.54</v>
      </c>
      <c r="D38" s="105">
        <v>5</v>
      </c>
    </row>
    <row r="39" spans="1:4" x14ac:dyDescent="0.25">
      <c r="A39" s="104">
        <v>28</v>
      </c>
      <c r="B39" s="105">
        <v>4.7</v>
      </c>
      <c r="C39" s="105">
        <v>4.7</v>
      </c>
      <c r="D39" s="105">
        <v>5.17</v>
      </c>
    </row>
    <row r="40" spans="1:4" x14ac:dyDescent="0.25">
      <c r="A40" s="104">
        <v>29</v>
      </c>
      <c r="B40" s="105">
        <v>4.8600000000000003</v>
      </c>
      <c r="C40" s="105">
        <v>4.8600000000000003</v>
      </c>
      <c r="D40" s="105">
        <v>5.35</v>
      </c>
    </row>
    <row r="41" spans="1:4" x14ac:dyDescent="0.25">
      <c r="A41" s="104">
        <v>30</v>
      </c>
      <c r="B41" s="105">
        <v>5.03</v>
      </c>
      <c r="C41" s="105">
        <v>5.03</v>
      </c>
      <c r="D41" s="105">
        <v>5.54</v>
      </c>
    </row>
    <row r="42" spans="1:4" x14ac:dyDescent="0.25">
      <c r="A42" s="104">
        <v>31</v>
      </c>
      <c r="B42" s="105">
        <v>5.2</v>
      </c>
      <c r="C42" s="105">
        <v>5.2</v>
      </c>
      <c r="D42" s="105">
        <v>5.73</v>
      </c>
    </row>
    <row r="43" spans="1:4" x14ac:dyDescent="0.25">
      <c r="A43" s="104">
        <v>32</v>
      </c>
      <c r="B43" s="105">
        <v>5.38</v>
      </c>
      <c r="C43" s="105">
        <v>5.38</v>
      </c>
      <c r="D43" s="105">
        <v>5.92</v>
      </c>
    </row>
    <row r="44" spans="1:4" x14ac:dyDescent="0.25">
      <c r="A44" s="104">
        <v>33</v>
      </c>
      <c r="B44" s="105">
        <v>5.56</v>
      </c>
      <c r="C44" s="105">
        <v>5.56</v>
      </c>
      <c r="D44" s="105">
        <v>6.13</v>
      </c>
    </row>
    <row r="45" spans="1:4" x14ac:dyDescent="0.25">
      <c r="A45" s="104">
        <v>34</v>
      </c>
      <c r="B45" s="105">
        <v>5.75</v>
      </c>
      <c r="C45" s="105">
        <v>5.75</v>
      </c>
      <c r="D45" s="105">
        <v>6.33</v>
      </c>
    </row>
    <row r="46" spans="1:4" x14ac:dyDescent="0.25">
      <c r="A46" s="104">
        <v>35</v>
      </c>
      <c r="B46" s="105">
        <v>5.95</v>
      </c>
      <c r="C46" s="105">
        <v>5.95</v>
      </c>
      <c r="D46" s="105">
        <v>6.55</v>
      </c>
    </row>
    <row r="47" spans="1:4" x14ac:dyDescent="0.25">
      <c r="A47" s="104">
        <v>36</v>
      </c>
      <c r="B47" s="105">
        <v>6.15</v>
      </c>
      <c r="C47" s="105">
        <v>6.15</v>
      </c>
      <c r="D47" s="105">
        <v>6.77</v>
      </c>
    </row>
    <row r="48" spans="1:4" x14ac:dyDescent="0.25">
      <c r="A48" s="104">
        <v>37</v>
      </c>
      <c r="B48" s="105">
        <v>6.36</v>
      </c>
      <c r="C48" s="105">
        <v>6.36</v>
      </c>
      <c r="D48" s="105">
        <v>7</v>
      </c>
    </row>
    <row r="49" spans="1:4" x14ac:dyDescent="0.25">
      <c r="A49" s="104">
        <v>38</v>
      </c>
      <c r="B49" s="105">
        <v>6.57</v>
      </c>
      <c r="C49" s="105">
        <v>6.57</v>
      </c>
      <c r="D49" s="105">
        <v>7.24</v>
      </c>
    </row>
    <row r="50" spans="1:4" x14ac:dyDescent="0.25">
      <c r="A50" s="104">
        <v>39</v>
      </c>
      <c r="B50" s="105">
        <v>6.79</v>
      </c>
      <c r="C50" s="105">
        <v>6.79</v>
      </c>
      <c r="D50" s="105">
        <v>7.48</v>
      </c>
    </row>
    <row r="51" spans="1:4" x14ac:dyDescent="0.25">
      <c r="A51" s="104">
        <v>40</v>
      </c>
      <c r="B51" s="105">
        <v>7.02</v>
      </c>
      <c r="C51" s="105">
        <v>7.02</v>
      </c>
      <c r="D51" s="105">
        <v>7.73</v>
      </c>
    </row>
    <row r="52" spans="1:4" x14ac:dyDescent="0.25">
      <c r="A52" s="104">
        <v>41</v>
      </c>
      <c r="B52" s="105">
        <v>7.26</v>
      </c>
      <c r="C52" s="105">
        <v>7.26</v>
      </c>
      <c r="D52" s="105">
        <v>7.99</v>
      </c>
    </row>
    <row r="53" spans="1:4" x14ac:dyDescent="0.25">
      <c r="A53" s="104">
        <v>42</v>
      </c>
      <c r="B53" s="105">
        <v>7.5</v>
      </c>
      <c r="C53" s="105">
        <v>7.5</v>
      </c>
      <c r="D53" s="105">
        <v>8.26</v>
      </c>
    </row>
    <row r="54" spans="1:4" x14ac:dyDescent="0.25">
      <c r="A54" s="104">
        <v>43</v>
      </c>
      <c r="B54" s="105">
        <v>7.75</v>
      </c>
      <c r="C54" s="105">
        <v>7.75</v>
      </c>
      <c r="D54" s="105">
        <v>8.5299999999999994</v>
      </c>
    </row>
    <row r="55" spans="1:4" x14ac:dyDescent="0.25">
      <c r="A55" s="104">
        <v>44</v>
      </c>
      <c r="B55" s="105">
        <v>8.02</v>
      </c>
      <c r="C55" s="105">
        <v>8.02</v>
      </c>
      <c r="D55" s="105">
        <v>8.82</v>
      </c>
    </row>
    <row r="56" spans="1:4" x14ac:dyDescent="0.25">
      <c r="A56" s="104">
        <v>45</v>
      </c>
      <c r="B56" s="105">
        <v>8.2799999999999994</v>
      </c>
      <c r="C56" s="105">
        <v>8.2799999999999994</v>
      </c>
      <c r="D56" s="105">
        <v>9.11</v>
      </c>
    </row>
    <row r="57" spans="1:4" x14ac:dyDescent="0.25">
      <c r="A57" s="104">
        <v>46</v>
      </c>
      <c r="B57" s="105">
        <v>8.56</v>
      </c>
      <c r="C57" s="105">
        <v>8.56</v>
      </c>
      <c r="D57" s="105">
        <v>9.42</v>
      </c>
    </row>
    <row r="58" spans="1:4" x14ac:dyDescent="0.25">
      <c r="A58" s="104">
        <v>47</v>
      </c>
      <c r="B58" s="105">
        <v>8.85</v>
      </c>
      <c r="C58" s="105">
        <v>8.85</v>
      </c>
      <c r="D58" s="105">
        <v>9.73</v>
      </c>
    </row>
    <row r="59" spans="1:4" x14ac:dyDescent="0.25">
      <c r="A59" s="104">
        <v>48</v>
      </c>
      <c r="B59" s="105">
        <v>9.14</v>
      </c>
      <c r="C59" s="105">
        <v>9.14</v>
      </c>
      <c r="D59" s="105">
        <v>10.050000000000001</v>
      </c>
    </row>
    <row r="60" spans="1:4" x14ac:dyDescent="0.25">
      <c r="A60" s="104">
        <v>49</v>
      </c>
      <c r="B60" s="105">
        <v>9.4499999999999993</v>
      </c>
      <c r="C60" s="105">
        <v>9.4499999999999993</v>
      </c>
      <c r="D60" s="105">
        <v>10.39</v>
      </c>
    </row>
    <row r="61" spans="1:4" x14ac:dyDescent="0.25">
      <c r="A61" s="104">
        <v>50</v>
      </c>
      <c r="B61" s="105">
        <v>9.76</v>
      </c>
      <c r="C61" s="105">
        <v>9.76</v>
      </c>
      <c r="D61" s="105">
        <v>10.73</v>
      </c>
    </row>
    <row r="62" spans="1:4" x14ac:dyDescent="0.25">
      <c r="A62" s="104">
        <v>51</v>
      </c>
      <c r="B62" s="105">
        <v>10.09</v>
      </c>
      <c r="C62" s="105">
        <v>10.09</v>
      </c>
      <c r="D62" s="105">
        <v>11.08</v>
      </c>
    </row>
    <row r="63" spans="1:4" x14ac:dyDescent="0.25">
      <c r="A63" s="104">
        <v>52</v>
      </c>
      <c r="B63" s="105">
        <v>10.43</v>
      </c>
      <c r="C63" s="105">
        <v>10.43</v>
      </c>
      <c r="D63" s="105">
        <v>11.45</v>
      </c>
    </row>
    <row r="64" spans="1:4" x14ac:dyDescent="0.25">
      <c r="A64" s="104">
        <v>53</v>
      </c>
      <c r="B64" s="105">
        <v>10.77</v>
      </c>
      <c r="C64" s="105">
        <v>10.77</v>
      </c>
      <c r="D64" s="105">
        <v>11.83</v>
      </c>
    </row>
    <row r="65" spans="1:4" x14ac:dyDescent="0.25">
      <c r="A65" s="104">
        <v>54</v>
      </c>
      <c r="B65" s="105">
        <v>11.13</v>
      </c>
      <c r="C65" s="105">
        <v>11.13</v>
      </c>
      <c r="D65" s="105">
        <v>12.21</v>
      </c>
    </row>
    <row r="66" spans="1:4" x14ac:dyDescent="0.25">
      <c r="A66" s="104">
        <v>55</v>
      </c>
      <c r="B66" s="105">
        <v>11.51</v>
      </c>
      <c r="C66" s="105">
        <v>11.51</v>
      </c>
      <c r="D66" s="105">
        <v>12.62</v>
      </c>
    </row>
    <row r="67" spans="1:4" x14ac:dyDescent="0.25">
      <c r="A67" s="104">
        <v>56</v>
      </c>
      <c r="B67" s="105">
        <v>11.89</v>
      </c>
      <c r="C67" s="105">
        <v>11.89</v>
      </c>
      <c r="D67" s="105">
        <v>13.03</v>
      </c>
    </row>
    <row r="68" spans="1:4" x14ac:dyDescent="0.25">
      <c r="A68" s="104">
        <v>57</v>
      </c>
      <c r="B68" s="105">
        <v>12.3</v>
      </c>
      <c r="C68" s="105">
        <v>12.3</v>
      </c>
      <c r="D68" s="105">
        <v>13.47</v>
      </c>
    </row>
    <row r="69" spans="1:4" x14ac:dyDescent="0.25">
      <c r="A69" s="104">
        <v>58</v>
      </c>
      <c r="B69" s="105">
        <v>12.71</v>
      </c>
      <c r="C69" s="105">
        <v>12.71</v>
      </c>
      <c r="D69" s="105">
        <v>13.91</v>
      </c>
    </row>
    <row r="70" spans="1:4" x14ac:dyDescent="0.25">
      <c r="A70" s="104">
        <v>59</v>
      </c>
      <c r="B70" s="105">
        <v>13.15</v>
      </c>
      <c r="C70" s="105">
        <v>13.15</v>
      </c>
      <c r="D70" s="105">
        <v>14.38</v>
      </c>
    </row>
    <row r="71" spans="1:4" x14ac:dyDescent="0.25">
      <c r="A71" s="104">
        <v>60</v>
      </c>
      <c r="B71" s="105">
        <v>13.6</v>
      </c>
      <c r="C71" s="105">
        <v>13.6</v>
      </c>
      <c r="D71" s="105">
        <v>14.86</v>
      </c>
    </row>
    <row r="72" spans="1:4" x14ac:dyDescent="0.25">
      <c r="A72" s="104">
        <v>61</v>
      </c>
      <c r="B72" s="105">
        <v>14.08</v>
      </c>
      <c r="C72" s="105">
        <v>14.08</v>
      </c>
      <c r="D72" s="105">
        <v>15.37</v>
      </c>
    </row>
    <row r="73" spans="1:4" x14ac:dyDescent="0.25">
      <c r="A73" s="104">
        <v>62</v>
      </c>
      <c r="B73" s="105">
        <v>14.57</v>
      </c>
      <c r="C73" s="105">
        <v>14.57</v>
      </c>
      <c r="D73" s="105">
        <v>15.9</v>
      </c>
    </row>
    <row r="74" spans="1:4" x14ac:dyDescent="0.25">
      <c r="A74" s="104">
        <v>63</v>
      </c>
      <c r="B74" s="105">
        <v>15.1</v>
      </c>
      <c r="C74" s="105">
        <v>15.1</v>
      </c>
      <c r="D74" s="105">
        <v>16.45</v>
      </c>
    </row>
    <row r="75" spans="1:4" x14ac:dyDescent="0.25">
      <c r="A75" s="104">
        <v>64</v>
      </c>
      <c r="B75" s="105">
        <v>15.65</v>
      </c>
      <c r="C75" s="105">
        <v>15.65</v>
      </c>
      <c r="D75" s="105">
        <v>17.03</v>
      </c>
    </row>
    <row r="76" spans="1:4" x14ac:dyDescent="0.25">
      <c r="A76" s="104">
        <v>65</v>
      </c>
      <c r="B76" s="105">
        <v>16.239999999999998</v>
      </c>
      <c r="C76" s="105">
        <v>16.239999999999998</v>
      </c>
      <c r="D76" s="105">
        <v>17.649999999999999</v>
      </c>
    </row>
    <row r="77" spans="1:4" x14ac:dyDescent="0.25">
      <c r="A77" s="104">
        <v>66</v>
      </c>
      <c r="B77" s="105">
        <v>16.86</v>
      </c>
      <c r="C77" s="105">
        <v>16.86</v>
      </c>
      <c r="D77" s="105">
        <v>18.3</v>
      </c>
    </row>
    <row r="78" spans="1:4" x14ac:dyDescent="0.25">
      <c r="A78" s="104">
        <v>67</v>
      </c>
      <c r="B78" s="105">
        <v>16.87</v>
      </c>
      <c r="C78" s="105">
        <v>16.87</v>
      </c>
      <c r="D78" s="105">
        <v>18.32</v>
      </c>
    </row>
    <row r="79" spans="1:4" x14ac:dyDescent="0.25">
      <c r="A79" s="104">
        <v>68</v>
      </c>
      <c r="B79" s="105">
        <v>16.239999999999998</v>
      </c>
      <c r="C79" s="105">
        <v>16.239999999999998</v>
      </c>
      <c r="D79" s="105">
        <v>17.690000000000001</v>
      </c>
    </row>
    <row r="80" spans="1:4" x14ac:dyDescent="0.25">
      <c r="A80" s="104">
        <v>69</v>
      </c>
      <c r="B80" s="105">
        <v>15.61</v>
      </c>
      <c r="C80" s="105">
        <v>15.61</v>
      </c>
      <c r="D80" s="105">
        <v>17.059999999999999</v>
      </c>
    </row>
    <row r="81" spans="1:4" x14ac:dyDescent="0.25">
      <c r="A81" s="104">
        <v>70</v>
      </c>
      <c r="B81" s="105">
        <v>14.99</v>
      </c>
      <c r="C81" s="105">
        <v>14.99</v>
      </c>
      <c r="D81" s="105">
        <v>16.43</v>
      </c>
    </row>
    <row r="82" spans="1:4" x14ac:dyDescent="0.25">
      <c r="A82" s="104">
        <v>71</v>
      </c>
      <c r="B82" s="105">
        <v>14.37</v>
      </c>
      <c r="C82" s="105">
        <v>14.37</v>
      </c>
      <c r="D82" s="105">
        <v>15.8</v>
      </c>
    </row>
    <row r="83" spans="1:4" x14ac:dyDescent="0.25">
      <c r="A83" s="104">
        <v>72</v>
      </c>
      <c r="B83" s="105">
        <v>13.76</v>
      </c>
      <c r="C83" s="105">
        <v>13.76</v>
      </c>
      <c r="D83" s="105">
        <v>15.18</v>
      </c>
    </row>
    <row r="84" spans="1:4" x14ac:dyDescent="0.25">
      <c r="A84" s="104">
        <v>73</v>
      </c>
      <c r="B84" s="105">
        <v>13.15</v>
      </c>
      <c r="C84" s="105">
        <v>13.15</v>
      </c>
      <c r="D84" s="105">
        <v>14.56</v>
      </c>
    </row>
    <row r="85" spans="1:4" x14ac:dyDescent="0.25">
      <c r="A85" s="104">
        <v>74</v>
      </c>
      <c r="B85" s="105">
        <v>12.56</v>
      </c>
      <c r="C85" s="105">
        <v>12.56</v>
      </c>
      <c r="D85" s="105">
        <v>13.95</v>
      </c>
    </row>
    <row r="86" spans="1:4" x14ac:dyDescent="0.25">
      <c r="A86" s="104">
        <v>75</v>
      </c>
      <c r="B86" s="105">
        <v>12.26</v>
      </c>
      <c r="C86" s="105">
        <v>12.26</v>
      </c>
      <c r="D86" s="105">
        <v>13.65</v>
      </c>
    </row>
  </sheetData>
  <sheetProtection algorithmName="SHA-512" hashValue="kO32tIGDckAS0xKOq31jb1pPM70/r5CVXNeA7kx0l8E8v/SsWyy/XJkze1h4/fkqcBD5y3p7bL3shbGvo6P8EA==" saltValue="nt04cvrR5NRS4CGq/OSsmw==" spinCount="100000" sheet="1" objects="1" scenarios="1"/>
  <conditionalFormatting sqref="A6:A21">
    <cfRule type="expression" dxfId="485" priority="1" stopIfTrue="1">
      <formula>MOD(ROW(),2)=0</formula>
    </cfRule>
    <cfRule type="expression" dxfId="484" priority="2" stopIfTrue="1">
      <formula>MOD(ROW(),2)&lt;&gt;0</formula>
    </cfRule>
  </conditionalFormatting>
  <conditionalFormatting sqref="A26:A86">
    <cfRule type="expression" dxfId="483" priority="5" stopIfTrue="1">
      <formula>MOD(ROW(),2)=0</formula>
    </cfRule>
    <cfRule type="expression" dxfId="482" priority="6" stopIfTrue="1">
      <formula>MOD(ROW(),2)&lt;&gt;0</formula>
    </cfRule>
  </conditionalFormatting>
  <conditionalFormatting sqref="B12">
    <cfRule type="expression" dxfId="481" priority="13" stopIfTrue="1">
      <formula>MOD(ROW(),2)=0</formula>
    </cfRule>
    <cfRule type="expression" dxfId="480" priority="14" stopIfTrue="1">
      <formula>MOD(ROW(),2)&lt;&gt;0</formula>
    </cfRule>
  </conditionalFormatting>
  <conditionalFormatting sqref="B18:B21">
    <cfRule type="expression" dxfId="479" priority="9" stopIfTrue="1">
      <formula>MOD(ROW(),2)=0</formula>
    </cfRule>
    <cfRule type="expression" dxfId="478" priority="10" stopIfTrue="1">
      <formula>MOD(ROW(),2)&lt;&gt;0</formula>
    </cfRule>
  </conditionalFormatting>
  <conditionalFormatting sqref="B6:D21">
    <cfRule type="expression" dxfId="477" priority="23" stopIfTrue="1">
      <formula>MOD(ROW(),2)=0</formula>
    </cfRule>
    <cfRule type="expression" dxfId="476" priority="24" stopIfTrue="1">
      <formula>MOD(ROW(),2)&lt;&gt;0</formula>
    </cfRule>
  </conditionalFormatting>
  <conditionalFormatting sqref="B26:D86">
    <cfRule type="expression" dxfId="475" priority="7" stopIfTrue="1">
      <formula>MOD(ROW(),2)=0</formula>
    </cfRule>
    <cfRule type="expression" dxfId="474" priority="8" stopIfTrue="1">
      <formula>MOD(ROW(),2)&lt;&gt;0</formula>
    </cfRule>
  </conditionalFormatting>
  <hyperlinks>
    <hyperlink ref="B24" location="Sheet1!A1" display="Assumptions" xr:uid="{1E0371BF-A4EA-4DB5-BA22-F91F7EC4D6D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95"/>
  <dimension ref="A1:I86"/>
  <sheetViews>
    <sheetView showGridLines="0" zoomScale="85" zoomScaleNormal="85" workbookViewId="0">
      <selection activeCell="A4" sqref="A4"/>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Added pension - x-717</v>
      </c>
      <c r="B3" s="42"/>
      <c r="C3" s="42"/>
      <c r="D3" s="42"/>
      <c r="E3" s="42"/>
      <c r="F3" s="42"/>
      <c r="G3" s="42"/>
      <c r="H3" s="42"/>
      <c r="I3" s="42"/>
    </row>
    <row r="4" spans="1:9" x14ac:dyDescent="0.25">
      <c r="A4" s="44"/>
    </row>
    <row r="6" spans="1:9" x14ac:dyDescent="0.25">
      <c r="A6" s="76" t="s">
        <v>290</v>
      </c>
      <c r="B6" s="129" t="s">
        <v>291</v>
      </c>
      <c r="C6" s="129"/>
      <c r="D6" s="129"/>
    </row>
    <row r="7" spans="1:9" x14ac:dyDescent="0.25">
      <c r="A7" s="77" t="s">
        <v>804</v>
      </c>
      <c r="B7" s="129" t="s">
        <v>324</v>
      </c>
      <c r="C7" s="129"/>
      <c r="D7" s="129"/>
    </row>
    <row r="8" spans="1:9" x14ac:dyDescent="0.25">
      <c r="A8" s="77" t="s">
        <v>805</v>
      </c>
      <c r="B8" s="129" t="s">
        <v>85</v>
      </c>
      <c r="C8" s="129"/>
      <c r="D8" s="129"/>
    </row>
    <row r="9" spans="1:9" x14ac:dyDescent="0.25">
      <c r="A9" s="77" t="s">
        <v>296</v>
      </c>
      <c r="B9" s="129" t="s">
        <v>605</v>
      </c>
      <c r="C9" s="129"/>
      <c r="D9" s="129"/>
    </row>
    <row r="10" spans="1:9" x14ac:dyDescent="0.25">
      <c r="A10" s="77" t="s">
        <v>6</v>
      </c>
      <c r="B10" s="129" t="s">
        <v>616</v>
      </c>
      <c r="C10" s="129"/>
      <c r="D10" s="129"/>
    </row>
    <row r="11" spans="1:9" x14ac:dyDescent="0.25">
      <c r="A11" s="77" t="s">
        <v>299</v>
      </c>
      <c r="B11" s="129" t="s">
        <v>607</v>
      </c>
      <c r="C11" s="129"/>
      <c r="D11" s="129"/>
    </row>
    <row r="12" spans="1:9" x14ac:dyDescent="0.25">
      <c r="A12" s="77" t="s">
        <v>301</v>
      </c>
      <c r="B12" s="129" t="s">
        <v>328</v>
      </c>
      <c r="C12" s="129"/>
      <c r="D12" s="129"/>
    </row>
    <row r="13" spans="1:9" x14ac:dyDescent="0.25">
      <c r="A13" s="77" t="s">
        <v>806</v>
      </c>
      <c r="B13" s="129">
        <v>0</v>
      </c>
      <c r="C13" s="129"/>
      <c r="D13" s="129"/>
    </row>
    <row r="14" spans="1:9" x14ac:dyDescent="0.25">
      <c r="A14" s="77" t="s">
        <v>305</v>
      </c>
      <c r="B14" s="129">
        <v>717</v>
      </c>
      <c r="C14" s="129"/>
      <c r="D14" s="129"/>
    </row>
    <row r="15" spans="1:9" x14ac:dyDescent="0.25">
      <c r="A15" s="77" t="s">
        <v>307</v>
      </c>
      <c r="B15" s="129" t="s">
        <v>617</v>
      </c>
      <c r="C15" s="129"/>
      <c r="D15" s="129"/>
    </row>
    <row r="16" spans="1:9" x14ac:dyDescent="0.25">
      <c r="A16" s="77" t="s">
        <v>825</v>
      </c>
      <c r="B16" s="129" t="s">
        <v>618</v>
      </c>
      <c r="C16" s="129"/>
      <c r="D16" s="129"/>
    </row>
    <row r="17" spans="1:4" x14ac:dyDescent="0.25">
      <c r="A17" s="77" t="s">
        <v>803</v>
      </c>
      <c r="B17" s="129"/>
      <c r="C17" s="129"/>
      <c r="D17" s="129"/>
    </row>
    <row r="18" spans="1:4" x14ac:dyDescent="0.25">
      <c r="A18" s="77" t="s">
        <v>313</v>
      </c>
      <c r="B18" s="187">
        <v>45184</v>
      </c>
      <c r="C18" s="129"/>
      <c r="D18" s="129"/>
    </row>
    <row r="19" spans="1:4" x14ac:dyDescent="0.25">
      <c r="A19" s="77" t="s">
        <v>315</v>
      </c>
      <c r="B19" s="187"/>
      <c r="C19" s="129"/>
      <c r="D19" s="129"/>
    </row>
    <row r="20" spans="1:4" x14ac:dyDescent="0.25">
      <c r="A20" s="77" t="s">
        <v>317</v>
      </c>
      <c r="B20" s="129" t="s">
        <v>331</v>
      </c>
      <c r="C20" s="129"/>
      <c r="D20" s="129"/>
    </row>
    <row r="21" spans="1:4" x14ac:dyDescent="0.25">
      <c r="A21" s="77" t="s">
        <v>323</v>
      </c>
      <c r="B21" s="129" t="s">
        <v>332</v>
      </c>
      <c r="C21" s="129"/>
      <c r="D21" s="129"/>
    </row>
    <row r="23" spans="1:4" x14ac:dyDescent="0.25">
      <c r="B23" s="102" t="str">
        <f>HYPERLINK("#'Factor List'!A1","Back to Factor List")</f>
        <v>Back to Factor List</v>
      </c>
    </row>
    <row r="24" spans="1:4" x14ac:dyDescent="0.25">
      <c r="B24" s="102" t="s">
        <v>13</v>
      </c>
    </row>
    <row r="25" spans="1:4" x14ac:dyDescent="0.25">
      <c r="B25" s="102"/>
    </row>
    <row r="26" spans="1:4" ht="26.4" x14ac:dyDescent="0.25">
      <c r="A26" s="103" t="s">
        <v>373</v>
      </c>
      <c r="B26" s="103" t="s">
        <v>956</v>
      </c>
      <c r="C26" s="103" t="s">
        <v>957</v>
      </c>
      <c r="D26" s="103" t="s">
        <v>958</v>
      </c>
    </row>
    <row r="27" spans="1:4" x14ac:dyDescent="0.25">
      <c r="A27" s="104">
        <v>16</v>
      </c>
      <c r="B27" s="105">
        <v>2.93</v>
      </c>
      <c r="C27" s="105">
        <v>2.93</v>
      </c>
      <c r="D27" s="105">
        <v>3.21</v>
      </c>
    </row>
    <row r="28" spans="1:4" x14ac:dyDescent="0.25">
      <c r="A28" s="104">
        <v>17</v>
      </c>
      <c r="B28" s="105">
        <v>3.04</v>
      </c>
      <c r="C28" s="105">
        <v>3.04</v>
      </c>
      <c r="D28" s="105">
        <v>3.33</v>
      </c>
    </row>
    <row r="29" spans="1:4" x14ac:dyDescent="0.25">
      <c r="A29" s="104">
        <v>18</v>
      </c>
      <c r="B29" s="105">
        <v>3.14</v>
      </c>
      <c r="C29" s="105">
        <v>3.14</v>
      </c>
      <c r="D29" s="105">
        <v>3.46</v>
      </c>
    </row>
    <row r="30" spans="1:4" x14ac:dyDescent="0.25">
      <c r="A30" s="104">
        <v>19</v>
      </c>
      <c r="B30" s="105">
        <v>3.25</v>
      </c>
      <c r="C30" s="105">
        <v>3.25</v>
      </c>
      <c r="D30" s="105">
        <v>3.59</v>
      </c>
    </row>
    <row r="31" spans="1:4" x14ac:dyDescent="0.25">
      <c r="A31" s="104">
        <v>20</v>
      </c>
      <c r="B31" s="105">
        <v>3.36</v>
      </c>
      <c r="C31" s="105">
        <v>3.36</v>
      </c>
      <c r="D31" s="105">
        <v>3.72</v>
      </c>
    </row>
    <row r="32" spans="1:4" x14ac:dyDescent="0.25">
      <c r="A32" s="104">
        <v>21</v>
      </c>
      <c r="B32" s="105">
        <v>3.48</v>
      </c>
      <c r="C32" s="105">
        <v>3.48</v>
      </c>
      <c r="D32" s="105">
        <v>3.84</v>
      </c>
    </row>
    <row r="33" spans="1:4" x14ac:dyDescent="0.25">
      <c r="A33" s="104">
        <v>22</v>
      </c>
      <c r="B33" s="105">
        <v>3.6</v>
      </c>
      <c r="C33" s="105">
        <v>3.6</v>
      </c>
      <c r="D33" s="105">
        <v>3.98</v>
      </c>
    </row>
    <row r="34" spans="1:4" x14ac:dyDescent="0.25">
      <c r="A34" s="104">
        <v>23</v>
      </c>
      <c r="B34" s="105">
        <v>3.72</v>
      </c>
      <c r="C34" s="105">
        <v>3.72</v>
      </c>
      <c r="D34" s="105">
        <v>4.1100000000000003</v>
      </c>
    </row>
    <row r="35" spans="1:4" x14ac:dyDescent="0.25">
      <c r="A35" s="104">
        <v>24</v>
      </c>
      <c r="B35" s="105">
        <v>3.85</v>
      </c>
      <c r="C35" s="105">
        <v>3.85</v>
      </c>
      <c r="D35" s="105">
        <v>4.26</v>
      </c>
    </row>
    <row r="36" spans="1:4" x14ac:dyDescent="0.25">
      <c r="A36" s="104">
        <v>25</v>
      </c>
      <c r="B36" s="105">
        <v>3.98</v>
      </c>
      <c r="C36" s="105">
        <v>3.98</v>
      </c>
      <c r="D36" s="105">
        <v>4.4000000000000004</v>
      </c>
    </row>
    <row r="37" spans="1:4" x14ac:dyDescent="0.25">
      <c r="A37" s="104">
        <v>26</v>
      </c>
      <c r="B37" s="105">
        <v>4.12</v>
      </c>
      <c r="C37" s="105">
        <v>4.12</v>
      </c>
      <c r="D37" s="105">
        <v>4.55</v>
      </c>
    </row>
    <row r="38" spans="1:4" x14ac:dyDescent="0.25">
      <c r="A38" s="104">
        <v>27</v>
      </c>
      <c r="B38" s="105">
        <v>4.26</v>
      </c>
      <c r="C38" s="105">
        <v>4.26</v>
      </c>
      <c r="D38" s="105">
        <v>4.71</v>
      </c>
    </row>
    <row r="39" spans="1:4" x14ac:dyDescent="0.25">
      <c r="A39" s="104">
        <v>28</v>
      </c>
      <c r="B39" s="105">
        <v>4.41</v>
      </c>
      <c r="C39" s="105">
        <v>4.41</v>
      </c>
      <c r="D39" s="105">
        <v>4.87</v>
      </c>
    </row>
    <row r="40" spans="1:4" x14ac:dyDescent="0.25">
      <c r="A40" s="104">
        <v>29</v>
      </c>
      <c r="B40" s="105">
        <v>4.5599999999999996</v>
      </c>
      <c r="C40" s="105">
        <v>4.5599999999999996</v>
      </c>
      <c r="D40" s="105">
        <v>5.04</v>
      </c>
    </row>
    <row r="41" spans="1:4" x14ac:dyDescent="0.25">
      <c r="A41" s="104">
        <v>30</v>
      </c>
      <c r="B41" s="105">
        <v>4.71</v>
      </c>
      <c r="C41" s="105">
        <v>4.71</v>
      </c>
      <c r="D41" s="105">
        <v>5.21</v>
      </c>
    </row>
    <row r="42" spans="1:4" x14ac:dyDescent="0.25">
      <c r="A42" s="104">
        <v>31</v>
      </c>
      <c r="B42" s="105">
        <v>4.88</v>
      </c>
      <c r="C42" s="105">
        <v>4.88</v>
      </c>
      <c r="D42" s="105">
        <v>5.39</v>
      </c>
    </row>
    <row r="43" spans="1:4" x14ac:dyDescent="0.25">
      <c r="A43" s="104">
        <v>32</v>
      </c>
      <c r="B43" s="105">
        <v>5.04</v>
      </c>
      <c r="C43" s="105">
        <v>5.04</v>
      </c>
      <c r="D43" s="105">
        <v>5.58</v>
      </c>
    </row>
    <row r="44" spans="1:4" x14ac:dyDescent="0.25">
      <c r="A44" s="104">
        <v>33</v>
      </c>
      <c r="B44" s="105">
        <v>5.21</v>
      </c>
      <c r="C44" s="105">
        <v>5.21</v>
      </c>
      <c r="D44" s="105">
        <v>5.77</v>
      </c>
    </row>
    <row r="45" spans="1:4" x14ac:dyDescent="0.25">
      <c r="A45" s="104">
        <v>34</v>
      </c>
      <c r="B45" s="105">
        <v>5.39</v>
      </c>
      <c r="C45" s="105">
        <v>5.39</v>
      </c>
      <c r="D45" s="105">
        <v>5.96</v>
      </c>
    </row>
    <row r="46" spans="1:4" x14ac:dyDescent="0.25">
      <c r="A46" s="104">
        <v>35</v>
      </c>
      <c r="B46" s="105">
        <v>5.57</v>
      </c>
      <c r="C46" s="105">
        <v>5.57</v>
      </c>
      <c r="D46" s="105">
        <v>6.16</v>
      </c>
    </row>
    <row r="47" spans="1:4" x14ac:dyDescent="0.25">
      <c r="A47" s="104">
        <v>36</v>
      </c>
      <c r="B47" s="105">
        <v>5.76</v>
      </c>
      <c r="C47" s="105">
        <v>5.76</v>
      </c>
      <c r="D47" s="105">
        <v>6.37</v>
      </c>
    </row>
    <row r="48" spans="1:4" x14ac:dyDescent="0.25">
      <c r="A48" s="104">
        <v>37</v>
      </c>
      <c r="B48" s="105">
        <v>5.95</v>
      </c>
      <c r="C48" s="105">
        <v>5.95</v>
      </c>
      <c r="D48" s="105">
        <v>6.59</v>
      </c>
    </row>
    <row r="49" spans="1:4" x14ac:dyDescent="0.25">
      <c r="A49" s="104">
        <v>38</v>
      </c>
      <c r="B49" s="105">
        <v>6.15</v>
      </c>
      <c r="C49" s="105">
        <v>6.15</v>
      </c>
      <c r="D49" s="105">
        <v>6.81</v>
      </c>
    </row>
    <row r="50" spans="1:4" x14ac:dyDescent="0.25">
      <c r="A50" s="104">
        <v>39</v>
      </c>
      <c r="B50" s="105">
        <v>6.36</v>
      </c>
      <c r="C50" s="105">
        <v>6.36</v>
      </c>
      <c r="D50" s="105">
        <v>7.03</v>
      </c>
    </row>
    <row r="51" spans="1:4" x14ac:dyDescent="0.25">
      <c r="A51" s="104">
        <v>40</v>
      </c>
      <c r="B51" s="105">
        <v>6.57</v>
      </c>
      <c r="C51" s="105">
        <v>6.57</v>
      </c>
      <c r="D51" s="105">
        <v>7.27</v>
      </c>
    </row>
    <row r="52" spans="1:4" x14ac:dyDescent="0.25">
      <c r="A52" s="104">
        <v>41</v>
      </c>
      <c r="B52" s="105">
        <v>6.79</v>
      </c>
      <c r="C52" s="105">
        <v>6.79</v>
      </c>
      <c r="D52" s="105">
        <v>7.51</v>
      </c>
    </row>
    <row r="53" spans="1:4" x14ac:dyDescent="0.25">
      <c r="A53" s="104">
        <v>42</v>
      </c>
      <c r="B53" s="105">
        <v>7.02</v>
      </c>
      <c r="C53" s="105">
        <v>7.02</v>
      </c>
      <c r="D53" s="105">
        <v>7.76</v>
      </c>
    </row>
    <row r="54" spans="1:4" x14ac:dyDescent="0.25">
      <c r="A54" s="104">
        <v>43</v>
      </c>
      <c r="B54" s="105">
        <v>7.26</v>
      </c>
      <c r="C54" s="105">
        <v>7.26</v>
      </c>
      <c r="D54" s="105">
        <v>8.02</v>
      </c>
    </row>
    <row r="55" spans="1:4" x14ac:dyDescent="0.25">
      <c r="A55" s="104">
        <v>44</v>
      </c>
      <c r="B55" s="105">
        <v>7.5</v>
      </c>
      <c r="C55" s="105">
        <v>7.5</v>
      </c>
      <c r="D55" s="105">
        <v>8.2899999999999991</v>
      </c>
    </row>
    <row r="56" spans="1:4" x14ac:dyDescent="0.25">
      <c r="A56" s="104">
        <v>45</v>
      </c>
      <c r="B56" s="105">
        <v>7.75</v>
      </c>
      <c r="C56" s="105">
        <v>7.75</v>
      </c>
      <c r="D56" s="105">
        <v>8.56</v>
      </c>
    </row>
    <row r="57" spans="1:4" x14ac:dyDescent="0.25">
      <c r="A57" s="104">
        <v>46</v>
      </c>
      <c r="B57" s="105">
        <v>8.01</v>
      </c>
      <c r="C57" s="105">
        <v>8.01</v>
      </c>
      <c r="D57" s="105">
        <v>8.85</v>
      </c>
    </row>
    <row r="58" spans="1:4" x14ac:dyDescent="0.25">
      <c r="A58" s="104">
        <v>47</v>
      </c>
      <c r="B58" s="105">
        <v>8.27</v>
      </c>
      <c r="C58" s="105">
        <v>8.27</v>
      </c>
      <c r="D58" s="105">
        <v>9.14</v>
      </c>
    </row>
    <row r="59" spans="1:4" x14ac:dyDescent="0.25">
      <c r="A59" s="104">
        <v>48</v>
      </c>
      <c r="B59" s="105">
        <v>8.5500000000000007</v>
      </c>
      <c r="C59" s="105">
        <v>8.5500000000000007</v>
      </c>
      <c r="D59" s="105">
        <v>9.44</v>
      </c>
    </row>
    <row r="60" spans="1:4" x14ac:dyDescent="0.25">
      <c r="A60" s="104">
        <v>49</v>
      </c>
      <c r="B60" s="105">
        <v>8.83</v>
      </c>
      <c r="C60" s="105">
        <v>8.83</v>
      </c>
      <c r="D60" s="105">
        <v>9.75</v>
      </c>
    </row>
    <row r="61" spans="1:4" x14ac:dyDescent="0.25">
      <c r="A61" s="104">
        <v>50</v>
      </c>
      <c r="B61" s="105">
        <v>9.1199999999999992</v>
      </c>
      <c r="C61" s="105">
        <v>9.1199999999999992</v>
      </c>
      <c r="D61" s="105">
        <v>10.07</v>
      </c>
    </row>
    <row r="62" spans="1:4" x14ac:dyDescent="0.25">
      <c r="A62" s="104">
        <v>51</v>
      </c>
      <c r="B62" s="105">
        <v>9.42</v>
      </c>
      <c r="C62" s="105">
        <v>9.42</v>
      </c>
      <c r="D62" s="105">
        <v>10.4</v>
      </c>
    </row>
    <row r="63" spans="1:4" x14ac:dyDescent="0.25">
      <c r="A63" s="104">
        <v>52</v>
      </c>
      <c r="B63" s="105">
        <v>9.73</v>
      </c>
      <c r="C63" s="105">
        <v>9.73</v>
      </c>
      <c r="D63" s="105">
        <v>10.74</v>
      </c>
    </row>
    <row r="64" spans="1:4" x14ac:dyDescent="0.25">
      <c r="A64" s="104">
        <v>53</v>
      </c>
      <c r="B64" s="105">
        <v>10.06</v>
      </c>
      <c r="C64" s="105">
        <v>10.06</v>
      </c>
      <c r="D64" s="105">
        <v>11.09</v>
      </c>
    </row>
    <row r="65" spans="1:4" x14ac:dyDescent="0.25">
      <c r="A65" s="104">
        <v>54</v>
      </c>
      <c r="B65" s="105">
        <v>10.39</v>
      </c>
      <c r="C65" s="105">
        <v>10.39</v>
      </c>
      <c r="D65" s="105">
        <v>11.45</v>
      </c>
    </row>
    <row r="66" spans="1:4" x14ac:dyDescent="0.25">
      <c r="A66" s="104">
        <v>55</v>
      </c>
      <c r="B66" s="105">
        <v>10.73</v>
      </c>
      <c r="C66" s="105">
        <v>10.73</v>
      </c>
      <c r="D66" s="105">
        <v>11.82</v>
      </c>
    </row>
    <row r="67" spans="1:4" x14ac:dyDescent="0.25">
      <c r="A67" s="104">
        <v>56</v>
      </c>
      <c r="B67" s="105">
        <v>11.09</v>
      </c>
      <c r="C67" s="105">
        <v>11.09</v>
      </c>
      <c r="D67" s="105">
        <v>12.21</v>
      </c>
    </row>
    <row r="68" spans="1:4" x14ac:dyDescent="0.25">
      <c r="A68" s="104">
        <v>57</v>
      </c>
      <c r="B68" s="105">
        <v>11.46</v>
      </c>
      <c r="C68" s="105">
        <v>11.46</v>
      </c>
      <c r="D68" s="105">
        <v>12.61</v>
      </c>
    </row>
    <row r="69" spans="1:4" x14ac:dyDescent="0.25">
      <c r="A69" s="104">
        <v>58</v>
      </c>
      <c r="B69" s="105">
        <v>11.84</v>
      </c>
      <c r="C69" s="105">
        <v>11.84</v>
      </c>
      <c r="D69" s="105">
        <v>13.02</v>
      </c>
    </row>
    <row r="70" spans="1:4" x14ac:dyDescent="0.25">
      <c r="A70" s="104">
        <v>59</v>
      </c>
      <c r="B70" s="105">
        <v>12.24</v>
      </c>
      <c r="C70" s="105">
        <v>12.24</v>
      </c>
      <c r="D70" s="105">
        <v>13.45</v>
      </c>
    </row>
    <row r="71" spans="1:4" x14ac:dyDescent="0.25">
      <c r="A71" s="104">
        <v>60</v>
      </c>
      <c r="B71" s="105">
        <v>12.66</v>
      </c>
      <c r="C71" s="105">
        <v>12.66</v>
      </c>
      <c r="D71" s="105">
        <v>13.89</v>
      </c>
    </row>
    <row r="72" spans="1:4" x14ac:dyDescent="0.25">
      <c r="A72" s="104">
        <v>61</v>
      </c>
      <c r="B72" s="105">
        <v>13.09</v>
      </c>
      <c r="C72" s="105">
        <v>13.09</v>
      </c>
      <c r="D72" s="105">
        <v>14.36</v>
      </c>
    </row>
    <row r="73" spans="1:4" x14ac:dyDescent="0.25">
      <c r="A73" s="104">
        <v>62</v>
      </c>
      <c r="B73" s="105">
        <v>13.55</v>
      </c>
      <c r="C73" s="105">
        <v>13.55</v>
      </c>
      <c r="D73" s="105">
        <v>14.84</v>
      </c>
    </row>
    <row r="74" spans="1:4" x14ac:dyDescent="0.25">
      <c r="A74" s="104">
        <v>63</v>
      </c>
      <c r="B74" s="105">
        <v>14.03</v>
      </c>
      <c r="C74" s="105">
        <v>14.03</v>
      </c>
      <c r="D74" s="105">
        <v>15.35</v>
      </c>
    </row>
    <row r="75" spans="1:4" x14ac:dyDescent="0.25">
      <c r="A75" s="104">
        <v>64</v>
      </c>
      <c r="B75" s="105">
        <v>14.53</v>
      </c>
      <c r="C75" s="105">
        <v>14.53</v>
      </c>
      <c r="D75" s="105">
        <v>15.89</v>
      </c>
    </row>
    <row r="76" spans="1:4" x14ac:dyDescent="0.25">
      <c r="A76" s="104">
        <v>65</v>
      </c>
      <c r="B76" s="105">
        <v>15.07</v>
      </c>
      <c r="C76" s="105">
        <v>15.07</v>
      </c>
      <c r="D76" s="105">
        <v>16.45</v>
      </c>
    </row>
    <row r="77" spans="1:4" x14ac:dyDescent="0.25">
      <c r="A77" s="104">
        <v>66</v>
      </c>
      <c r="B77" s="105">
        <v>15.63</v>
      </c>
      <c r="C77" s="105">
        <v>15.63</v>
      </c>
      <c r="D77" s="105">
        <v>17.05</v>
      </c>
    </row>
    <row r="78" spans="1:4" x14ac:dyDescent="0.25">
      <c r="A78" s="104">
        <v>67</v>
      </c>
      <c r="B78" s="105">
        <v>16.239999999999998</v>
      </c>
      <c r="C78" s="105">
        <v>16.239999999999998</v>
      </c>
      <c r="D78" s="105">
        <v>17.68</v>
      </c>
    </row>
    <row r="79" spans="1:4" x14ac:dyDescent="0.25">
      <c r="A79" s="104">
        <v>68</v>
      </c>
      <c r="B79" s="105">
        <v>16.239999999999998</v>
      </c>
      <c r="C79" s="105">
        <v>16.239999999999998</v>
      </c>
      <c r="D79" s="105">
        <v>17.690000000000001</v>
      </c>
    </row>
    <row r="80" spans="1:4" x14ac:dyDescent="0.25">
      <c r="A80" s="104">
        <v>69</v>
      </c>
      <c r="B80" s="105">
        <v>15.61</v>
      </c>
      <c r="C80" s="105">
        <v>15.61</v>
      </c>
      <c r="D80" s="105">
        <v>17.059999999999999</v>
      </c>
    </row>
    <row r="81" spans="1:4" x14ac:dyDescent="0.25">
      <c r="A81" s="104">
        <v>70</v>
      </c>
      <c r="B81" s="105">
        <v>14.99</v>
      </c>
      <c r="C81" s="105">
        <v>14.99</v>
      </c>
      <c r="D81" s="105">
        <v>16.43</v>
      </c>
    </row>
    <row r="82" spans="1:4" x14ac:dyDescent="0.25">
      <c r="A82" s="104">
        <v>71</v>
      </c>
      <c r="B82" s="105">
        <v>14.37</v>
      </c>
      <c r="C82" s="105">
        <v>14.37</v>
      </c>
      <c r="D82" s="105">
        <v>15.8</v>
      </c>
    </row>
    <row r="83" spans="1:4" x14ac:dyDescent="0.25">
      <c r="A83" s="104">
        <v>72</v>
      </c>
      <c r="B83" s="105">
        <v>13.76</v>
      </c>
      <c r="C83" s="105">
        <v>13.76</v>
      </c>
      <c r="D83" s="105">
        <v>15.18</v>
      </c>
    </row>
    <row r="84" spans="1:4" x14ac:dyDescent="0.25">
      <c r="A84" s="104">
        <v>73</v>
      </c>
      <c r="B84" s="105">
        <v>13.15</v>
      </c>
      <c r="C84" s="105">
        <v>13.15</v>
      </c>
      <c r="D84" s="105">
        <v>14.56</v>
      </c>
    </row>
    <row r="85" spans="1:4" x14ac:dyDescent="0.25">
      <c r="A85" s="104">
        <v>74</v>
      </c>
      <c r="B85" s="105">
        <v>12.56</v>
      </c>
      <c r="C85" s="105">
        <v>12.56</v>
      </c>
      <c r="D85" s="105">
        <v>13.95</v>
      </c>
    </row>
    <row r="86" spans="1:4" x14ac:dyDescent="0.25">
      <c r="A86" s="104">
        <v>75</v>
      </c>
      <c r="B86" s="105">
        <v>12.26</v>
      </c>
      <c r="C86" s="105">
        <v>12.26</v>
      </c>
      <c r="D86" s="105">
        <v>13.65</v>
      </c>
    </row>
  </sheetData>
  <sheetProtection algorithmName="SHA-512" hashValue="N7fVYLBxWtbScu2zTzPVNPke1dnAA8WE47w92cs09nk+cU5q1iw10T8T2XV+ctzt1oHL+EsHxRfsvueezko+cA==" saltValue="p4mfc5+aPfKULH0mNPCVwg==" spinCount="100000" sheet="1" objects="1" scenarios="1"/>
  <conditionalFormatting sqref="A6:A21">
    <cfRule type="expression" dxfId="473" priority="1" stopIfTrue="1">
      <formula>MOD(ROW(),2)=0</formula>
    </cfRule>
    <cfRule type="expression" dxfId="472" priority="2" stopIfTrue="1">
      <formula>MOD(ROW(),2)&lt;&gt;0</formula>
    </cfRule>
  </conditionalFormatting>
  <conditionalFormatting sqref="A26:A86">
    <cfRule type="expression" dxfId="471" priority="5" stopIfTrue="1">
      <formula>MOD(ROW(),2)=0</formula>
    </cfRule>
    <cfRule type="expression" dxfId="470" priority="6" stopIfTrue="1">
      <formula>MOD(ROW(),2)&lt;&gt;0</formula>
    </cfRule>
  </conditionalFormatting>
  <conditionalFormatting sqref="B12">
    <cfRule type="expression" dxfId="469" priority="13" stopIfTrue="1">
      <formula>MOD(ROW(),2)=0</formula>
    </cfRule>
    <cfRule type="expression" dxfId="468" priority="14" stopIfTrue="1">
      <formula>MOD(ROW(),2)&lt;&gt;0</formula>
    </cfRule>
  </conditionalFormatting>
  <conditionalFormatting sqref="B18:B21">
    <cfRule type="expression" dxfId="467" priority="9" stopIfTrue="1">
      <formula>MOD(ROW(),2)=0</formula>
    </cfRule>
    <cfRule type="expression" dxfId="466" priority="10" stopIfTrue="1">
      <formula>MOD(ROW(),2)&lt;&gt;0</formula>
    </cfRule>
  </conditionalFormatting>
  <conditionalFormatting sqref="B6:D21">
    <cfRule type="expression" dxfId="465" priority="23" stopIfTrue="1">
      <formula>MOD(ROW(),2)=0</formula>
    </cfRule>
    <cfRule type="expression" dxfId="464" priority="24" stopIfTrue="1">
      <formula>MOD(ROW(),2)&lt;&gt;0</formula>
    </cfRule>
  </conditionalFormatting>
  <conditionalFormatting sqref="B26:D86">
    <cfRule type="expression" dxfId="463" priority="7" stopIfTrue="1">
      <formula>MOD(ROW(),2)=0</formula>
    </cfRule>
    <cfRule type="expression" dxfId="462" priority="8" stopIfTrue="1">
      <formula>MOD(ROW(),2)&lt;&gt;0</formula>
    </cfRule>
  </conditionalFormatting>
  <hyperlinks>
    <hyperlink ref="B24" location="Sheet1!A1" display="Assumptions" xr:uid="{E49CAF76-F04A-4F9A-A061-3958A4060C9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96"/>
  <dimension ref="A1:I86"/>
  <sheetViews>
    <sheetView showGridLines="0" zoomScale="85" zoomScaleNormal="85" workbookViewId="0">
      <selection activeCell="A4" sqref="A4"/>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Added pension - x-718</v>
      </c>
      <c r="B3" s="42"/>
      <c r="C3" s="42"/>
      <c r="D3" s="42"/>
      <c r="E3" s="42"/>
      <c r="F3" s="42"/>
      <c r="G3" s="42"/>
      <c r="H3" s="42"/>
      <c r="I3" s="42"/>
    </row>
    <row r="4" spans="1:9" x14ac:dyDescent="0.25">
      <c r="A4" s="44"/>
    </row>
    <row r="6" spans="1:9" x14ac:dyDescent="0.25">
      <c r="A6" s="76" t="s">
        <v>290</v>
      </c>
      <c r="B6" s="129" t="s">
        <v>291</v>
      </c>
      <c r="C6" s="129"/>
      <c r="D6" s="129"/>
    </row>
    <row r="7" spans="1:9" x14ac:dyDescent="0.25">
      <c r="A7" s="77" t="s">
        <v>804</v>
      </c>
      <c r="B7" s="129" t="s">
        <v>324</v>
      </c>
      <c r="C7" s="129"/>
      <c r="D7" s="129"/>
    </row>
    <row r="8" spans="1:9" x14ac:dyDescent="0.25">
      <c r="A8" s="77" t="s">
        <v>805</v>
      </c>
      <c r="B8" s="129" t="s">
        <v>85</v>
      </c>
      <c r="C8" s="129"/>
      <c r="D8" s="129"/>
    </row>
    <row r="9" spans="1:9" x14ac:dyDescent="0.25">
      <c r="A9" s="77" t="s">
        <v>296</v>
      </c>
      <c r="B9" s="129" t="s">
        <v>605</v>
      </c>
      <c r="C9" s="129"/>
      <c r="D9" s="129"/>
    </row>
    <row r="10" spans="1:9" x14ac:dyDescent="0.25">
      <c r="A10" s="77" t="s">
        <v>6</v>
      </c>
      <c r="B10" s="129" t="s">
        <v>619</v>
      </c>
      <c r="C10" s="129"/>
      <c r="D10" s="129"/>
    </row>
    <row r="11" spans="1:9" x14ac:dyDescent="0.25">
      <c r="A11" s="77" t="s">
        <v>299</v>
      </c>
      <c r="B11" s="129" t="s">
        <v>607</v>
      </c>
      <c r="C11" s="129"/>
      <c r="D11" s="129"/>
    </row>
    <row r="12" spans="1:9" x14ac:dyDescent="0.25">
      <c r="A12" s="77" t="s">
        <v>301</v>
      </c>
      <c r="B12" s="129" t="s">
        <v>328</v>
      </c>
      <c r="C12" s="129"/>
      <c r="D12" s="129"/>
    </row>
    <row r="13" spans="1:9" x14ac:dyDescent="0.25">
      <c r="A13" s="77" t="s">
        <v>806</v>
      </c>
      <c r="B13" s="129">
        <v>0</v>
      </c>
      <c r="C13" s="129"/>
      <c r="D13" s="129"/>
    </row>
    <row r="14" spans="1:9" x14ac:dyDescent="0.25">
      <c r="A14" s="77" t="s">
        <v>305</v>
      </c>
      <c r="B14" s="129">
        <v>718</v>
      </c>
      <c r="C14" s="129"/>
      <c r="D14" s="129"/>
    </row>
    <row r="15" spans="1:9" x14ac:dyDescent="0.25">
      <c r="A15" s="77" t="s">
        <v>307</v>
      </c>
      <c r="B15" s="129" t="s">
        <v>620</v>
      </c>
      <c r="C15" s="129"/>
      <c r="D15" s="129"/>
    </row>
    <row r="16" spans="1:9" x14ac:dyDescent="0.25">
      <c r="A16" s="77" t="s">
        <v>825</v>
      </c>
      <c r="B16" s="129" t="s">
        <v>621</v>
      </c>
      <c r="C16" s="129"/>
      <c r="D16" s="129"/>
    </row>
    <row r="17" spans="1:4" x14ac:dyDescent="0.25">
      <c r="A17" s="77" t="s">
        <v>803</v>
      </c>
      <c r="B17" s="129"/>
      <c r="C17" s="129"/>
      <c r="D17" s="129"/>
    </row>
    <row r="18" spans="1:4" x14ac:dyDescent="0.25">
      <c r="A18" s="77" t="s">
        <v>313</v>
      </c>
      <c r="B18" s="187">
        <v>45184</v>
      </c>
      <c r="C18" s="129"/>
      <c r="D18" s="129"/>
    </row>
    <row r="19" spans="1:4" x14ac:dyDescent="0.25">
      <c r="A19" s="77" t="s">
        <v>315</v>
      </c>
      <c r="B19" s="187"/>
      <c r="C19" s="129"/>
      <c r="D19" s="129"/>
    </row>
    <row r="20" spans="1:4" x14ac:dyDescent="0.25">
      <c r="A20" s="77" t="s">
        <v>317</v>
      </c>
      <c r="B20" s="129" t="s">
        <v>331</v>
      </c>
      <c r="C20" s="129"/>
      <c r="D20" s="129"/>
    </row>
    <row r="21" spans="1:4" x14ac:dyDescent="0.25">
      <c r="A21" s="77" t="s">
        <v>323</v>
      </c>
      <c r="B21" s="129" t="s">
        <v>332</v>
      </c>
      <c r="C21" s="129"/>
      <c r="D21" s="129"/>
    </row>
    <row r="23" spans="1:4" x14ac:dyDescent="0.25">
      <c r="B23" s="102" t="str">
        <f>HYPERLINK("#'Factor List'!A1","Back to Factor List")</f>
        <v>Back to Factor List</v>
      </c>
    </row>
    <row r="24" spans="1:4" x14ac:dyDescent="0.25">
      <c r="B24" s="102" t="s">
        <v>13</v>
      </c>
    </row>
    <row r="25" spans="1:4" x14ac:dyDescent="0.25">
      <c r="B25" s="102"/>
    </row>
    <row r="26" spans="1:4" ht="26.4" x14ac:dyDescent="0.25">
      <c r="A26" s="103" t="s">
        <v>373</v>
      </c>
      <c r="B26" s="103" t="s">
        <v>956</v>
      </c>
      <c r="C26" s="103" t="s">
        <v>957</v>
      </c>
      <c r="D26" s="103" t="s">
        <v>958</v>
      </c>
    </row>
    <row r="27" spans="1:4" x14ac:dyDescent="0.25">
      <c r="A27" s="104">
        <v>16</v>
      </c>
      <c r="B27" s="105">
        <v>3.61</v>
      </c>
      <c r="C27" s="105">
        <v>3.61</v>
      </c>
      <c r="D27" s="105">
        <v>3.92</v>
      </c>
    </row>
    <row r="28" spans="1:4" x14ac:dyDescent="0.25">
      <c r="A28" s="104">
        <v>17</v>
      </c>
      <c r="B28" s="105">
        <v>3.74</v>
      </c>
      <c r="C28" s="105">
        <v>3.74</v>
      </c>
      <c r="D28" s="105">
        <v>4.0599999999999996</v>
      </c>
    </row>
    <row r="29" spans="1:4" x14ac:dyDescent="0.25">
      <c r="A29" s="104">
        <v>18</v>
      </c>
      <c r="B29" s="105">
        <v>3.87</v>
      </c>
      <c r="C29" s="105">
        <v>3.87</v>
      </c>
      <c r="D29" s="105">
        <v>4.21</v>
      </c>
    </row>
    <row r="30" spans="1:4" x14ac:dyDescent="0.25">
      <c r="A30" s="104">
        <v>19</v>
      </c>
      <c r="B30" s="105">
        <v>4.01</v>
      </c>
      <c r="C30" s="105">
        <v>4.01</v>
      </c>
      <c r="D30" s="105">
        <v>4.38</v>
      </c>
    </row>
    <row r="31" spans="1:4" x14ac:dyDescent="0.25">
      <c r="A31" s="104">
        <v>20</v>
      </c>
      <c r="B31" s="105">
        <v>4.1399999999999997</v>
      </c>
      <c r="C31" s="105">
        <v>4.1399999999999997</v>
      </c>
      <c r="D31" s="105">
        <v>4.5199999999999996</v>
      </c>
    </row>
    <row r="32" spans="1:4" x14ac:dyDescent="0.25">
      <c r="A32" s="104">
        <v>21</v>
      </c>
      <c r="B32" s="105">
        <v>4.28</v>
      </c>
      <c r="C32" s="105">
        <v>4.28</v>
      </c>
      <c r="D32" s="105">
        <v>4.68</v>
      </c>
    </row>
    <row r="33" spans="1:4" x14ac:dyDescent="0.25">
      <c r="A33" s="104">
        <v>22</v>
      </c>
      <c r="B33" s="105">
        <v>4.4400000000000004</v>
      </c>
      <c r="C33" s="105">
        <v>4.4400000000000004</v>
      </c>
      <c r="D33" s="105">
        <v>4.84</v>
      </c>
    </row>
    <row r="34" spans="1:4" x14ac:dyDescent="0.25">
      <c r="A34" s="104">
        <v>23</v>
      </c>
      <c r="B34" s="105">
        <v>4.59</v>
      </c>
      <c r="C34" s="105">
        <v>4.59</v>
      </c>
      <c r="D34" s="105">
        <v>5.01</v>
      </c>
    </row>
    <row r="35" spans="1:4" x14ac:dyDescent="0.25">
      <c r="A35" s="104">
        <v>24</v>
      </c>
      <c r="B35" s="105">
        <v>4.75</v>
      </c>
      <c r="C35" s="105">
        <v>4.75</v>
      </c>
      <c r="D35" s="105">
        <v>5.18</v>
      </c>
    </row>
    <row r="36" spans="1:4" x14ac:dyDescent="0.25">
      <c r="A36" s="104">
        <v>25</v>
      </c>
      <c r="B36" s="105">
        <v>4.92</v>
      </c>
      <c r="C36" s="105">
        <v>4.92</v>
      </c>
      <c r="D36" s="105">
        <v>5.37</v>
      </c>
    </row>
    <row r="37" spans="1:4" x14ac:dyDescent="0.25">
      <c r="A37" s="104">
        <v>26</v>
      </c>
      <c r="B37" s="105">
        <v>5.08</v>
      </c>
      <c r="C37" s="105">
        <v>5.08</v>
      </c>
      <c r="D37" s="105">
        <v>5.55</v>
      </c>
    </row>
    <row r="38" spans="1:4" x14ac:dyDescent="0.25">
      <c r="A38" s="104">
        <v>27</v>
      </c>
      <c r="B38" s="105">
        <v>5.26</v>
      </c>
      <c r="C38" s="105">
        <v>5.26</v>
      </c>
      <c r="D38" s="105">
        <v>5.74</v>
      </c>
    </row>
    <row r="39" spans="1:4" x14ac:dyDescent="0.25">
      <c r="A39" s="104">
        <v>28</v>
      </c>
      <c r="B39" s="105">
        <v>5.45</v>
      </c>
      <c r="C39" s="105">
        <v>5.45</v>
      </c>
      <c r="D39" s="105">
        <v>5.95</v>
      </c>
    </row>
    <row r="40" spans="1:4" x14ac:dyDescent="0.25">
      <c r="A40" s="104">
        <v>29</v>
      </c>
      <c r="B40" s="105">
        <v>5.63</v>
      </c>
      <c r="C40" s="105">
        <v>5.63</v>
      </c>
      <c r="D40" s="105">
        <v>6.15</v>
      </c>
    </row>
    <row r="41" spans="1:4" x14ac:dyDescent="0.25">
      <c r="A41" s="104">
        <v>30</v>
      </c>
      <c r="B41" s="105">
        <v>5.82</v>
      </c>
      <c r="C41" s="105">
        <v>5.82</v>
      </c>
      <c r="D41" s="105">
        <v>6.36</v>
      </c>
    </row>
    <row r="42" spans="1:4" x14ac:dyDescent="0.25">
      <c r="A42" s="104">
        <v>31</v>
      </c>
      <c r="B42" s="105">
        <v>6.03</v>
      </c>
      <c r="C42" s="105">
        <v>6.03</v>
      </c>
      <c r="D42" s="105">
        <v>6.58</v>
      </c>
    </row>
    <row r="43" spans="1:4" x14ac:dyDescent="0.25">
      <c r="A43" s="104">
        <v>32</v>
      </c>
      <c r="B43" s="105">
        <v>6.23</v>
      </c>
      <c r="C43" s="105">
        <v>6.23</v>
      </c>
      <c r="D43" s="105">
        <v>6.81</v>
      </c>
    </row>
    <row r="44" spans="1:4" x14ac:dyDescent="0.25">
      <c r="A44" s="104">
        <v>33</v>
      </c>
      <c r="B44" s="105">
        <v>6.45</v>
      </c>
      <c r="C44" s="105">
        <v>6.45</v>
      </c>
      <c r="D44" s="105">
        <v>7.05</v>
      </c>
    </row>
    <row r="45" spans="1:4" x14ac:dyDescent="0.25">
      <c r="A45" s="104">
        <v>34</v>
      </c>
      <c r="B45" s="105">
        <v>6.67</v>
      </c>
      <c r="C45" s="105">
        <v>6.67</v>
      </c>
      <c r="D45" s="105">
        <v>7.28</v>
      </c>
    </row>
    <row r="46" spans="1:4" x14ac:dyDescent="0.25">
      <c r="A46" s="104">
        <v>35</v>
      </c>
      <c r="B46" s="105">
        <v>6.9</v>
      </c>
      <c r="C46" s="105">
        <v>6.9</v>
      </c>
      <c r="D46" s="105">
        <v>7.54</v>
      </c>
    </row>
    <row r="47" spans="1:4" x14ac:dyDescent="0.25">
      <c r="A47" s="104">
        <v>36</v>
      </c>
      <c r="B47" s="105">
        <v>7.13</v>
      </c>
      <c r="C47" s="105">
        <v>7.13</v>
      </c>
      <c r="D47" s="105">
        <v>7.79</v>
      </c>
    </row>
    <row r="48" spans="1:4" x14ac:dyDescent="0.25">
      <c r="A48" s="104">
        <v>37</v>
      </c>
      <c r="B48" s="105">
        <v>7.37</v>
      </c>
      <c r="C48" s="105">
        <v>7.37</v>
      </c>
      <c r="D48" s="105">
        <v>8.06</v>
      </c>
    </row>
    <row r="49" spans="1:4" x14ac:dyDescent="0.25">
      <c r="A49" s="104">
        <v>38</v>
      </c>
      <c r="B49" s="105">
        <v>7.63</v>
      </c>
      <c r="C49" s="105">
        <v>7.63</v>
      </c>
      <c r="D49" s="105">
        <v>8.33</v>
      </c>
    </row>
    <row r="50" spans="1:4" x14ac:dyDescent="0.25">
      <c r="A50" s="104">
        <v>39</v>
      </c>
      <c r="B50" s="105">
        <v>7.88</v>
      </c>
      <c r="C50" s="105">
        <v>7.88</v>
      </c>
      <c r="D50" s="105">
        <v>8.61</v>
      </c>
    </row>
    <row r="51" spans="1:4" x14ac:dyDescent="0.25">
      <c r="A51" s="104">
        <v>40</v>
      </c>
      <c r="B51" s="105">
        <v>8.16</v>
      </c>
      <c r="C51" s="105">
        <v>8.16</v>
      </c>
      <c r="D51" s="105">
        <v>8.9</v>
      </c>
    </row>
    <row r="52" spans="1:4" x14ac:dyDescent="0.25">
      <c r="A52" s="104">
        <v>41</v>
      </c>
      <c r="B52" s="105">
        <v>8.44</v>
      </c>
      <c r="C52" s="105">
        <v>8.44</v>
      </c>
      <c r="D52" s="105">
        <v>9.2100000000000009</v>
      </c>
    </row>
    <row r="53" spans="1:4" x14ac:dyDescent="0.25">
      <c r="A53" s="104">
        <v>42</v>
      </c>
      <c r="B53" s="105">
        <v>8.7200000000000006</v>
      </c>
      <c r="C53" s="105">
        <v>8.7200000000000006</v>
      </c>
      <c r="D53" s="105">
        <v>9.52</v>
      </c>
    </row>
    <row r="54" spans="1:4" x14ac:dyDescent="0.25">
      <c r="A54" s="104">
        <v>43</v>
      </c>
      <c r="B54" s="105">
        <v>9.02</v>
      </c>
      <c r="C54" s="105">
        <v>9.02</v>
      </c>
      <c r="D54" s="105">
        <v>9.84</v>
      </c>
    </row>
    <row r="55" spans="1:4" x14ac:dyDescent="0.25">
      <c r="A55" s="104">
        <v>44</v>
      </c>
      <c r="B55" s="105">
        <v>9.32</v>
      </c>
      <c r="C55" s="105">
        <v>9.32</v>
      </c>
      <c r="D55" s="105">
        <v>10.17</v>
      </c>
    </row>
    <row r="56" spans="1:4" x14ac:dyDescent="0.25">
      <c r="A56" s="104">
        <v>45</v>
      </c>
      <c r="B56" s="105">
        <v>9.64</v>
      </c>
      <c r="C56" s="105">
        <v>9.64</v>
      </c>
      <c r="D56" s="105">
        <v>10.52</v>
      </c>
    </row>
    <row r="57" spans="1:4" x14ac:dyDescent="0.25">
      <c r="A57" s="104">
        <v>46</v>
      </c>
      <c r="B57" s="105">
        <v>9.9700000000000006</v>
      </c>
      <c r="C57" s="105">
        <v>9.9700000000000006</v>
      </c>
      <c r="D57" s="105">
        <v>10.87</v>
      </c>
    </row>
    <row r="58" spans="1:4" x14ac:dyDescent="0.25">
      <c r="A58" s="104">
        <v>47</v>
      </c>
      <c r="B58" s="105">
        <v>10.3</v>
      </c>
      <c r="C58" s="105">
        <v>10.3</v>
      </c>
      <c r="D58" s="105">
        <v>11.24</v>
      </c>
    </row>
    <row r="59" spans="1:4" x14ac:dyDescent="0.25">
      <c r="A59" s="104">
        <v>48</v>
      </c>
      <c r="B59" s="105">
        <v>10.65</v>
      </c>
      <c r="C59" s="105">
        <v>10.65</v>
      </c>
      <c r="D59" s="105">
        <v>11.62</v>
      </c>
    </row>
    <row r="60" spans="1:4" x14ac:dyDescent="0.25">
      <c r="A60" s="104">
        <v>49</v>
      </c>
      <c r="B60" s="105">
        <v>11.02</v>
      </c>
      <c r="C60" s="105">
        <v>11.02</v>
      </c>
      <c r="D60" s="105">
        <v>12.01</v>
      </c>
    </row>
    <row r="61" spans="1:4" x14ac:dyDescent="0.25">
      <c r="A61" s="104">
        <v>50</v>
      </c>
      <c r="B61" s="105">
        <v>11.38</v>
      </c>
      <c r="C61" s="105">
        <v>11.38</v>
      </c>
      <c r="D61" s="105">
        <v>12.4</v>
      </c>
    </row>
    <row r="62" spans="1:4" x14ac:dyDescent="0.25">
      <c r="A62" s="104">
        <v>51</v>
      </c>
      <c r="B62" s="105">
        <v>11.77</v>
      </c>
      <c r="C62" s="105">
        <v>11.77</v>
      </c>
      <c r="D62" s="105">
        <v>12.82</v>
      </c>
    </row>
    <row r="63" spans="1:4" x14ac:dyDescent="0.25">
      <c r="A63" s="104">
        <v>52</v>
      </c>
      <c r="B63" s="105">
        <v>12.17</v>
      </c>
      <c r="C63" s="105">
        <v>12.17</v>
      </c>
      <c r="D63" s="105">
        <v>13.25</v>
      </c>
    </row>
    <row r="64" spans="1:4" x14ac:dyDescent="0.25">
      <c r="A64" s="104">
        <v>53</v>
      </c>
      <c r="B64" s="105">
        <v>12.59</v>
      </c>
      <c r="C64" s="105">
        <v>12.59</v>
      </c>
      <c r="D64" s="105">
        <v>13.7</v>
      </c>
    </row>
    <row r="65" spans="1:4" x14ac:dyDescent="0.25">
      <c r="A65" s="104">
        <v>54</v>
      </c>
      <c r="B65" s="105">
        <v>13.02</v>
      </c>
      <c r="C65" s="105">
        <v>13.02</v>
      </c>
      <c r="D65" s="105">
        <v>14.16</v>
      </c>
    </row>
    <row r="66" spans="1:4" x14ac:dyDescent="0.25">
      <c r="A66" s="104">
        <v>55</v>
      </c>
      <c r="B66" s="105">
        <v>13.45</v>
      </c>
      <c r="C66" s="105">
        <v>13.45</v>
      </c>
      <c r="D66" s="105">
        <v>14.64</v>
      </c>
    </row>
    <row r="67" spans="1:4" x14ac:dyDescent="0.25">
      <c r="A67" s="104">
        <v>56</v>
      </c>
      <c r="B67" s="105">
        <v>13.92</v>
      </c>
      <c r="C67" s="105">
        <v>13.92</v>
      </c>
      <c r="D67" s="105">
        <v>15.13</v>
      </c>
    </row>
    <row r="68" spans="1:4" x14ac:dyDescent="0.25">
      <c r="A68" s="104">
        <v>57</v>
      </c>
      <c r="B68" s="105">
        <v>14.4</v>
      </c>
      <c r="C68" s="105">
        <v>14.4</v>
      </c>
      <c r="D68" s="105">
        <v>15.65</v>
      </c>
    </row>
    <row r="69" spans="1:4" x14ac:dyDescent="0.25">
      <c r="A69" s="104">
        <v>58</v>
      </c>
      <c r="B69" s="105">
        <v>14.9</v>
      </c>
      <c r="C69" s="105">
        <v>14.9</v>
      </c>
      <c r="D69" s="105">
        <v>16.18</v>
      </c>
    </row>
    <row r="70" spans="1:4" x14ac:dyDescent="0.25">
      <c r="A70" s="104">
        <v>59</v>
      </c>
      <c r="B70" s="105">
        <v>15.42</v>
      </c>
      <c r="C70" s="105">
        <v>15.42</v>
      </c>
      <c r="D70" s="105">
        <v>16.73</v>
      </c>
    </row>
    <row r="71" spans="1:4" x14ac:dyDescent="0.25">
      <c r="A71" s="104">
        <v>60</v>
      </c>
      <c r="B71" s="105">
        <v>15.97</v>
      </c>
      <c r="C71" s="105">
        <v>15.97</v>
      </c>
      <c r="D71" s="105">
        <v>17.309999999999999</v>
      </c>
    </row>
    <row r="72" spans="1:4" x14ac:dyDescent="0.25">
      <c r="A72" s="104">
        <v>61</v>
      </c>
      <c r="B72" s="105">
        <v>16.54</v>
      </c>
      <c r="C72" s="105">
        <v>16.54</v>
      </c>
      <c r="D72" s="105">
        <v>17.920000000000002</v>
      </c>
    </row>
    <row r="73" spans="1:4" x14ac:dyDescent="0.25">
      <c r="A73" s="104">
        <v>62</v>
      </c>
      <c r="B73" s="105">
        <v>17.149999999999999</v>
      </c>
      <c r="C73" s="105">
        <v>17.149999999999999</v>
      </c>
      <c r="D73" s="105">
        <v>18.55</v>
      </c>
    </row>
    <row r="74" spans="1:4" x14ac:dyDescent="0.25">
      <c r="A74" s="104">
        <v>63</v>
      </c>
      <c r="B74" s="105">
        <v>17.79</v>
      </c>
      <c r="C74" s="105">
        <v>17.79</v>
      </c>
      <c r="D74" s="105">
        <v>19.22</v>
      </c>
    </row>
    <row r="75" spans="1:4" x14ac:dyDescent="0.25">
      <c r="A75" s="104">
        <v>64</v>
      </c>
      <c r="B75" s="105">
        <v>18.45</v>
      </c>
      <c r="C75" s="105">
        <v>18.45</v>
      </c>
      <c r="D75" s="105">
        <v>19.920000000000002</v>
      </c>
    </row>
    <row r="76" spans="1:4" x14ac:dyDescent="0.25">
      <c r="A76" s="104">
        <v>65</v>
      </c>
      <c r="B76" s="105">
        <v>18.48</v>
      </c>
      <c r="C76" s="105">
        <v>18.48</v>
      </c>
      <c r="D76" s="105">
        <v>19.97</v>
      </c>
    </row>
    <row r="77" spans="1:4" x14ac:dyDescent="0.25">
      <c r="A77" s="104">
        <v>66</v>
      </c>
      <c r="B77" s="105">
        <v>17.850000000000001</v>
      </c>
      <c r="C77" s="105">
        <v>17.850000000000001</v>
      </c>
      <c r="D77" s="105">
        <v>19.329999999999998</v>
      </c>
    </row>
    <row r="78" spans="1:4" x14ac:dyDescent="0.25">
      <c r="A78" s="104">
        <v>67</v>
      </c>
      <c r="B78" s="105">
        <v>17.21</v>
      </c>
      <c r="C78" s="105">
        <v>17.21</v>
      </c>
      <c r="D78" s="105">
        <v>18.690000000000001</v>
      </c>
    </row>
    <row r="79" spans="1:4" x14ac:dyDescent="0.25">
      <c r="A79" s="104">
        <v>68</v>
      </c>
      <c r="B79" s="105">
        <v>16.559999999999999</v>
      </c>
      <c r="C79" s="105">
        <v>16.559999999999999</v>
      </c>
      <c r="D79" s="105">
        <v>18.04</v>
      </c>
    </row>
    <row r="80" spans="1:4" x14ac:dyDescent="0.25">
      <c r="A80" s="104">
        <v>69</v>
      </c>
      <c r="B80" s="105">
        <v>15.92</v>
      </c>
      <c r="C80" s="105">
        <v>15.92</v>
      </c>
      <c r="D80" s="105">
        <v>17.399999999999999</v>
      </c>
    </row>
    <row r="81" spans="1:4" x14ac:dyDescent="0.25">
      <c r="A81" s="104">
        <v>70</v>
      </c>
      <c r="B81" s="105">
        <v>15.29</v>
      </c>
      <c r="C81" s="105">
        <v>15.29</v>
      </c>
      <c r="D81" s="105">
        <v>16.760000000000002</v>
      </c>
    </row>
    <row r="82" spans="1:4" x14ac:dyDescent="0.25">
      <c r="A82" s="104">
        <v>71</v>
      </c>
      <c r="B82" s="105">
        <v>14.66</v>
      </c>
      <c r="C82" s="105">
        <v>14.66</v>
      </c>
      <c r="D82" s="105">
        <v>16.12</v>
      </c>
    </row>
    <row r="83" spans="1:4" x14ac:dyDescent="0.25">
      <c r="A83" s="104">
        <v>72</v>
      </c>
      <c r="B83" s="105">
        <v>14.04</v>
      </c>
      <c r="C83" s="105">
        <v>14.04</v>
      </c>
      <c r="D83" s="105">
        <v>15.48</v>
      </c>
    </row>
    <row r="84" spans="1:4" x14ac:dyDescent="0.25">
      <c r="A84" s="104">
        <v>73</v>
      </c>
      <c r="B84" s="105">
        <v>13.41</v>
      </c>
      <c r="C84" s="105">
        <v>13.41</v>
      </c>
      <c r="D84" s="105">
        <v>14.85</v>
      </c>
    </row>
    <row r="85" spans="1:4" x14ac:dyDescent="0.25">
      <c r="A85" s="104">
        <v>74</v>
      </c>
      <c r="B85" s="105">
        <v>12.81</v>
      </c>
      <c r="C85" s="105">
        <v>12.81</v>
      </c>
      <c r="D85" s="105">
        <v>14.23</v>
      </c>
    </row>
    <row r="86" spans="1:4" x14ac:dyDescent="0.25">
      <c r="A86" s="104">
        <v>75</v>
      </c>
      <c r="B86" s="105">
        <v>12.51</v>
      </c>
      <c r="C86" s="105">
        <v>12.51</v>
      </c>
      <c r="D86" s="105">
        <v>13.92</v>
      </c>
    </row>
  </sheetData>
  <sheetProtection algorithmName="SHA-512" hashValue="Lidt4yzNBkAadeaRwWeTdYV0tjex/UhNwdcDlCN5XW1NGrBjmfn7NDMfu1a2xni7qyEqsOIR7VlxbacpDRC7tg==" saltValue="5HtLy42Qe7dFeVjPa836Eg==" spinCount="100000" sheet="1" objects="1" scenarios="1"/>
  <conditionalFormatting sqref="A6:A21">
    <cfRule type="expression" dxfId="461" priority="1" stopIfTrue="1">
      <formula>MOD(ROW(),2)=0</formula>
    </cfRule>
    <cfRule type="expression" dxfId="460" priority="2" stopIfTrue="1">
      <formula>MOD(ROW(),2)&lt;&gt;0</formula>
    </cfRule>
  </conditionalFormatting>
  <conditionalFormatting sqref="A26:A86">
    <cfRule type="expression" dxfId="459" priority="5" stopIfTrue="1">
      <formula>MOD(ROW(),2)=0</formula>
    </cfRule>
    <cfRule type="expression" dxfId="458" priority="6" stopIfTrue="1">
      <formula>MOD(ROW(),2)&lt;&gt;0</formula>
    </cfRule>
  </conditionalFormatting>
  <conditionalFormatting sqref="B12">
    <cfRule type="expression" dxfId="457" priority="13" stopIfTrue="1">
      <formula>MOD(ROW(),2)=0</formula>
    </cfRule>
    <cfRule type="expression" dxfId="456" priority="14" stopIfTrue="1">
      <formula>MOD(ROW(),2)&lt;&gt;0</formula>
    </cfRule>
  </conditionalFormatting>
  <conditionalFormatting sqref="B18:B21">
    <cfRule type="expression" dxfId="455" priority="9" stopIfTrue="1">
      <formula>MOD(ROW(),2)=0</formula>
    </cfRule>
    <cfRule type="expression" dxfId="454" priority="10" stopIfTrue="1">
      <formula>MOD(ROW(),2)&lt;&gt;0</formula>
    </cfRule>
  </conditionalFormatting>
  <conditionalFormatting sqref="B6:D21">
    <cfRule type="expression" dxfId="453" priority="23" stopIfTrue="1">
      <formula>MOD(ROW(),2)=0</formula>
    </cfRule>
    <cfRule type="expression" dxfId="452" priority="24" stopIfTrue="1">
      <formula>MOD(ROW(),2)&lt;&gt;0</formula>
    </cfRule>
  </conditionalFormatting>
  <conditionalFormatting sqref="B26:D86">
    <cfRule type="expression" dxfId="451" priority="7" stopIfTrue="1">
      <formula>MOD(ROW(),2)=0</formula>
    </cfRule>
    <cfRule type="expression" dxfId="450" priority="8" stopIfTrue="1">
      <formula>MOD(ROW(),2)&lt;&gt;0</formula>
    </cfRule>
  </conditionalFormatting>
  <hyperlinks>
    <hyperlink ref="B24" location="Sheet1!A1" display="Assumptions" xr:uid="{9C94C85A-9286-4CEF-B7D7-35ECE59921C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97"/>
  <dimension ref="A1:I86"/>
  <sheetViews>
    <sheetView showGridLines="0" zoomScale="85" zoomScaleNormal="85" workbookViewId="0">
      <selection activeCell="A4" sqref="A4"/>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Added pension - x-719</v>
      </c>
      <c r="B3" s="42"/>
      <c r="C3" s="42"/>
      <c r="D3" s="42"/>
      <c r="E3" s="42"/>
      <c r="F3" s="42"/>
      <c r="G3" s="42"/>
      <c r="H3" s="42"/>
      <c r="I3" s="42"/>
    </row>
    <row r="4" spans="1:9" x14ac:dyDescent="0.25">
      <c r="A4" s="44"/>
    </row>
    <row r="6" spans="1:9" x14ac:dyDescent="0.25">
      <c r="A6" s="76" t="s">
        <v>290</v>
      </c>
      <c r="B6" s="129" t="s">
        <v>291</v>
      </c>
      <c r="C6" s="129"/>
      <c r="D6" s="129"/>
    </row>
    <row r="7" spans="1:9" x14ac:dyDescent="0.25">
      <c r="A7" s="77" t="s">
        <v>804</v>
      </c>
      <c r="B7" s="129" t="s">
        <v>324</v>
      </c>
      <c r="C7" s="129"/>
      <c r="D7" s="129"/>
    </row>
    <row r="8" spans="1:9" x14ac:dyDescent="0.25">
      <c r="A8" s="77" t="s">
        <v>805</v>
      </c>
      <c r="B8" s="129" t="s">
        <v>85</v>
      </c>
      <c r="C8" s="129"/>
      <c r="D8" s="129"/>
    </row>
    <row r="9" spans="1:9" x14ac:dyDescent="0.25">
      <c r="A9" s="77" t="s">
        <v>296</v>
      </c>
      <c r="B9" s="129" t="s">
        <v>605</v>
      </c>
      <c r="C9" s="129"/>
      <c r="D9" s="129"/>
    </row>
    <row r="10" spans="1:9" x14ac:dyDescent="0.25">
      <c r="A10" s="77" t="s">
        <v>6</v>
      </c>
      <c r="B10" s="129" t="s">
        <v>622</v>
      </c>
      <c r="C10" s="129"/>
      <c r="D10" s="129"/>
    </row>
    <row r="11" spans="1:9" x14ac:dyDescent="0.25">
      <c r="A11" s="77" t="s">
        <v>299</v>
      </c>
      <c r="B11" s="129" t="s">
        <v>607</v>
      </c>
      <c r="C11" s="129"/>
      <c r="D11" s="129"/>
    </row>
    <row r="12" spans="1:9" x14ac:dyDescent="0.25">
      <c r="A12" s="77" t="s">
        <v>301</v>
      </c>
      <c r="B12" s="129" t="s">
        <v>328</v>
      </c>
      <c r="C12" s="129"/>
      <c r="D12" s="129"/>
    </row>
    <row r="13" spans="1:9" x14ac:dyDescent="0.25">
      <c r="A13" s="77" t="s">
        <v>806</v>
      </c>
      <c r="B13" s="129">
        <v>0</v>
      </c>
      <c r="C13" s="129"/>
      <c r="D13" s="129"/>
    </row>
    <row r="14" spans="1:9" x14ac:dyDescent="0.25">
      <c r="A14" s="77" t="s">
        <v>305</v>
      </c>
      <c r="B14" s="129">
        <v>719</v>
      </c>
      <c r="C14" s="129"/>
      <c r="D14" s="129"/>
    </row>
    <row r="15" spans="1:9" x14ac:dyDescent="0.25">
      <c r="A15" s="77" t="s">
        <v>307</v>
      </c>
      <c r="B15" s="129" t="s">
        <v>623</v>
      </c>
      <c r="C15" s="129"/>
      <c r="D15" s="129"/>
    </row>
    <row r="16" spans="1:9" x14ac:dyDescent="0.25">
      <c r="A16" s="77" t="s">
        <v>825</v>
      </c>
      <c r="B16" s="129" t="s">
        <v>624</v>
      </c>
      <c r="C16" s="129"/>
      <c r="D16" s="129"/>
    </row>
    <row r="17" spans="1:4" x14ac:dyDescent="0.25">
      <c r="A17" s="77" t="s">
        <v>803</v>
      </c>
      <c r="B17" s="129"/>
      <c r="C17" s="129"/>
      <c r="D17" s="129"/>
    </row>
    <row r="18" spans="1:4" x14ac:dyDescent="0.25">
      <c r="A18" s="77" t="s">
        <v>313</v>
      </c>
      <c r="B18" s="187">
        <v>45184</v>
      </c>
      <c r="C18" s="129"/>
      <c r="D18" s="129"/>
    </row>
    <row r="19" spans="1:4" x14ac:dyDescent="0.25">
      <c r="A19" s="77" t="s">
        <v>315</v>
      </c>
      <c r="B19" s="187"/>
      <c r="C19" s="129"/>
      <c r="D19" s="129"/>
    </row>
    <row r="20" spans="1:4" x14ac:dyDescent="0.25">
      <c r="A20" s="77" t="s">
        <v>317</v>
      </c>
      <c r="B20" s="129" t="s">
        <v>331</v>
      </c>
      <c r="C20" s="129"/>
      <c r="D20" s="129"/>
    </row>
    <row r="21" spans="1:4" x14ac:dyDescent="0.25">
      <c r="A21" s="77" t="s">
        <v>323</v>
      </c>
      <c r="B21" s="129" t="s">
        <v>332</v>
      </c>
      <c r="C21" s="129"/>
      <c r="D21" s="129"/>
    </row>
    <row r="23" spans="1:4" x14ac:dyDescent="0.25">
      <c r="B23" s="102" t="str">
        <f>HYPERLINK("#'Factor List'!A1","Back to Factor List")</f>
        <v>Back to Factor List</v>
      </c>
    </row>
    <row r="24" spans="1:4" x14ac:dyDescent="0.25">
      <c r="B24" s="102" t="s">
        <v>13</v>
      </c>
    </row>
    <row r="25" spans="1:4" x14ac:dyDescent="0.25">
      <c r="B25" s="102"/>
    </row>
    <row r="26" spans="1:4" ht="26.4" x14ac:dyDescent="0.25">
      <c r="A26" s="103" t="s">
        <v>373</v>
      </c>
      <c r="B26" s="103" t="s">
        <v>956</v>
      </c>
      <c r="C26" s="103" t="s">
        <v>957</v>
      </c>
      <c r="D26" s="103" t="s">
        <v>958</v>
      </c>
    </row>
    <row r="27" spans="1:4" x14ac:dyDescent="0.25">
      <c r="A27" s="104">
        <v>16</v>
      </c>
      <c r="B27" s="105">
        <v>3.4</v>
      </c>
      <c r="C27" s="105">
        <v>3.4</v>
      </c>
      <c r="D27" s="105">
        <v>3.69</v>
      </c>
    </row>
    <row r="28" spans="1:4" x14ac:dyDescent="0.25">
      <c r="A28" s="104">
        <v>17</v>
      </c>
      <c r="B28" s="105">
        <v>3.52</v>
      </c>
      <c r="C28" s="105">
        <v>3.52</v>
      </c>
      <c r="D28" s="105">
        <v>3.82</v>
      </c>
    </row>
    <row r="29" spans="1:4" x14ac:dyDescent="0.25">
      <c r="A29" s="104">
        <v>18</v>
      </c>
      <c r="B29" s="105">
        <v>3.63</v>
      </c>
      <c r="C29" s="105">
        <v>3.63</v>
      </c>
      <c r="D29" s="105">
        <v>3.98</v>
      </c>
    </row>
    <row r="30" spans="1:4" x14ac:dyDescent="0.25">
      <c r="A30" s="104">
        <v>19</v>
      </c>
      <c r="B30" s="105">
        <v>3.76</v>
      </c>
      <c r="C30" s="105">
        <v>3.76</v>
      </c>
      <c r="D30" s="105">
        <v>4.12</v>
      </c>
    </row>
    <row r="31" spans="1:4" x14ac:dyDescent="0.25">
      <c r="A31" s="104">
        <v>20</v>
      </c>
      <c r="B31" s="105">
        <v>3.9</v>
      </c>
      <c r="C31" s="105">
        <v>3.9</v>
      </c>
      <c r="D31" s="105">
        <v>4.26</v>
      </c>
    </row>
    <row r="32" spans="1:4" x14ac:dyDescent="0.25">
      <c r="A32" s="104">
        <v>21</v>
      </c>
      <c r="B32" s="105">
        <v>4.03</v>
      </c>
      <c r="C32" s="105">
        <v>4.03</v>
      </c>
      <c r="D32" s="105">
        <v>4.42</v>
      </c>
    </row>
    <row r="33" spans="1:4" x14ac:dyDescent="0.25">
      <c r="A33" s="104">
        <v>22</v>
      </c>
      <c r="B33" s="105">
        <v>4.16</v>
      </c>
      <c r="C33" s="105">
        <v>4.16</v>
      </c>
      <c r="D33" s="105">
        <v>4.57</v>
      </c>
    </row>
    <row r="34" spans="1:4" x14ac:dyDescent="0.25">
      <c r="A34" s="104">
        <v>23</v>
      </c>
      <c r="B34" s="105">
        <v>4.3099999999999996</v>
      </c>
      <c r="C34" s="105">
        <v>4.3099999999999996</v>
      </c>
      <c r="D34" s="105">
        <v>4.72</v>
      </c>
    </row>
    <row r="35" spans="1:4" x14ac:dyDescent="0.25">
      <c r="A35" s="104">
        <v>24</v>
      </c>
      <c r="B35" s="105">
        <v>4.46</v>
      </c>
      <c r="C35" s="105">
        <v>4.46</v>
      </c>
      <c r="D35" s="105">
        <v>4.8899999999999997</v>
      </c>
    </row>
    <row r="36" spans="1:4" x14ac:dyDescent="0.25">
      <c r="A36" s="104">
        <v>25</v>
      </c>
      <c r="B36" s="105">
        <v>4.6100000000000003</v>
      </c>
      <c r="C36" s="105">
        <v>4.6100000000000003</v>
      </c>
      <c r="D36" s="105">
        <v>5.0599999999999996</v>
      </c>
    </row>
    <row r="37" spans="1:4" x14ac:dyDescent="0.25">
      <c r="A37" s="104">
        <v>26</v>
      </c>
      <c r="B37" s="105">
        <v>4.7699999999999996</v>
      </c>
      <c r="C37" s="105">
        <v>4.7699999999999996</v>
      </c>
      <c r="D37" s="105">
        <v>5.23</v>
      </c>
    </row>
    <row r="38" spans="1:4" x14ac:dyDescent="0.25">
      <c r="A38" s="104">
        <v>27</v>
      </c>
      <c r="B38" s="105">
        <v>4.9400000000000004</v>
      </c>
      <c r="C38" s="105">
        <v>4.9400000000000004</v>
      </c>
      <c r="D38" s="105">
        <v>5.42</v>
      </c>
    </row>
    <row r="39" spans="1:4" x14ac:dyDescent="0.25">
      <c r="A39" s="104">
        <v>28</v>
      </c>
      <c r="B39" s="105">
        <v>5.1100000000000003</v>
      </c>
      <c r="C39" s="105">
        <v>5.1100000000000003</v>
      </c>
      <c r="D39" s="105">
        <v>5.6</v>
      </c>
    </row>
    <row r="40" spans="1:4" x14ac:dyDescent="0.25">
      <c r="A40" s="104">
        <v>29</v>
      </c>
      <c r="B40" s="105">
        <v>5.28</v>
      </c>
      <c r="C40" s="105">
        <v>5.28</v>
      </c>
      <c r="D40" s="105">
        <v>5.79</v>
      </c>
    </row>
    <row r="41" spans="1:4" x14ac:dyDescent="0.25">
      <c r="A41" s="104">
        <v>30</v>
      </c>
      <c r="B41" s="105">
        <v>5.47</v>
      </c>
      <c r="C41" s="105">
        <v>5.47</v>
      </c>
      <c r="D41" s="105">
        <v>6</v>
      </c>
    </row>
    <row r="42" spans="1:4" x14ac:dyDescent="0.25">
      <c r="A42" s="104">
        <v>31</v>
      </c>
      <c r="B42" s="105">
        <v>5.66</v>
      </c>
      <c r="C42" s="105">
        <v>5.66</v>
      </c>
      <c r="D42" s="105">
        <v>6.2</v>
      </c>
    </row>
    <row r="43" spans="1:4" x14ac:dyDescent="0.25">
      <c r="A43" s="104">
        <v>32</v>
      </c>
      <c r="B43" s="105">
        <v>5.85</v>
      </c>
      <c r="C43" s="105">
        <v>5.85</v>
      </c>
      <c r="D43" s="105">
        <v>6.42</v>
      </c>
    </row>
    <row r="44" spans="1:4" x14ac:dyDescent="0.25">
      <c r="A44" s="104">
        <v>33</v>
      </c>
      <c r="B44" s="105">
        <v>6.05</v>
      </c>
      <c r="C44" s="105">
        <v>6.05</v>
      </c>
      <c r="D44" s="105">
        <v>6.63</v>
      </c>
    </row>
    <row r="45" spans="1:4" x14ac:dyDescent="0.25">
      <c r="A45" s="104">
        <v>34</v>
      </c>
      <c r="B45" s="105">
        <v>6.26</v>
      </c>
      <c r="C45" s="105">
        <v>6.26</v>
      </c>
      <c r="D45" s="105">
        <v>6.86</v>
      </c>
    </row>
    <row r="46" spans="1:4" x14ac:dyDescent="0.25">
      <c r="A46" s="104">
        <v>35</v>
      </c>
      <c r="B46" s="105">
        <v>6.47</v>
      </c>
      <c r="C46" s="105">
        <v>6.47</v>
      </c>
      <c r="D46" s="105">
        <v>7.1</v>
      </c>
    </row>
    <row r="47" spans="1:4" x14ac:dyDescent="0.25">
      <c r="A47" s="104">
        <v>36</v>
      </c>
      <c r="B47" s="105">
        <v>6.69</v>
      </c>
      <c r="C47" s="105">
        <v>6.69</v>
      </c>
      <c r="D47" s="105">
        <v>7.33</v>
      </c>
    </row>
    <row r="48" spans="1:4" x14ac:dyDescent="0.25">
      <c r="A48" s="104">
        <v>37</v>
      </c>
      <c r="B48" s="105">
        <v>6.92</v>
      </c>
      <c r="C48" s="105">
        <v>6.92</v>
      </c>
      <c r="D48" s="105">
        <v>7.59</v>
      </c>
    </row>
    <row r="49" spans="1:4" x14ac:dyDescent="0.25">
      <c r="A49" s="104">
        <v>38</v>
      </c>
      <c r="B49" s="105">
        <v>7.15</v>
      </c>
      <c r="C49" s="105">
        <v>7.15</v>
      </c>
      <c r="D49" s="105">
        <v>7.84</v>
      </c>
    </row>
    <row r="50" spans="1:4" x14ac:dyDescent="0.25">
      <c r="A50" s="104">
        <v>39</v>
      </c>
      <c r="B50" s="105">
        <v>7.39</v>
      </c>
      <c r="C50" s="105">
        <v>7.39</v>
      </c>
      <c r="D50" s="105">
        <v>8.11</v>
      </c>
    </row>
    <row r="51" spans="1:4" x14ac:dyDescent="0.25">
      <c r="A51" s="104">
        <v>40</v>
      </c>
      <c r="B51" s="105">
        <v>7.65</v>
      </c>
      <c r="C51" s="105">
        <v>7.65</v>
      </c>
      <c r="D51" s="105">
        <v>8.3800000000000008</v>
      </c>
    </row>
    <row r="52" spans="1:4" x14ac:dyDescent="0.25">
      <c r="A52" s="104">
        <v>41</v>
      </c>
      <c r="B52" s="105">
        <v>7.9</v>
      </c>
      <c r="C52" s="105">
        <v>7.9</v>
      </c>
      <c r="D52" s="105">
        <v>8.66</v>
      </c>
    </row>
    <row r="53" spans="1:4" x14ac:dyDescent="0.25">
      <c r="A53" s="104">
        <v>42</v>
      </c>
      <c r="B53" s="105">
        <v>8.17</v>
      </c>
      <c r="C53" s="105">
        <v>8.17</v>
      </c>
      <c r="D53" s="105">
        <v>8.9600000000000009</v>
      </c>
    </row>
    <row r="54" spans="1:4" x14ac:dyDescent="0.25">
      <c r="A54" s="104">
        <v>43</v>
      </c>
      <c r="B54" s="105">
        <v>8.4499999999999993</v>
      </c>
      <c r="C54" s="105">
        <v>8.4499999999999993</v>
      </c>
      <c r="D54" s="105">
        <v>9.26</v>
      </c>
    </row>
    <row r="55" spans="1:4" x14ac:dyDescent="0.25">
      <c r="A55" s="104">
        <v>44</v>
      </c>
      <c r="B55" s="105">
        <v>8.73</v>
      </c>
      <c r="C55" s="105">
        <v>8.73</v>
      </c>
      <c r="D55" s="105">
        <v>9.57</v>
      </c>
    </row>
    <row r="56" spans="1:4" x14ac:dyDescent="0.25">
      <c r="A56" s="104">
        <v>45</v>
      </c>
      <c r="B56" s="105">
        <v>9.0299999999999994</v>
      </c>
      <c r="C56" s="105">
        <v>9.0299999999999994</v>
      </c>
      <c r="D56" s="105">
        <v>9.89</v>
      </c>
    </row>
    <row r="57" spans="1:4" x14ac:dyDescent="0.25">
      <c r="A57" s="104">
        <v>46</v>
      </c>
      <c r="B57" s="105">
        <v>9.33</v>
      </c>
      <c r="C57" s="105">
        <v>9.33</v>
      </c>
      <c r="D57" s="105">
        <v>10.220000000000001</v>
      </c>
    </row>
    <row r="58" spans="1:4" x14ac:dyDescent="0.25">
      <c r="A58" s="104">
        <v>47</v>
      </c>
      <c r="B58" s="105">
        <v>9.65</v>
      </c>
      <c r="C58" s="105">
        <v>9.65</v>
      </c>
      <c r="D58" s="105">
        <v>10.57</v>
      </c>
    </row>
    <row r="59" spans="1:4" x14ac:dyDescent="0.25">
      <c r="A59" s="104">
        <v>48</v>
      </c>
      <c r="B59" s="105">
        <v>9.98</v>
      </c>
      <c r="C59" s="105">
        <v>9.98</v>
      </c>
      <c r="D59" s="105">
        <v>10.91</v>
      </c>
    </row>
    <row r="60" spans="1:4" x14ac:dyDescent="0.25">
      <c r="A60" s="104">
        <v>49</v>
      </c>
      <c r="B60" s="105">
        <v>10.3</v>
      </c>
      <c r="C60" s="105">
        <v>10.3</v>
      </c>
      <c r="D60" s="105">
        <v>11.28</v>
      </c>
    </row>
    <row r="61" spans="1:4" x14ac:dyDescent="0.25">
      <c r="A61" s="104">
        <v>50</v>
      </c>
      <c r="B61" s="105">
        <v>10.65</v>
      </c>
      <c r="C61" s="105">
        <v>10.65</v>
      </c>
      <c r="D61" s="105">
        <v>11.66</v>
      </c>
    </row>
    <row r="62" spans="1:4" x14ac:dyDescent="0.25">
      <c r="A62" s="104">
        <v>51</v>
      </c>
      <c r="B62" s="105">
        <v>11.02</v>
      </c>
      <c r="C62" s="105">
        <v>11.02</v>
      </c>
      <c r="D62" s="105">
        <v>12.05</v>
      </c>
    </row>
    <row r="63" spans="1:4" x14ac:dyDescent="0.25">
      <c r="A63" s="104">
        <v>52</v>
      </c>
      <c r="B63" s="105">
        <v>11.38</v>
      </c>
      <c r="C63" s="105">
        <v>11.38</v>
      </c>
      <c r="D63" s="105">
        <v>12.44</v>
      </c>
    </row>
    <row r="64" spans="1:4" x14ac:dyDescent="0.25">
      <c r="A64" s="104">
        <v>53</v>
      </c>
      <c r="B64" s="105">
        <v>11.76</v>
      </c>
      <c r="C64" s="105">
        <v>11.76</v>
      </c>
      <c r="D64" s="105">
        <v>12.86</v>
      </c>
    </row>
    <row r="65" spans="1:4" x14ac:dyDescent="0.25">
      <c r="A65" s="104">
        <v>54</v>
      </c>
      <c r="B65" s="105">
        <v>12.16</v>
      </c>
      <c r="C65" s="105">
        <v>12.16</v>
      </c>
      <c r="D65" s="105">
        <v>13.29</v>
      </c>
    </row>
    <row r="66" spans="1:4" x14ac:dyDescent="0.25">
      <c r="A66" s="104">
        <v>55</v>
      </c>
      <c r="B66" s="105">
        <v>12.58</v>
      </c>
      <c r="C66" s="105">
        <v>12.58</v>
      </c>
      <c r="D66" s="105">
        <v>13.73</v>
      </c>
    </row>
    <row r="67" spans="1:4" x14ac:dyDescent="0.25">
      <c r="A67" s="104">
        <v>56</v>
      </c>
      <c r="B67" s="105">
        <v>13</v>
      </c>
      <c r="C67" s="105">
        <v>13</v>
      </c>
      <c r="D67" s="105">
        <v>14.19</v>
      </c>
    </row>
    <row r="68" spans="1:4" x14ac:dyDescent="0.25">
      <c r="A68" s="104">
        <v>57</v>
      </c>
      <c r="B68" s="105">
        <v>13.44</v>
      </c>
      <c r="C68" s="105">
        <v>13.44</v>
      </c>
      <c r="D68" s="105">
        <v>14.67</v>
      </c>
    </row>
    <row r="69" spans="1:4" x14ac:dyDescent="0.25">
      <c r="A69" s="104">
        <v>58</v>
      </c>
      <c r="B69" s="105">
        <v>13.91</v>
      </c>
      <c r="C69" s="105">
        <v>13.91</v>
      </c>
      <c r="D69" s="105">
        <v>15.16</v>
      </c>
    </row>
    <row r="70" spans="1:4" x14ac:dyDescent="0.25">
      <c r="A70" s="104">
        <v>59</v>
      </c>
      <c r="B70" s="105">
        <v>14.39</v>
      </c>
      <c r="C70" s="105">
        <v>14.39</v>
      </c>
      <c r="D70" s="105">
        <v>15.67</v>
      </c>
    </row>
    <row r="71" spans="1:4" x14ac:dyDescent="0.25">
      <c r="A71" s="104">
        <v>60</v>
      </c>
      <c r="B71" s="105">
        <v>14.89</v>
      </c>
      <c r="C71" s="105">
        <v>14.89</v>
      </c>
      <c r="D71" s="105">
        <v>16.21</v>
      </c>
    </row>
    <row r="72" spans="1:4" x14ac:dyDescent="0.25">
      <c r="A72" s="104">
        <v>61</v>
      </c>
      <c r="B72" s="105">
        <v>15.42</v>
      </c>
      <c r="C72" s="105">
        <v>15.42</v>
      </c>
      <c r="D72" s="105">
        <v>16.77</v>
      </c>
    </row>
    <row r="73" spans="1:4" x14ac:dyDescent="0.25">
      <c r="A73" s="104">
        <v>62</v>
      </c>
      <c r="B73" s="105">
        <v>15.97</v>
      </c>
      <c r="C73" s="105">
        <v>15.97</v>
      </c>
      <c r="D73" s="105">
        <v>17.350000000000001</v>
      </c>
    </row>
    <row r="74" spans="1:4" x14ac:dyDescent="0.25">
      <c r="A74" s="104">
        <v>63</v>
      </c>
      <c r="B74" s="105">
        <v>16.55</v>
      </c>
      <c r="C74" s="105">
        <v>16.55</v>
      </c>
      <c r="D74" s="105">
        <v>17.96</v>
      </c>
    </row>
    <row r="75" spans="1:4" x14ac:dyDescent="0.25">
      <c r="A75" s="104">
        <v>64</v>
      </c>
      <c r="B75" s="105">
        <v>17.18</v>
      </c>
      <c r="C75" s="105">
        <v>17.18</v>
      </c>
      <c r="D75" s="105">
        <v>18.61</v>
      </c>
    </row>
    <row r="76" spans="1:4" x14ac:dyDescent="0.25">
      <c r="A76" s="104">
        <v>65</v>
      </c>
      <c r="B76" s="105">
        <v>17.829999999999998</v>
      </c>
      <c r="C76" s="105">
        <v>17.829999999999998</v>
      </c>
      <c r="D76" s="105">
        <v>19.3</v>
      </c>
    </row>
    <row r="77" spans="1:4" x14ac:dyDescent="0.25">
      <c r="A77" s="104">
        <v>66</v>
      </c>
      <c r="B77" s="105">
        <v>17.850000000000001</v>
      </c>
      <c r="C77" s="105">
        <v>17.850000000000001</v>
      </c>
      <c r="D77" s="105">
        <v>19.329999999999998</v>
      </c>
    </row>
    <row r="78" spans="1:4" x14ac:dyDescent="0.25">
      <c r="A78" s="104">
        <v>67</v>
      </c>
      <c r="B78" s="105">
        <v>17.21</v>
      </c>
      <c r="C78" s="105">
        <v>17.21</v>
      </c>
      <c r="D78" s="105">
        <v>18.690000000000001</v>
      </c>
    </row>
    <row r="79" spans="1:4" x14ac:dyDescent="0.25">
      <c r="A79" s="104">
        <v>68</v>
      </c>
      <c r="B79" s="105">
        <v>16.559999999999999</v>
      </c>
      <c r="C79" s="105">
        <v>16.559999999999999</v>
      </c>
      <c r="D79" s="105">
        <v>18.04</v>
      </c>
    </row>
    <row r="80" spans="1:4" x14ac:dyDescent="0.25">
      <c r="A80" s="104">
        <v>69</v>
      </c>
      <c r="B80" s="105">
        <v>15.92</v>
      </c>
      <c r="C80" s="105">
        <v>15.92</v>
      </c>
      <c r="D80" s="105">
        <v>17.399999999999999</v>
      </c>
    </row>
    <row r="81" spans="1:4" x14ac:dyDescent="0.25">
      <c r="A81" s="104">
        <v>70</v>
      </c>
      <c r="B81" s="105">
        <v>15.29</v>
      </c>
      <c r="C81" s="105">
        <v>15.29</v>
      </c>
      <c r="D81" s="105">
        <v>16.760000000000002</v>
      </c>
    </row>
    <row r="82" spans="1:4" x14ac:dyDescent="0.25">
      <c r="A82" s="104">
        <v>71</v>
      </c>
      <c r="B82" s="105">
        <v>14.66</v>
      </c>
      <c r="C82" s="105">
        <v>14.66</v>
      </c>
      <c r="D82" s="105">
        <v>16.12</v>
      </c>
    </row>
    <row r="83" spans="1:4" x14ac:dyDescent="0.25">
      <c r="A83" s="104">
        <v>72</v>
      </c>
      <c r="B83" s="105">
        <v>14.04</v>
      </c>
      <c r="C83" s="105">
        <v>14.04</v>
      </c>
      <c r="D83" s="105">
        <v>15.48</v>
      </c>
    </row>
    <row r="84" spans="1:4" x14ac:dyDescent="0.25">
      <c r="A84" s="104">
        <v>73</v>
      </c>
      <c r="B84" s="105">
        <v>13.41</v>
      </c>
      <c r="C84" s="105">
        <v>13.41</v>
      </c>
      <c r="D84" s="105">
        <v>14.85</v>
      </c>
    </row>
    <row r="85" spans="1:4" x14ac:dyDescent="0.25">
      <c r="A85" s="104">
        <v>74</v>
      </c>
      <c r="B85" s="105">
        <v>12.81</v>
      </c>
      <c r="C85" s="105">
        <v>12.81</v>
      </c>
      <c r="D85" s="105">
        <v>14.23</v>
      </c>
    </row>
    <row r="86" spans="1:4" x14ac:dyDescent="0.25">
      <c r="A86" s="104">
        <v>75</v>
      </c>
      <c r="B86" s="105">
        <v>12.51</v>
      </c>
      <c r="C86" s="105">
        <v>12.51</v>
      </c>
      <c r="D86" s="105">
        <v>13.92</v>
      </c>
    </row>
  </sheetData>
  <sheetProtection algorithmName="SHA-512" hashValue="gjpsQYG77/tBKXKshwz4+5PAtOLKs0ncF1ajkmRvp7Cs6IgUX3HFcKlPi1dsSebHYR/nfdWH/0pqolEsR21Ipw==" saltValue="10PSxSicP+fnKMZTagDCcw==" spinCount="100000" sheet="1" objects="1" scenarios="1"/>
  <conditionalFormatting sqref="A6:A21">
    <cfRule type="expression" dxfId="449" priority="1" stopIfTrue="1">
      <formula>MOD(ROW(),2)=0</formula>
    </cfRule>
    <cfRule type="expression" dxfId="448" priority="2" stopIfTrue="1">
      <formula>MOD(ROW(),2)&lt;&gt;0</formula>
    </cfRule>
  </conditionalFormatting>
  <conditionalFormatting sqref="A26:A86">
    <cfRule type="expression" dxfId="447" priority="5" stopIfTrue="1">
      <formula>MOD(ROW(),2)=0</formula>
    </cfRule>
    <cfRule type="expression" dxfId="446" priority="6" stopIfTrue="1">
      <formula>MOD(ROW(),2)&lt;&gt;0</formula>
    </cfRule>
  </conditionalFormatting>
  <conditionalFormatting sqref="B12">
    <cfRule type="expression" dxfId="445" priority="13" stopIfTrue="1">
      <formula>MOD(ROW(),2)=0</formula>
    </cfRule>
    <cfRule type="expression" dxfId="444" priority="14" stopIfTrue="1">
      <formula>MOD(ROW(),2)&lt;&gt;0</formula>
    </cfRule>
  </conditionalFormatting>
  <conditionalFormatting sqref="B18:B21">
    <cfRule type="expression" dxfId="443" priority="9" stopIfTrue="1">
      <formula>MOD(ROW(),2)=0</formula>
    </cfRule>
    <cfRule type="expression" dxfId="442" priority="10" stopIfTrue="1">
      <formula>MOD(ROW(),2)&lt;&gt;0</formula>
    </cfRule>
  </conditionalFormatting>
  <conditionalFormatting sqref="B6:D21">
    <cfRule type="expression" dxfId="441" priority="23" stopIfTrue="1">
      <formula>MOD(ROW(),2)=0</formula>
    </cfRule>
    <cfRule type="expression" dxfId="440" priority="24" stopIfTrue="1">
      <formula>MOD(ROW(),2)&lt;&gt;0</formula>
    </cfRule>
  </conditionalFormatting>
  <conditionalFormatting sqref="B26:D86">
    <cfRule type="expression" dxfId="439" priority="7" stopIfTrue="1">
      <formula>MOD(ROW(),2)=0</formula>
    </cfRule>
    <cfRule type="expression" dxfId="438" priority="8" stopIfTrue="1">
      <formula>MOD(ROW(),2)&lt;&gt;0</formula>
    </cfRule>
  </conditionalFormatting>
  <hyperlinks>
    <hyperlink ref="B24" location="Sheet1!A1" display="Assumptions" xr:uid="{74262A5B-96DC-4E2B-9855-71DD76ECA8E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98"/>
  <dimension ref="A1:I86"/>
  <sheetViews>
    <sheetView showGridLines="0" zoomScale="85" zoomScaleNormal="85" workbookViewId="0">
      <selection activeCell="A4" sqref="A4"/>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Added pension - x-720</v>
      </c>
      <c r="B3" s="42"/>
      <c r="C3" s="42"/>
      <c r="D3" s="42"/>
      <c r="E3" s="42"/>
      <c r="F3" s="42"/>
      <c r="G3" s="42"/>
      <c r="H3" s="42"/>
      <c r="I3" s="42"/>
    </row>
    <row r="4" spans="1:9" x14ac:dyDescent="0.25">
      <c r="A4" s="44"/>
    </row>
    <row r="6" spans="1:9" x14ac:dyDescent="0.25">
      <c r="A6" s="76" t="s">
        <v>290</v>
      </c>
      <c r="B6" s="129" t="s">
        <v>291</v>
      </c>
      <c r="C6" s="129"/>
      <c r="D6" s="129"/>
    </row>
    <row r="7" spans="1:9" x14ac:dyDescent="0.25">
      <c r="A7" s="77" t="s">
        <v>804</v>
      </c>
      <c r="B7" s="129" t="s">
        <v>324</v>
      </c>
      <c r="C7" s="129"/>
      <c r="D7" s="129"/>
    </row>
    <row r="8" spans="1:9" x14ac:dyDescent="0.25">
      <c r="A8" s="77" t="s">
        <v>805</v>
      </c>
      <c r="B8" s="129" t="s">
        <v>85</v>
      </c>
      <c r="C8" s="129"/>
      <c r="D8" s="129"/>
    </row>
    <row r="9" spans="1:9" x14ac:dyDescent="0.25">
      <c r="A9" s="77" t="s">
        <v>296</v>
      </c>
      <c r="B9" s="129" t="s">
        <v>605</v>
      </c>
      <c r="C9" s="129"/>
      <c r="D9" s="129"/>
    </row>
    <row r="10" spans="1:9" x14ac:dyDescent="0.25">
      <c r="A10" s="77" t="s">
        <v>6</v>
      </c>
      <c r="B10" s="129" t="s">
        <v>625</v>
      </c>
      <c r="C10" s="129"/>
      <c r="D10" s="129"/>
    </row>
    <row r="11" spans="1:9" x14ac:dyDescent="0.25">
      <c r="A11" s="77" t="s">
        <v>299</v>
      </c>
      <c r="B11" s="129" t="s">
        <v>607</v>
      </c>
      <c r="C11" s="129"/>
      <c r="D11" s="129"/>
    </row>
    <row r="12" spans="1:9" x14ac:dyDescent="0.25">
      <c r="A12" s="77" t="s">
        <v>301</v>
      </c>
      <c r="B12" s="129" t="s">
        <v>328</v>
      </c>
      <c r="C12" s="129"/>
      <c r="D12" s="129"/>
    </row>
    <row r="13" spans="1:9" x14ac:dyDescent="0.25">
      <c r="A13" s="77" t="s">
        <v>806</v>
      </c>
      <c r="B13" s="129">
        <v>0</v>
      </c>
      <c r="C13" s="129"/>
      <c r="D13" s="129"/>
    </row>
    <row r="14" spans="1:9" x14ac:dyDescent="0.25">
      <c r="A14" s="77" t="s">
        <v>305</v>
      </c>
      <c r="B14" s="129">
        <v>720</v>
      </c>
      <c r="C14" s="129"/>
      <c r="D14" s="129"/>
    </row>
    <row r="15" spans="1:9" x14ac:dyDescent="0.25">
      <c r="A15" s="77" t="s">
        <v>307</v>
      </c>
      <c r="B15" s="129" t="s">
        <v>626</v>
      </c>
      <c r="C15" s="129"/>
      <c r="D15" s="129"/>
    </row>
    <row r="16" spans="1:9" x14ac:dyDescent="0.25">
      <c r="A16" s="77" t="s">
        <v>825</v>
      </c>
      <c r="B16" s="129" t="s">
        <v>627</v>
      </c>
      <c r="C16" s="129"/>
      <c r="D16" s="129"/>
    </row>
    <row r="17" spans="1:4" x14ac:dyDescent="0.25">
      <c r="A17" s="77" t="s">
        <v>803</v>
      </c>
      <c r="B17" s="129"/>
      <c r="C17" s="129"/>
      <c r="D17" s="129"/>
    </row>
    <row r="18" spans="1:4" x14ac:dyDescent="0.25">
      <c r="A18" s="77" t="s">
        <v>313</v>
      </c>
      <c r="B18" s="187">
        <v>45184</v>
      </c>
      <c r="C18" s="129"/>
      <c r="D18" s="129"/>
    </row>
    <row r="19" spans="1:4" x14ac:dyDescent="0.25">
      <c r="A19" s="77" t="s">
        <v>315</v>
      </c>
      <c r="B19" s="187"/>
      <c r="C19" s="129"/>
      <c r="D19" s="129"/>
    </row>
    <row r="20" spans="1:4" x14ac:dyDescent="0.25">
      <c r="A20" s="77" t="s">
        <v>317</v>
      </c>
      <c r="B20" s="129" t="s">
        <v>331</v>
      </c>
      <c r="C20" s="129"/>
      <c r="D20" s="129"/>
    </row>
    <row r="21" spans="1:4" x14ac:dyDescent="0.25">
      <c r="A21" s="77" t="s">
        <v>323</v>
      </c>
      <c r="B21" s="129" t="s">
        <v>332</v>
      </c>
      <c r="C21" s="129"/>
      <c r="D21" s="129"/>
    </row>
    <row r="23" spans="1:4" x14ac:dyDescent="0.25">
      <c r="B23" s="102" t="str">
        <f>HYPERLINK("#'Factor List'!A1","Back to Factor List")</f>
        <v>Back to Factor List</v>
      </c>
    </row>
    <row r="24" spans="1:4" x14ac:dyDescent="0.25">
      <c r="B24" s="102" t="s">
        <v>13</v>
      </c>
    </row>
    <row r="25" spans="1:4" x14ac:dyDescent="0.25">
      <c r="B25" s="102"/>
    </row>
    <row r="26" spans="1:4" ht="26.4" x14ac:dyDescent="0.25">
      <c r="A26" s="103" t="s">
        <v>373</v>
      </c>
      <c r="B26" s="103" t="s">
        <v>956</v>
      </c>
      <c r="C26" s="103" t="s">
        <v>957</v>
      </c>
      <c r="D26" s="103" t="s">
        <v>958</v>
      </c>
    </row>
    <row r="27" spans="1:4" x14ac:dyDescent="0.25">
      <c r="A27" s="104">
        <v>16</v>
      </c>
      <c r="B27" s="105">
        <v>3.19</v>
      </c>
      <c r="C27" s="105">
        <v>3.19</v>
      </c>
      <c r="D27" s="105">
        <v>3.48</v>
      </c>
    </row>
    <row r="28" spans="1:4" x14ac:dyDescent="0.25">
      <c r="A28" s="104">
        <v>17</v>
      </c>
      <c r="B28" s="105">
        <v>3.29</v>
      </c>
      <c r="C28" s="105">
        <v>3.29</v>
      </c>
      <c r="D28" s="105">
        <v>3.61</v>
      </c>
    </row>
    <row r="29" spans="1:4" x14ac:dyDescent="0.25">
      <c r="A29" s="104">
        <v>18</v>
      </c>
      <c r="B29" s="105">
        <v>3.42</v>
      </c>
      <c r="C29" s="105">
        <v>3.42</v>
      </c>
      <c r="D29" s="105">
        <v>3.74</v>
      </c>
    </row>
    <row r="30" spans="1:4" x14ac:dyDescent="0.25">
      <c r="A30" s="104">
        <v>19</v>
      </c>
      <c r="B30" s="105">
        <v>3.53</v>
      </c>
      <c r="C30" s="105">
        <v>3.53</v>
      </c>
      <c r="D30" s="105">
        <v>3.89</v>
      </c>
    </row>
    <row r="31" spans="1:4" x14ac:dyDescent="0.25">
      <c r="A31" s="104">
        <v>20</v>
      </c>
      <c r="B31" s="105">
        <v>3.65</v>
      </c>
      <c r="C31" s="105">
        <v>3.65</v>
      </c>
      <c r="D31" s="105">
        <v>4.0199999999999996</v>
      </c>
    </row>
    <row r="32" spans="1:4" x14ac:dyDescent="0.25">
      <c r="A32" s="104">
        <v>21</v>
      </c>
      <c r="B32" s="105">
        <v>3.78</v>
      </c>
      <c r="C32" s="105">
        <v>3.78</v>
      </c>
      <c r="D32" s="105">
        <v>4.16</v>
      </c>
    </row>
    <row r="33" spans="1:4" x14ac:dyDescent="0.25">
      <c r="A33" s="104">
        <v>22</v>
      </c>
      <c r="B33" s="105">
        <v>3.91</v>
      </c>
      <c r="C33" s="105">
        <v>3.91</v>
      </c>
      <c r="D33" s="105">
        <v>4.3</v>
      </c>
    </row>
    <row r="34" spans="1:4" x14ac:dyDescent="0.25">
      <c r="A34" s="104">
        <v>23</v>
      </c>
      <c r="B34" s="105">
        <v>4.05</v>
      </c>
      <c r="C34" s="105">
        <v>4.05</v>
      </c>
      <c r="D34" s="105">
        <v>4.46</v>
      </c>
    </row>
    <row r="35" spans="1:4" x14ac:dyDescent="0.25">
      <c r="A35" s="104">
        <v>24</v>
      </c>
      <c r="B35" s="105">
        <v>4.18</v>
      </c>
      <c r="C35" s="105">
        <v>4.18</v>
      </c>
      <c r="D35" s="105">
        <v>4.6100000000000003</v>
      </c>
    </row>
    <row r="36" spans="1:4" x14ac:dyDescent="0.25">
      <c r="A36" s="104">
        <v>25</v>
      </c>
      <c r="B36" s="105">
        <v>4.32</v>
      </c>
      <c r="C36" s="105">
        <v>4.32</v>
      </c>
      <c r="D36" s="105">
        <v>4.76</v>
      </c>
    </row>
    <row r="37" spans="1:4" x14ac:dyDescent="0.25">
      <c r="A37" s="104">
        <v>26</v>
      </c>
      <c r="B37" s="105">
        <v>4.4800000000000004</v>
      </c>
      <c r="C37" s="105">
        <v>4.4800000000000004</v>
      </c>
      <c r="D37" s="105">
        <v>4.93</v>
      </c>
    </row>
    <row r="38" spans="1:4" x14ac:dyDescent="0.25">
      <c r="A38" s="104">
        <v>27</v>
      </c>
      <c r="B38" s="105">
        <v>4.63</v>
      </c>
      <c r="C38" s="105">
        <v>4.63</v>
      </c>
      <c r="D38" s="105">
        <v>5.0999999999999996</v>
      </c>
    </row>
    <row r="39" spans="1:4" x14ac:dyDescent="0.25">
      <c r="A39" s="104">
        <v>28</v>
      </c>
      <c r="B39" s="105">
        <v>4.79</v>
      </c>
      <c r="C39" s="105">
        <v>4.79</v>
      </c>
      <c r="D39" s="105">
        <v>5.27</v>
      </c>
    </row>
    <row r="40" spans="1:4" x14ac:dyDescent="0.25">
      <c r="A40" s="104">
        <v>29</v>
      </c>
      <c r="B40" s="105">
        <v>4.96</v>
      </c>
      <c r="C40" s="105">
        <v>4.96</v>
      </c>
      <c r="D40" s="105">
        <v>5.46</v>
      </c>
    </row>
    <row r="41" spans="1:4" x14ac:dyDescent="0.25">
      <c r="A41" s="104">
        <v>30</v>
      </c>
      <c r="B41" s="105">
        <v>5.13</v>
      </c>
      <c r="C41" s="105">
        <v>5.13</v>
      </c>
      <c r="D41" s="105">
        <v>5.65</v>
      </c>
    </row>
    <row r="42" spans="1:4" x14ac:dyDescent="0.25">
      <c r="A42" s="104">
        <v>31</v>
      </c>
      <c r="B42" s="105">
        <v>5.3</v>
      </c>
      <c r="C42" s="105">
        <v>5.3</v>
      </c>
      <c r="D42" s="105">
        <v>5.84</v>
      </c>
    </row>
    <row r="43" spans="1:4" x14ac:dyDescent="0.25">
      <c r="A43" s="104">
        <v>32</v>
      </c>
      <c r="B43" s="105">
        <v>5.49</v>
      </c>
      <c r="C43" s="105">
        <v>5.49</v>
      </c>
      <c r="D43" s="105">
        <v>6.04</v>
      </c>
    </row>
    <row r="44" spans="1:4" x14ac:dyDescent="0.25">
      <c r="A44" s="104">
        <v>33</v>
      </c>
      <c r="B44" s="105">
        <v>5.67</v>
      </c>
      <c r="C44" s="105">
        <v>5.67</v>
      </c>
      <c r="D44" s="105">
        <v>6.25</v>
      </c>
    </row>
    <row r="45" spans="1:4" x14ac:dyDescent="0.25">
      <c r="A45" s="104">
        <v>34</v>
      </c>
      <c r="B45" s="105">
        <v>5.86</v>
      </c>
      <c r="C45" s="105">
        <v>5.86</v>
      </c>
      <c r="D45" s="105">
        <v>6.46</v>
      </c>
    </row>
    <row r="46" spans="1:4" x14ac:dyDescent="0.25">
      <c r="A46" s="104">
        <v>35</v>
      </c>
      <c r="B46" s="105">
        <v>6.07</v>
      </c>
      <c r="C46" s="105">
        <v>6.07</v>
      </c>
      <c r="D46" s="105">
        <v>6.68</v>
      </c>
    </row>
    <row r="47" spans="1:4" x14ac:dyDescent="0.25">
      <c r="A47" s="104">
        <v>36</v>
      </c>
      <c r="B47" s="105">
        <v>6.27</v>
      </c>
      <c r="C47" s="105">
        <v>6.27</v>
      </c>
      <c r="D47" s="105">
        <v>6.91</v>
      </c>
    </row>
    <row r="48" spans="1:4" x14ac:dyDescent="0.25">
      <c r="A48" s="104">
        <v>37</v>
      </c>
      <c r="B48" s="105">
        <v>6.49</v>
      </c>
      <c r="C48" s="105">
        <v>6.49</v>
      </c>
      <c r="D48" s="105">
        <v>7.14</v>
      </c>
    </row>
    <row r="49" spans="1:4" x14ac:dyDescent="0.25">
      <c r="A49" s="104">
        <v>38</v>
      </c>
      <c r="B49" s="105">
        <v>6.7</v>
      </c>
      <c r="C49" s="105">
        <v>6.7</v>
      </c>
      <c r="D49" s="105">
        <v>7.38</v>
      </c>
    </row>
    <row r="50" spans="1:4" x14ac:dyDescent="0.25">
      <c r="A50" s="104">
        <v>39</v>
      </c>
      <c r="B50" s="105">
        <v>6.93</v>
      </c>
      <c r="C50" s="105">
        <v>6.93</v>
      </c>
      <c r="D50" s="105">
        <v>7.63</v>
      </c>
    </row>
    <row r="51" spans="1:4" x14ac:dyDescent="0.25">
      <c r="A51" s="104">
        <v>40</v>
      </c>
      <c r="B51" s="105">
        <v>7.16</v>
      </c>
      <c r="C51" s="105">
        <v>7.16</v>
      </c>
      <c r="D51" s="105">
        <v>7.88</v>
      </c>
    </row>
    <row r="52" spans="1:4" x14ac:dyDescent="0.25">
      <c r="A52" s="104">
        <v>41</v>
      </c>
      <c r="B52" s="105">
        <v>7.41</v>
      </c>
      <c r="C52" s="105">
        <v>7.41</v>
      </c>
      <c r="D52" s="105">
        <v>8.15</v>
      </c>
    </row>
    <row r="53" spans="1:4" x14ac:dyDescent="0.25">
      <c r="A53" s="104">
        <v>42</v>
      </c>
      <c r="B53" s="105">
        <v>7.65</v>
      </c>
      <c r="C53" s="105">
        <v>7.65</v>
      </c>
      <c r="D53" s="105">
        <v>8.43</v>
      </c>
    </row>
    <row r="54" spans="1:4" x14ac:dyDescent="0.25">
      <c r="A54" s="104">
        <v>43</v>
      </c>
      <c r="B54" s="105">
        <v>7.9</v>
      </c>
      <c r="C54" s="105">
        <v>7.9</v>
      </c>
      <c r="D54" s="105">
        <v>8.6999999999999993</v>
      </c>
    </row>
    <row r="55" spans="1:4" x14ac:dyDescent="0.25">
      <c r="A55" s="104">
        <v>44</v>
      </c>
      <c r="B55" s="105">
        <v>8.18</v>
      </c>
      <c r="C55" s="105">
        <v>8.18</v>
      </c>
      <c r="D55" s="105">
        <v>9</v>
      </c>
    </row>
    <row r="56" spans="1:4" x14ac:dyDescent="0.25">
      <c r="A56" s="104">
        <v>45</v>
      </c>
      <c r="B56" s="105">
        <v>8.4499999999999993</v>
      </c>
      <c r="C56" s="105">
        <v>8.4499999999999993</v>
      </c>
      <c r="D56" s="105">
        <v>9.2899999999999991</v>
      </c>
    </row>
    <row r="57" spans="1:4" x14ac:dyDescent="0.25">
      <c r="A57" s="104">
        <v>46</v>
      </c>
      <c r="B57" s="105">
        <v>8.73</v>
      </c>
      <c r="C57" s="105">
        <v>8.73</v>
      </c>
      <c r="D57" s="105">
        <v>9.61</v>
      </c>
    </row>
    <row r="58" spans="1:4" x14ac:dyDescent="0.25">
      <c r="A58" s="104">
        <v>47</v>
      </c>
      <c r="B58" s="105">
        <v>9.0299999999999994</v>
      </c>
      <c r="C58" s="105">
        <v>9.0299999999999994</v>
      </c>
      <c r="D58" s="105">
        <v>9.92</v>
      </c>
    </row>
    <row r="59" spans="1:4" x14ac:dyDescent="0.25">
      <c r="A59" s="104">
        <v>48</v>
      </c>
      <c r="B59" s="105">
        <v>9.32</v>
      </c>
      <c r="C59" s="105">
        <v>9.32</v>
      </c>
      <c r="D59" s="105">
        <v>10.25</v>
      </c>
    </row>
    <row r="60" spans="1:4" x14ac:dyDescent="0.25">
      <c r="A60" s="104">
        <v>49</v>
      </c>
      <c r="B60" s="105">
        <v>9.64</v>
      </c>
      <c r="C60" s="105">
        <v>9.64</v>
      </c>
      <c r="D60" s="105">
        <v>10.6</v>
      </c>
    </row>
    <row r="61" spans="1:4" x14ac:dyDescent="0.25">
      <c r="A61" s="104">
        <v>50</v>
      </c>
      <c r="B61" s="105">
        <v>9.9600000000000009</v>
      </c>
      <c r="C61" s="105">
        <v>9.9600000000000009</v>
      </c>
      <c r="D61" s="105">
        <v>10.94</v>
      </c>
    </row>
    <row r="62" spans="1:4" x14ac:dyDescent="0.25">
      <c r="A62" s="104">
        <v>51</v>
      </c>
      <c r="B62" s="105">
        <v>10.29</v>
      </c>
      <c r="C62" s="105">
        <v>10.29</v>
      </c>
      <c r="D62" s="105">
        <v>11.3</v>
      </c>
    </row>
    <row r="63" spans="1:4" x14ac:dyDescent="0.25">
      <c r="A63" s="104">
        <v>52</v>
      </c>
      <c r="B63" s="105">
        <v>10.64</v>
      </c>
      <c r="C63" s="105">
        <v>10.64</v>
      </c>
      <c r="D63" s="105">
        <v>11.68</v>
      </c>
    </row>
    <row r="64" spans="1:4" x14ac:dyDescent="0.25">
      <c r="A64" s="104">
        <v>53</v>
      </c>
      <c r="B64" s="105">
        <v>10.99</v>
      </c>
      <c r="C64" s="105">
        <v>10.99</v>
      </c>
      <c r="D64" s="105">
        <v>12.07</v>
      </c>
    </row>
    <row r="65" spans="1:4" x14ac:dyDescent="0.25">
      <c r="A65" s="104">
        <v>54</v>
      </c>
      <c r="B65" s="105">
        <v>11.35</v>
      </c>
      <c r="C65" s="105">
        <v>11.35</v>
      </c>
      <c r="D65" s="105">
        <v>12.45</v>
      </c>
    </row>
    <row r="66" spans="1:4" x14ac:dyDescent="0.25">
      <c r="A66" s="104">
        <v>55</v>
      </c>
      <c r="B66" s="105">
        <v>11.74</v>
      </c>
      <c r="C66" s="105">
        <v>11.74</v>
      </c>
      <c r="D66" s="105">
        <v>12.87</v>
      </c>
    </row>
    <row r="67" spans="1:4" x14ac:dyDescent="0.25">
      <c r="A67" s="104">
        <v>56</v>
      </c>
      <c r="B67" s="105">
        <v>12.13</v>
      </c>
      <c r="C67" s="105">
        <v>12.13</v>
      </c>
      <c r="D67" s="105">
        <v>13.29</v>
      </c>
    </row>
    <row r="68" spans="1:4" x14ac:dyDescent="0.25">
      <c r="A68" s="104">
        <v>57</v>
      </c>
      <c r="B68" s="105">
        <v>12.55</v>
      </c>
      <c r="C68" s="105">
        <v>12.55</v>
      </c>
      <c r="D68" s="105">
        <v>13.74</v>
      </c>
    </row>
    <row r="69" spans="1:4" x14ac:dyDescent="0.25">
      <c r="A69" s="104">
        <v>58</v>
      </c>
      <c r="B69" s="105">
        <v>12.96</v>
      </c>
      <c r="C69" s="105">
        <v>12.96</v>
      </c>
      <c r="D69" s="105">
        <v>14.19</v>
      </c>
    </row>
    <row r="70" spans="1:4" x14ac:dyDescent="0.25">
      <c r="A70" s="104">
        <v>59</v>
      </c>
      <c r="B70" s="105">
        <v>13.41</v>
      </c>
      <c r="C70" s="105">
        <v>13.41</v>
      </c>
      <c r="D70" s="105">
        <v>14.67</v>
      </c>
    </row>
    <row r="71" spans="1:4" x14ac:dyDescent="0.25">
      <c r="A71" s="104">
        <v>60</v>
      </c>
      <c r="B71" s="105">
        <v>13.87</v>
      </c>
      <c r="C71" s="105">
        <v>13.87</v>
      </c>
      <c r="D71" s="105">
        <v>15.16</v>
      </c>
    </row>
    <row r="72" spans="1:4" x14ac:dyDescent="0.25">
      <c r="A72" s="104">
        <v>61</v>
      </c>
      <c r="B72" s="105">
        <v>14.36</v>
      </c>
      <c r="C72" s="105">
        <v>14.36</v>
      </c>
      <c r="D72" s="105">
        <v>15.68</v>
      </c>
    </row>
    <row r="73" spans="1:4" x14ac:dyDescent="0.25">
      <c r="A73" s="104">
        <v>62</v>
      </c>
      <c r="B73" s="105">
        <v>14.86</v>
      </c>
      <c r="C73" s="105">
        <v>14.86</v>
      </c>
      <c r="D73" s="105">
        <v>16.22</v>
      </c>
    </row>
    <row r="74" spans="1:4" x14ac:dyDescent="0.25">
      <c r="A74" s="104">
        <v>63</v>
      </c>
      <c r="B74" s="105">
        <v>15.4</v>
      </c>
      <c r="C74" s="105">
        <v>15.4</v>
      </c>
      <c r="D74" s="105">
        <v>16.78</v>
      </c>
    </row>
    <row r="75" spans="1:4" x14ac:dyDescent="0.25">
      <c r="A75" s="104">
        <v>64</v>
      </c>
      <c r="B75" s="105">
        <v>15.96</v>
      </c>
      <c r="C75" s="105">
        <v>15.96</v>
      </c>
      <c r="D75" s="105">
        <v>17.37</v>
      </c>
    </row>
    <row r="76" spans="1:4" x14ac:dyDescent="0.25">
      <c r="A76" s="104">
        <v>65</v>
      </c>
      <c r="B76" s="105">
        <v>16.559999999999999</v>
      </c>
      <c r="C76" s="105">
        <v>16.559999999999999</v>
      </c>
      <c r="D76" s="105">
        <v>18</v>
      </c>
    </row>
    <row r="77" spans="1:4" x14ac:dyDescent="0.25">
      <c r="A77" s="104">
        <v>66</v>
      </c>
      <c r="B77" s="105">
        <v>17.2</v>
      </c>
      <c r="C77" s="105">
        <v>17.2</v>
      </c>
      <c r="D77" s="105">
        <v>18.670000000000002</v>
      </c>
    </row>
    <row r="78" spans="1:4" x14ac:dyDescent="0.25">
      <c r="A78" s="104">
        <v>67</v>
      </c>
      <c r="B78" s="105">
        <v>17.21</v>
      </c>
      <c r="C78" s="105">
        <v>17.21</v>
      </c>
      <c r="D78" s="105">
        <v>18.690000000000001</v>
      </c>
    </row>
    <row r="79" spans="1:4" x14ac:dyDescent="0.25">
      <c r="A79" s="104">
        <v>68</v>
      </c>
      <c r="B79" s="105">
        <v>16.559999999999999</v>
      </c>
      <c r="C79" s="105">
        <v>16.559999999999999</v>
      </c>
      <c r="D79" s="105">
        <v>18.04</v>
      </c>
    </row>
    <row r="80" spans="1:4" x14ac:dyDescent="0.25">
      <c r="A80" s="104">
        <v>69</v>
      </c>
      <c r="B80" s="105">
        <v>15.92</v>
      </c>
      <c r="C80" s="105">
        <v>15.92</v>
      </c>
      <c r="D80" s="105">
        <v>17.399999999999999</v>
      </c>
    </row>
    <row r="81" spans="1:4" x14ac:dyDescent="0.25">
      <c r="A81" s="104">
        <v>70</v>
      </c>
      <c r="B81" s="105">
        <v>15.29</v>
      </c>
      <c r="C81" s="105">
        <v>15.29</v>
      </c>
      <c r="D81" s="105">
        <v>16.760000000000002</v>
      </c>
    </row>
    <row r="82" spans="1:4" x14ac:dyDescent="0.25">
      <c r="A82" s="104">
        <v>71</v>
      </c>
      <c r="B82" s="105">
        <v>14.66</v>
      </c>
      <c r="C82" s="105">
        <v>14.66</v>
      </c>
      <c r="D82" s="105">
        <v>16.12</v>
      </c>
    </row>
    <row r="83" spans="1:4" x14ac:dyDescent="0.25">
      <c r="A83" s="104">
        <v>72</v>
      </c>
      <c r="B83" s="105">
        <v>14.04</v>
      </c>
      <c r="C83" s="105">
        <v>14.04</v>
      </c>
      <c r="D83" s="105">
        <v>15.48</v>
      </c>
    </row>
    <row r="84" spans="1:4" x14ac:dyDescent="0.25">
      <c r="A84" s="104">
        <v>73</v>
      </c>
      <c r="B84" s="105">
        <v>13.41</v>
      </c>
      <c r="C84" s="105">
        <v>13.41</v>
      </c>
      <c r="D84" s="105">
        <v>14.85</v>
      </c>
    </row>
    <row r="85" spans="1:4" x14ac:dyDescent="0.25">
      <c r="A85" s="104">
        <v>74</v>
      </c>
      <c r="B85" s="105">
        <v>12.81</v>
      </c>
      <c r="C85" s="105">
        <v>12.81</v>
      </c>
      <c r="D85" s="105">
        <v>14.23</v>
      </c>
    </row>
    <row r="86" spans="1:4" x14ac:dyDescent="0.25">
      <c r="A86" s="104">
        <v>75</v>
      </c>
      <c r="B86" s="105">
        <v>12.51</v>
      </c>
      <c r="C86" s="105">
        <v>12.51</v>
      </c>
      <c r="D86" s="105">
        <v>13.92</v>
      </c>
    </row>
  </sheetData>
  <sheetProtection algorithmName="SHA-512" hashValue="McCKSaGykuApp94WzP7TZTf4ZeiHjEMvXNiXroBrOomZbD9ot1HyGKZqQIB967PBXzACqdotlpPjxJS+gdWzOg==" saltValue="OVcTQwUatFztzxt6DgAgKQ==" spinCount="100000" sheet="1" objects="1" scenarios="1"/>
  <conditionalFormatting sqref="A6:A21">
    <cfRule type="expression" dxfId="437" priority="1" stopIfTrue="1">
      <formula>MOD(ROW(),2)=0</formula>
    </cfRule>
    <cfRule type="expression" dxfId="436" priority="2" stopIfTrue="1">
      <formula>MOD(ROW(),2)&lt;&gt;0</formula>
    </cfRule>
  </conditionalFormatting>
  <conditionalFormatting sqref="A26:A86">
    <cfRule type="expression" dxfId="435" priority="5" stopIfTrue="1">
      <formula>MOD(ROW(),2)=0</formula>
    </cfRule>
    <cfRule type="expression" dxfId="434" priority="6" stopIfTrue="1">
      <formula>MOD(ROW(),2)&lt;&gt;0</formula>
    </cfRule>
  </conditionalFormatting>
  <conditionalFormatting sqref="B12">
    <cfRule type="expression" dxfId="433" priority="13" stopIfTrue="1">
      <formula>MOD(ROW(),2)=0</formula>
    </cfRule>
    <cfRule type="expression" dxfId="432" priority="14" stopIfTrue="1">
      <formula>MOD(ROW(),2)&lt;&gt;0</formula>
    </cfRule>
  </conditionalFormatting>
  <conditionalFormatting sqref="B18:B21">
    <cfRule type="expression" dxfId="431" priority="9" stopIfTrue="1">
      <formula>MOD(ROW(),2)=0</formula>
    </cfRule>
    <cfRule type="expression" dxfId="430" priority="10" stopIfTrue="1">
      <formula>MOD(ROW(),2)&lt;&gt;0</formula>
    </cfRule>
  </conditionalFormatting>
  <conditionalFormatting sqref="B6:D21">
    <cfRule type="expression" dxfId="429" priority="23" stopIfTrue="1">
      <formula>MOD(ROW(),2)=0</formula>
    </cfRule>
    <cfRule type="expression" dxfId="428" priority="24" stopIfTrue="1">
      <formula>MOD(ROW(),2)&lt;&gt;0</formula>
    </cfRule>
  </conditionalFormatting>
  <conditionalFormatting sqref="B26:D86">
    <cfRule type="expression" dxfId="427" priority="7" stopIfTrue="1">
      <formula>MOD(ROW(),2)=0</formula>
    </cfRule>
    <cfRule type="expression" dxfId="426" priority="8" stopIfTrue="1">
      <formula>MOD(ROW(),2)&lt;&gt;0</formula>
    </cfRule>
  </conditionalFormatting>
  <hyperlinks>
    <hyperlink ref="B24" location="Sheet1!A1" display="Assumptions" xr:uid="{847BF539-AACD-4866-A2DA-4D7ECAC83A1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99"/>
  <dimension ref="A1:I86"/>
  <sheetViews>
    <sheetView showGridLines="0" zoomScale="80" zoomScaleNormal="80" workbookViewId="0">
      <selection activeCell="A4" sqref="A4"/>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Added pension - x-721</v>
      </c>
      <c r="B3" s="42"/>
      <c r="C3" s="42"/>
      <c r="D3" s="42"/>
      <c r="E3" s="42"/>
      <c r="F3" s="42"/>
      <c r="G3" s="42"/>
      <c r="H3" s="42"/>
      <c r="I3" s="42"/>
    </row>
    <row r="4" spans="1:9" x14ac:dyDescent="0.25">
      <c r="A4" s="44"/>
    </row>
    <row r="6" spans="1:9" x14ac:dyDescent="0.25">
      <c r="A6" s="76" t="s">
        <v>290</v>
      </c>
      <c r="B6" s="129" t="s">
        <v>291</v>
      </c>
      <c r="C6" s="129"/>
      <c r="D6" s="129"/>
    </row>
    <row r="7" spans="1:9" x14ac:dyDescent="0.25">
      <c r="A7" s="77" t="s">
        <v>804</v>
      </c>
      <c r="B7" s="129" t="s">
        <v>324</v>
      </c>
      <c r="C7" s="129"/>
      <c r="D7" s="129"/>
    </row>
    <row r="8" spans="1:9" x14ac:dyDescent="0.25">
      <c r="A8" s="77" t="s">
        <v>805</v>
      </c>
      <c r="B8" s="129" t="s">
        <v>85</v>
      </c>
      <c r="C8" s="129"/>
      <c r="D8" s="129"/>
    </row>
    <row r="9" spans="1:9" x14ac:dyDescent="0.25">
      <c r="A9" s="77" t="s">
        <v>296</v>
      </c>
      <c r="B9" s="129" t="s">
        <v>605</v>
      </c>
      <c r="C9" s="129"/>
      <c r="D9" s="129"/>
    </row>
    <row r="10" spans="1:9" x14ac:dyDescent="0.25">
      <c r="A10" s="77" t="s">
        <v>6</v>
      </c>
      <c r="B10" s="129" t="s">
        <v>628</v>
      </c>
      <c r="C10" s="129"/>
      <c r="D10" s="129"/>
    </row>
    <row r="11" spans="1:9" x14ac:dyDescent="0.25">
      <c r="A11" s="77" t="s">
        <v>299</v>
      </c>
      <c r="B11" s="129" t="s">
        <v>607</v>
      </c>
      <c r="C11" s="129"/>
      <c r="D11" s="129"/>
    </row>
    <row r="12" spans="1:9" x14ac:dyDescent="0.25">
      <c r="A12" s="77" t="s">
        <v>301</v>
      </c>
      <c r="B12" s="129" t="s">
        <v>328</v>
      </c>
      <c r="C12" s="129"/>
      <c r="D12" s="129"/>
    </row>
    <row r="13" spans="1:9" x14ac:dyDescent="0.25">
      <c r="A13" s="77" t="s">
        <v>806</v>
      </c>
      <c r="B13" s="129">
        <v>0</v>
      </c>
      <c r="C13" s="129"/>
      <c r="D13" s="129"/>
    </row>
    <row r="14" spans="1:9" x14ac:dyDescent="0.25">
      <c r="A14" s="77" t="s">
        <v>305</v>
      </c>
      <c r="B14" s="129">
        <v>721</v>
      </c>
      <c r="C14" s="129"/>
      <c r="D14" s="129"/>
    </row>
    <row r="15" spans="1:9" x14ac:dyDescent="0.25">
      <c r="A15" s="77" t="s">
        <v>307</v>
      </c>
      <c r="B15" s="129" t="s">
        <v>629</v>
      </c>
      <c r="C15" s="129"/>
      <c r="D15" s="129"/>
    </row>
    <row r="16" spans="1:9" x14ac:dyDescent="0.25">
      <c r="A16" s="77" t="s">
        <v>825</v>
      </c>
      <c r="B16" s="129" t="s">
        <v>630</v>
      </c>
      <c r="C16" s="129"/>
      <c r="D16" s="129"/>
    </row>
    <row r="17" spans="1:4" x14ac:dyDescent="0.25">
      <c r="A17" s="77" t="s">
        <v>803</v>
      </c>
      <c r="B17" s="129"/>
      <c r="C17" s="129"/>
      <c r="D17" s="129"/>
    </row>
    <row r="18" spans="1:4" x14ac:dyDescent="0.25">
      <c r="A18" s="77" t="s">
        <v>313</v>
      </c>
      <c r="B18" s="187">
        <v>45184</v>
      </c>
      <c r="C18" s="129"/>
      <c r="D18" s="129"/>
    </row>
    <row r="19" spans="1:4" x14ac:dyDescent="0.25">
      <c r="A19" s="77" t="s">
        <v>315</v>
      </c>
      <c r="B19" s="187"/>
      <c r="C19" s="129"/>
      <c r="D19" s="129"/>
    </row>
    <row r="20" spans="1:4" x14ac:dyDescent="0.25">
      <c r="A20" s="77" t="s">
        <v>317</v>
      </c>
      <c r="B20" s="129" t="s">
        <v>331</v>
      </c>
      <c r="C20" s="129"/>
      <c r="D20" s="129"/>
    </row>
    <row r="21" spans="1:4" x14ac:dyDescent="0.25">
      <c r="A21" s="77" t="s">
        <v>323</v>
      </c>
      <c r="B21" s="129" t="s">
        <v>332</v>
      </c>
      <c r="C21" s="129"/>
      <c r="D21" s="129"/>
    </row>
    <row r="23" spans="1:4" x14ac:dyDescent="0.25">
      <c r="B23" s="102" t="str">
        <f>HYPERLINK("#'Factor List'!A1","Back to Factor List")</f>
        <v>Back to Factor List</v>
      </c>
    </row>
    <row r="24" spans="1:4" x14ac:dyDescent="0.25">
      <c r="B24" s="102" t="s">
        <v>13</v>
      </c>
    </row>
    <row r="25" spans="1:4" x14ac:dyDescent="0.25">
      <c r="B25" s="102"/>
    </row>
    <row r="26" spans="1:4" ht="26.4" x14ac:dyDescent="0.25">
      <c r="A26" s="103" t="s">
        <v>373</v>
      </c>
      <c r="B26" s="103" t="s">
        <v>956</v>
      </c>
      <c r="C26" s="103" t="s">
        <v>957</v>
      </c>
      <c r="D26" s="103" t="s">
        <v>958</v>
      </c>
    </row>
    <row r="27" spans="1:4" x14ac:dyDescent="0.25">
      <c r="A27" s="104">
        <v>16</v>
      </c>
      <c r="B27" s="105">
        <v>2.99</v>
      </c>
      <c r="C27" s="105">
        <v>2.99</v>
      </c>
      <c r="D27" s="105">
        <v>3.27</v>
      </c>
    </row>
    <row r="28" spans="1:4" x14ac:dyDescent="0.25">
      <c r="A28" s="104">
        <v>17</v>
      </c>
      <c r="B28" s="105">
        <v>3.1</v>
      </c>
      <c r="C28" s="105">
        <v>3.1</v>
      </c>
      <c r="D28" s="105">
        <v>3.4</v>
      </c>
    </row>
    <row r="29" spans="1:4" x14ac:dyDescent="0.25">
      <c r="A29" s="104">
        <v>18</v>
      </c>
      <c r="B29" s="105">
        <v>3.2</v>
      </c>
      <c r="C29" s="105">
        <v>3.2</v>
      </c>
      <c r="D29" s="105">
        <v>3.53</v>
      </c>
    </row>
    <row r="30" spans="1:4" x14ac:dyDescent="0.25">
      <c r="A30" s="104">
        <v>19</v>
      </c>
      <c r="B30" s="105">
        <v>3.31</v>
      </c>
      <c r="C30" s="105">
        <v>3.31</v>
      </c>
      <c r="D30" s="105">
        <v>3.66</v>
      </c>
    </row>
    <row r="31" spans="1:4" x14ac:dyDescent="0.25">
      <c r="A31" s="104">
        <v>20</v>
      </c>
      <c r="B31" s="105">
        <v>3.43</v>
      </c>
      <c r="C31" s="105">
        <v>3.43</v>
      </c>
      <c r="D31" s="105">
        <v>3.79</v>
      </c>
    </row>
    <row r="32" spans="1:4" x14ac:dyDescent="0.25">
      <c r="A32" s="104">
        <v>21</v>
      </c>
      <c r="B32" s="105">
        <v>3.55</v>
      </c>
      <c r="C32" s="105">
        <v>3.55</v>
      </c>
      <c r="D32" s="105">
        <v>3.92</v>
      </c>
    </row>
    <row r="33" spans="1:4" x14ac:dyDescent="0.25">
      <c r="A33" s="104">
        <v>22</v>
      </c>
      <c r="B33" s="105">
        <v>3.67</v>
      </c>
      <c r="C33" s="105">
        <v>3.67</v>
      </c>
      <c r="D33" s="105">
        <v>4.0599999999999996</v>
      </c>
    </row>
    <row r="34" spans="1:4" x14ac:dyDescent="0.25">
      <c r="A34" s="104">
        <v>23</v>
      </c>
      <c r="B34" s="105">
        <v>3.79</v>
      </c>
      <c r="C34" s="105">
        <v>3.79</v>
      </c>
      <c r="D34" s="105">
        <v>4.1900000000000004</v>
      </c>
    </row>
    <row r="35" spans="1:4" x14ac:dyDescent="0.25">
      <c r="A35" s="104">
        <v>24</v>
      </c>
      <c r="B35" s="105">
        <v>3.93</v>
      </c>
      <c r="C35" s="105">
        <v>3.93</v>
      </c>
      <c r="D35" s="105">
        <v>4.3499999999999996</v>
      </c>
    </row>
    <row r="36" spans="1:4" x14ac:dyDescent="0.25">
      <c r="A36" s="104">
        <v>25</v>
      </c>
      <c r="B36" s="105">
        <v>4.0599999999999996</v>
      </c>
      <c r="C36" s="105">
        <v>4.0599999999999996</v>
      </c>
      <c r="D36" s="105">
        <v>4.49</v>
      </c>
    </row>
    <row r="37" spans="1:4" x14ac:dyDescent="0.25">
      <c r="A37" s="104">
        <v>26</v>
      </c>
      <c r="B37" s="105">
        <v>4.2</v>
      </c>
      <c r="C37" s="105">
        <v>4.2</v>
      </c>
      <c r="D37" s="105">
        <v>4.6399999999999997</v>
      </c>
    </row>
    <row r="38" spans="1:4" x14ac:dyDescent="0.25">
      <c r="A38" s="104">
        <v>27</v>
      </c>
      <c r="B38" s="105">
        <v>4.3499999999999996</v>
      </c>
      <c r="C38" s="105">
        <v>4.3499999999999996</v>
      </c>
      <c r="D38" s="105">
        <v>4.8</v>
      </c>
    </row>
    <row r="39" spans="1:4" x14ac:dyDescent="0.25">
      <c r="A39" s="104">
        <v>28</v>
      </c>
      <c r="B39" s="105">
        <v>4.5</v>
      </c>
      <c r="C39" s="105">
        <v>4.5</v>
      </c>
      <c r="D39" s="105">
        <v>4.97</v>
      </c>
    </row>
    <row r="40" spans="1:4" x14ac:dyDescent="0.25">
      <c r="A40" s="104">
        <v>29</v>
      </c>
      <c r="B40" s="105">
        <v>4.6500000000000004</v>
      </c>
      <c r="C40" s="105">
        <v>4.6500000000000004</v>
      </c>
      <c r="D40" s="105">
        <v>5.14</v>
      </c>
    </row>
    <row r="41" spans="1:4" x14ac:dyDescent="0.25">
      <c r="A41" s="104">
        <v>30</v>
      </c>
      <c r="B41" s="105">
        <v>4.8</v>
      </c>
      <c r="C41" s="105">
        <v>4.8</v>
      </c>
      <c r="D41" s="105">
        <v>5.31</v>
      </c>
    </row>
    <row r="42" spans="1:4" x14ac:dyDescent="0.25">
      <c r="A42" s="104">
        <v>31</v>
      </c>
      <c r="B42" s="105">
        <v>4.9800000000000004</v>
      </c>
      <c r="C42" s="105">
        <v>4.9800000000000004</v>
      </c>
      <c r="D42" s="105">
        <v>5.5</v>
      </c>
    </row>
    <row r="43" spans="1:4" x14ac:dyDescent="0.25">
      <c r="A43" s="104">
        <v>32</v>
      </c>
      <c r="B43" s="105">
        <v>5.14</v>
      </c>
      <c r="C43" s="105">
        <v>5.14</v>
      </c>
      <c r="D43" s="105">
        <v>5.69</v>
      </c>
    </row>
    <row r="44" spans="1:4" x14ac:dyDescent="0.25">
      <c r="A44" s="104">
        <v>33</v>
      </c>
      <c r="B44" s="105">
        <v>5.31</v>
      </c>
      <c r="C44" s="105">
        <v>5.31</v>
      </c>
      <c r="D44" s="105">
        <v>5.89</v>
      </c>
    </row>
    <row r="45" spans="1:4" x14ac:dyDescent="0.25">
      <c r="A45" s="104">
        <v>34</v>
      </c>
      <c r="B45" s="105">
        <v>5.5</v>
      </c>
      <c r="C45" s="105">
        <v>5.5</v>
      </c>
      <c r="D45" s="105">
        <v>6.08</v>
      </c>
    </row>
    <row r="46" spans="1:4" x14ac:dyDescent="0.25">
      <c r="A46" s="104">
        <v>35</v>
      </c>
      <c r="B46" s="105">
        <v>5.68</v>
      </c>
      <c r="C46" s="105">
        <v>5.68</v>
      </c>
      <c r="D46" s="105">
        <v>6.28</v>
      </c>
    </row>
    <row r="47" spans="1:4" x14ac:dyDescent="0.25">
      <c r="A47" s="104">
        <v>36</v>
      </c>
      <c r="B47" s="105">
        <v>5.88</v>
      </c>
      <c r="C47" s="105">
        <v>5.88</v>
      </c>
      <c r="D47" s="105">
        <v>6.5</v>
      </c>
    </row>
    <row r="48" spans="1:4" x14ac:dyDescent="0.25">
      <c r="A48" s="104">
        <v>37</v>
      </c>
      <c r="B48" s="105">
        <v>6.07</v>
      </c>
      <c r="C48" s="105">
        <v>6.07</v>
      </c>
      <c r="D48" s="105">
        <v>6.72</v>
      </c>
    </row>
    <row r="49" spans="1:4" x14ac:dyDescent="0.25">
      <c r="A49" s="104">
        <v>38</v>
      </c>
      <c r="B49" s="105">
        <v>6.27</v>
      </c>
      <c r="C49" s="105">
        <v>6.27</v>
      </c>
      <c r="D49" s="105">
        <v>6.95</v>
      </c>
    </row>
    <row r="50" spans="1:4" x14ac:dyDescent="0.25">
      <c r="A50" s="104">
        <v>39</v>
      </c>
      <c r="B50" s="105">
        <v>6.49</v>
      </c>
      <c r="C50" s="105">
        <v>6.49</v>
      </c>
      <c r="D50" s="105">
        <v>7.17</v>
      </c>
    </row>
    <row r="51" spans="1:4" x14ac:dyDescent="0.25">
      <c r="A51" s="104">
        <v>40</v>
      </c>
      <c r="B51" s="105">
        <v>6.7</v>
      </c>
      <c r="C51" s="105">
        <v>6.7</v>
      </c>
      <c r="D51" s="105">
        <v>7.42</v>
      </c>
    </row>
    <row r="52" spans="1:4" x14ac:dyDescent="0.25">
      <c r="A52" s="104">
        <v>41</v>
      </c>
      <c r="B52" s="105">
        <v>6.93</v>
      </c>
      <c r="C52" s="105">
        <v>6.93</v>
      </c>
      <c r="D52" s="105">
        <v>7.66</v>
      </c>
    </row>
    <row r="53" spans="1:4" x14ac:dyDescent="0.25">
      <c r="A53" s="104">
        <v>42</v>
      </c>
      <c r="B53" s="105">
        <v>7.16</v>
      </c>
      <c r="C53" s="105">
        <v>7.16</v>
      </c>
      <c r="D53" s="105">
        <v>7.92</v>
      </c>
    </row>
    <row r="54" spans="1:4" x14ac:dyDescent="0.25">
      <c r="A54" s="104">
        <v>43</v>
      </c>
      <c r="B54" s="105">
        <v>7.41</v>
      </c>
      <c r="C54" s="105">
        <v>7.41</v>
      </c>
      <c r="D54" s="105">
        <v>8.18</v>
      </c>
    </row>
    <row r="55" spans="1:4" x14ac:dyDescent="0.25">
      <c r="A55" s="104">
        <v>44</v>
      </c>
      <c r="B55" s="105">
        <v>7.65</v>
      </c>
      <c r="C55" s="105">
        <v>7.65</v>
      </c>
      <c r="D55" s="105">
        <v>8.4600000000000009</v>
      </c>
    </row>
    <row r="56" spans="1:4" x14ac:dyDescent="0.25">
      <c r="A56" s="104">
        <v>45</v>
      </c>
      <c r="B56" s="105">
        <v>7.9</v>
      </c>
      <c r="C56" s="105">
        <v>7.9</v>
      </c>
      <c r="D56" s="105">
        <v>8.73</v>
      </c>
    </row>
    <row r="57" spans="1:4" x14ac:dyDescent="0.25">
      <c r="A57" s="104">
        <v>46</v>
      </c>
      <c r="B57" s="105">
        <v>8.17</v>
      </c>
      <c r="C57" s="105">
        <v>8.17</v>
      </c>
      <c r="D57" s="105">
        <v>9.0299999999999994</v>
      </c>
    </row>
    <row r="58" spans="1:4" x14ac:dyDescent="0.25">
      <c r="A58" s="104">
        <v>47</v>
      </c>
      <c r="B58" s="105">
        <v>8.44</v>
      </c>
      <c r="C58" s="105">
        <v>8.44</v>
      </c>
      <c r="D58" s="105">
        <v>9.32</v>
      </c>
    </row>
    <row r="59" spans="1:4" x14ac:dyDescent="0.25">
      <c r="A59" s="104">
        <v>48</v>
      </c>
      <c r="B59" s="105">
        <v>8.7200000000000006</v>
      </c>
      <c r="C59" s="105">
        <v>8.7200000000000006</v>
      </c>
      <c r="D59" s="105">
        <v>9.6300000000000008</v>
      </c>
    </row>
    <row r="60" spans="1:4" x14ac:dyDescent="0.25">
      <c r="A60" s="104">
        <v>49</v>
      </c>
      <c r="B60" s="105">
        <v>9.01</v>
      </c>
      <c r="C60" s="105">
        <v>9.01</v>
      </c>
      <c r="D60" s="105">
        <v>9.94</v>
      </c>
    </row>
    <row r="61" spans="1:4" x14ac:dyDescent="0.25">
      <c r="A61" s="104">
        <v>50</v>
      </c>
      <c r="B61" s="105">
        <v>9.3000000000000007</v>
      </c>
      <c r="C61" s="105">
        <v>9.3000000000000007</v>
      </c>
      <c r="D61" s="105">
        <v>10.27</v>
      </c>
    </row>
    <row r="62" spans="1:4" x14ac:dyDescent="0.25">
      <c r="A62" s="104">
        <v>51</v>
      </c>
      <c r="B62" s="105">
        <v>9.61</v>
      </c>
      <c r="C62" s="105">
        <v>9.61</v>
      </c>
      <c r="D62" s="105">
        <v>10.61</v>
      </c>
    </row>
    <row r="63" spans="1:4" x14ac:dyDescent="0.25">
      <c r="A63" s="104">
        <v>52</v>
      </c>
      <c r="B63" s="105">
        <v>9.92</v>
      </c>
      <c r="C63" s="105">
        <v>9.92</v>
      </c>
      <c r="D63" s="105">
        <v>10.95</v>
      </c>
    </row>
    <row r="64" spans="1:4" x14ac:dyDescent="0.25">
      <c r="A64" s="104">
        <v>53</v>
      </c>
      <c r="B64" s="105">
        <v>10.26</v>
      </c>
      <c r="C64" s="105">
        <v>10.26</v>
      </c>
      <c r="D64" s="105">
        <v>11.31</v>
      </c>
    </row>
    <row r="65" spans="1:4" x14ac:dyDescent="0.25">
      <c r="A65" s="104">
        <v>54</v>
      </c>
      <c r="B65" s="105">
        <v>10.6</v>
      </c>
      <c r="C65" s="105">
        <v>10.6</v>
      </c>
      <c r="D65" s="105">
        <v>11.68</v>
      </c>
    </row>
    <row r="66" spans="1:4" x14ac:dyDescent="0.25">
      <c r="A66" s="104">
        <v>55</v>
      </c>
      <c r="B66" s="105">
        <v>10.94</v>
      </c>
      <c r="C66" s="105">
        <v>10.94</v>
      </c>
      <c r="D66" s="105">
        <v>12.06</v>
      </c>
    </row>
    <row r="67" spans="1:4" x14ac:dyDescent="0.25">
      <c r="A67" s="104">
        <v>56</v>
      </c>
      <c r="B67" s="105">
        <v>11.31</v>
      </c>
      <c r="C67" s="105">
        <v>11.31</v>
      </c>
      <c r="D67" s="105">
        <v>12.45</v>
      </c>
    </row>
    <row r="68" spans="1:4" x14ac:dyDescent="0.25">
      <c r="A68" s="104">
        <v>57</v>
      </c>
      <c r="B68" s="105">
        <v>11.69</v>
      </c>
      <c r="C68" s="105">
        <v>11.69</v>
      </c>
      <c r="D68" s="105">
        <v>12.86</v>
      </c>
    </row>
    <row r="69" spans="1:4" x14ac:dyDescent="0.25">
      <c r="A69" s="104">
        <v>58</v>
      </c>
      <c r="B69" s="105">
        <v>12.08</v>
      </c>
      <c r="C69" s="105">
        <v>12.08</v>
      </c>
      <c r="D69" s="105">
        <v>13.28</v>
      </c>
    </row>
    <row r="70" spans="1:4" x14ac:dyDescent="0.25">
      <c r="A70" s="104">
        <v>59</v>
      </c>
      <c r="B70" s="105">
        <v>12.48</v>
      </c>
      <c r="C70" s="105">
        <v>12.48</v>
      </c>
      <c r="D70" s="105">
        <v>13.72</v>
      </c>
    </row>
    <row r="71" spans="1:4" x14ac:dyDescent="0.25">
      <c r="A71" s="104">
        <v>60</v>
      </c>
      <c r="B71" s="105">
        <v>12.91</v>
      </c>
      <c r="C71" s="105">
        <v>12.91</v>
      </c>
      <c r="D71" s="105">
        <v>14.17</v>
      </c>
    </row>
    <row r="72" spans="1:4" x14ac:dyDescent="0.25">
      <c r="A72" s="104">
        <v>61</v>
      </c>
      <c r="B72" s="105">
        <v>13.35</v>
      </c>
      <c r="C72" s="105">
        <v>13.35</v>
      </c>
      <c r="D72" s="105">
        <v>14.65</v>
      </c>
    </row>
    <row r="73" spans="1:4" x14ac:dyDescent="0.25">
      <c r="A73" s="104">
        <v>62</v>
      </c>
      <c r="B73" s="105">
        <v>13.82</v>
      </c>
      <c r="C73" s="105">
        <v>13.82</v>
      </c>
      <c r="D73" s="105">
        <v>15.14</v>
      </c>
    </row>
    <row r="74" spans="1:4" x14ac:dyDescent="0.25">
      <c r="A74" s="104">
        <v>63</v>
      </c>
      <c r="B74" s="105">
        <v>14.31</v>
      </c>
      <c r="C74" s="105">
        <v>14.31</v>
      </c>
      <c r="D74" s="105">
        <v>15.66</v>
      </c>
    </row>
    <row r="75" spans="1:4" x14ac:dyDescent="0.25">
      <c r="A75" s="104">
        <v>64</v>
      </c>
      <c r="B75" s="105">
        <v>14.82</v>
      </c>
      <c r="C75" s="105">
        <v>14.82</v>
      </c>
      <c r="D75" s="105">
        <v>16.21</v>
      </c>
    </row>
    <row r="76" spans="1:4" x14ac:dyDescent="0.25">
      <c r="A76" s="104">
        <v>65</v>
      </c>
      <c r="B76" s="105">
        <v>15.37</v>
      </c>
      <c r="C76" s="105">
        <v>15.37</v>
      </c>
      <c r="D76" s="105">
        <v>16.78</v>
      </c>
    </row>
    <row r="77" spans="1:4" x14ac:dyDescent="0.25">
      <c r="A77" s="104">
        <v>66</v>
      </c>
      <c r="B77" s="105">
        <v>15.94</v>
      </c>
      <c r="C77" s="105">
        <v>15.94</v>
      </c>
      <c r="D77" s="105">
        <v>17.39</v>
      </c>
    </row>
    <row r="78" spans="1:4" x14ac:dyDescent="0.25">
      <c r="A78" s="104">
        <v>67</v>
      </c>
      <c r="B78" s="105">
        <v>16.559999999999999</v>
      </c>
      <c r="C78" s="105">
        <v>16.559999999999999</v>
      </c>
      <c r="D78" s="105">
        <v>18.03</v>
      </c>
    </row>
    <row r="79" spans="1:4" x14ac:dyDescent="0.25">
      <c r="A79" s="104">
        <v>68</v>
      </c>
      <c r="B79" s="105">
        <v>16.559999999999999</v>
      </c>
      <c r="C79" s="105">
        <v>16.559999999999999</v>
      </c>
      <c r="D79" s="105">
        <v>18.04</v>
      </c>
    </row>
    <row r="80" spans="1:4" x14ac:dyDescent="0.25">
      <c r="A80" s="104">
        <v>69</v>
      </c>
      <c r="B80" s="105">
        <v>15.92</v>
      </c>
      <c r="C80" s="105">
        <v>15.92</v>
      </c>
      <c r="D80" s="105">
        <v>17.399999999999999</v>
      </c>
    </row>
    <row r="81" spans="1:4" x14ac:dyDescent="0.25">
      <c r="A81" s="104">
        <v>70</v>
      </c>
      <c r="B81" s="105">
        <v>15.29</v>
      </c>
      <c r="C81" s="105">
        <v>15.29</v>
      </c>
      <c r="D81" s="105">
        <v>16.760000000000002</v>
      </c>
    </row>
    <row r="82" spans="1:4" x14ac:dyDescent="0.25">
      <c r="A82" s="104">
        <v>71</v>
      </c>
      <c r="B82" s="105">
        <v>14.66</v>
      </c>
      <c r="C82" s="105">
        <v>14.66</v>
      </c>
      <c r="D82" s="105">
        <v>16.12</v>
      </c>
    </row>
    <row r="83" spans="1:4" x14ac:dyDescent="0.25">
      <c r="A83" s="104">
        <v>72</v>
      </c>
      <c r="B83" s="105">
        <v>14.04</v>
      </c>
      <c r="C83" s="105">
        <v>14.04</v>
      </c>
      <c r="D83" s="105">
        <v>15.48</v>
      </c>
    </row>
    <row r="84" spans="1:4" x14ac:dyDescent="0.25">
      <c r="A84" s="104">
        <v>73</v>
      </c>
      <c r="B84" s="105">
        <v>13.41</v>
      </c>
      <c r="C84" s="105">
        <v>13.41</v>
      </c>
      <c r="D84" s="105">
        <v>14.85</v>
      </c>
    </row>
    <row r="85" spans="1:4" x14ac:dyDescent="0.25">
      <c r="A85" s="104">
        <v>74</v>
      </c>
      <c r="B85" s="105">
        <v>12.81</v>
      </c>
      <c r="C85" s="105">
        <v>12.81</v>
      </c>
      <c r="D85" s="105">
        <v>14.23</v>
      </c>
    </row>
    <row r="86" spans="1:4" x14ac:dyDescent="0.25">
      <c r="A86" s="104">
        <v>75</v>
      </c>
      <c r="B86" s="105">
        <v>12.51</v>
      </c>
      <c r="C86" s="105">
        <v>12.51</v>
      </c>
      <c r="D86" s="105">
        <v>13.92</v>
      </c>
    </row>
  </sheetData>
  <sheetProtection algorithmName="SHA-512" hashValue="p2Anq9uXjSYIV1IWA+xzfFzeooMbY79NhPb0jQe43OGm/gsQoumMZG+YIowfY9DPEB7hxxLHl2zeGBeb8ywxQA==" saltValue="ZmIjUhJzEMXjuIggRfzs0Q==" spinCount="100000" sheet="1" objects="1" scenarios="1"/>
  <conditionalFormatting sqref="A6:A21">
    <cfRule type="expression" dxfId="425" priority="1" stopIfTrue="1">
      <formula>MOD(ROW(),2)=0</formula>
    </cfRule>
    <cfRule type="expression" dxfId="424" priority="2" stopIfTrue="1">
      <formula>MOD(ROW(),2)&lt;&gt;0</formula>
    </cfRule>
  </conditionalFormatting>
  <conditionalFormatting sqref="A26:A86">
    <cfRule type="expression" dxfId="423" priority="5" stopIfTrue="1">
      <formula>MOD(ROW(),2)=0</formula>
    </cfRule>
    <cfRule type="expression" dxfId="422" priority="6" stopIfTrue="1">
      <formula>MOD(ROW(),2)&lt;&gt;0</formula>
    </cfRule>
  </conditionalFormatting>
  <conditionalFormatting sqref="B12">
    <cfRule type="expression" dxfId="421" priority="13" stopIfTrue="1">
      <formula>MOD(ROW(),2)=0</formula>
    </cfRule>
    <cfRule type="expression" dxfId="420" priority="14" stopIfTrue="1">
      <formula>MOD(ROW(),2)&lt;&gt;0</formula>
    </cfRule>
  </conditionalFormatting>
  <conditionalFormatting sqref="B18:B21">
    <cfRule type="expression" dxfId="419" priority="9" stopIfTrue="1">
      <formula>MOD(ROW(),2)=0</formula>
    </cfRule>
    <cfRule type="expression" dxfId="418" priority="10" stopIfTrue="1">
      <formula>MOD(ROW(),2)&lt;&gt;0</formula>
    </cfRule>
  </conditionalFormatting>
  <conditionalFormatting sqref="B6:D21">
    <cfRule type="expression" dxfId="417" priority="23" stopIfTrue="1">
      <formula>MOD(ROW(),2)=0</formula>
    </cfRule>
    <cfRule type="expression" dxfId="416" priority="24" stopIfTrue="1">
      <formula>MOD(ROW(),2)&lt;&gt;0</formula>
    </cfRule>
  </conditionalFormatting>
  <conditionalFormatting sqref="B26:D86">
    <cfRule type="expression" dxfId="415" priority="7" stopIfTrue="1">
      <formula>MOD(ROW(),2)=0</formula>
    </cfRule>
    <cfRule type="expression" dxfId="414" priority="8" stopIfTrue="1">
      <formula>MOD(ROW(),2)&lt;&gt;0</formula>
    </cfRule>
  </conditionalFormatting>
  <hyperlinks>
    <hyperlink ref="B24" location="Sheet1!A1" display="Assumptions" xr:uid="{46C750C8-8C82-4D5E-8232-A30DFD787AD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03"/>
  <dimension ref="A1:I85"/>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Added pension - x-725</v>
      </c>
      <c r="B3" s="42"/>
      <c r="C3" s="42"/>
      <c r="D3" s="42"/>
      <c r="E3" s="42"/>
      <c r="F3" s="42"/>
      <c r="G3" s="42"/>
      <c r="H3" s="42"/>
      <c r="I3" s="42"/>
    </row>
    <row r="4" spans="1:9" x14ac:dyDescent="0.25">
      <c r="A4" s="44"/>
    </row>
    <row r="6" spans="1:9" x14ac:dyDescent="0.25">
      <c r="A6" s="76" t="s">
        <v>290</v>
      </c>
      <c r="B6" s="129" t="s">
        <v>291</v>
      </c>
    </row>
    <row r="7" spans="1:9" ht="33.6" customHeight="1" x14ac:dyDescent="0.25">
      <c r="A7" s="77" t="s">
        <v>804</v>
      </c>
      <c r="B7" s="129" t="s">
        <v>345</v>
      </c>
    </row>
    <row r="8" spans="1:9" x14ac:dyDescent="0.25">
      <c r="A8" s="77" t="s">
        <v>805</v>
      </c>
      <c r="B8" s="129" t="s">
        <v>86</v>
      </c>
    </row>
    <row r="9" spans="1:9" x14ac:dyDescent="0.25">
      <c r="A9" s="77" t="s">
        <v>296</v>
      </c>
      <c r="B9" s="129" t="s">
        <v>605</v>
      </c>
    </row>
    <row r="10" spans="1:9" x14ac:dyDescent="0.25">
      <c r="A10" s="77" t="s">
        <v>6</v>
      </c>
      <c r="B10" s="129" t="s">
        <v>631</v>
      </c>
    </row>
    <row r="11" spans="1:9" x14ac:dyDescent="0.25">
      <c r="A11" s="77" t="s">
        <v>299</v>
      </c>
      <c r="B11" s="129" t="s">
        <v>364</v>
      </c>
    </row>
    <row r="12" spans="1:9" x14ac:dyDescent="0.25">
      <c r="A12" s="77" t="s">
        <v>301</v>
      </c>
      <c r="B12" s="129" t="s">
        <v>328</v>
      </c>
    </row>
    <row r="13" spans="1:9" x14ac:dyDescent="0.25">
      <c r="A13" s="77" t="s">
        <v>806</v>
      </c>
      <c r="B13" s="129">
        <v>1</v>
      </c>
    </row>
    <row r="14" spans="1:9" x14ac:dyDescent="0.25">
      <c r="A14" s="77" t="s">
        <v>305</v>
      </c>
      <c r="B14" s="129">
        <v>725</v>
      </c>
    </row>
    <row r="15" spans="1:9" x14ac:dyDescent="0.25">
      <c r="A15" s="77" t="s">
        <v>307</v>
      </c>
      <c r="B15" s="129" t="s">
        <v>632</v>
      </c>
    </row>
    <row r="16" spans="1:9" x14ac:dyDescent="0.25">
      <c r="A16" s="77" t="s">
        <v>825</v>
      </c>
      <c r="B16" s="129" t="s">
        <v>633</v>
      </c>
    </row>
    <row r="17" spans="1:2" ht="76.5" customHeight="1" x14ac:dyDescent="0.25">
      <c r="A17" s="77" t="s">
        <v>803</v>
      </c>
      <c r="B17" s="129"/>
    </row>
    <row r="18" spans="1:2" x14ac:dyDescent="0.25">
      <c r="A18" s="77" t="s">
        <v>313</v>
      </c>
      <c r="B18" s="187">
        <v>45184</v>
      </c>
    </row>
    <row r="19" spans="1:2" x14ac:dyDescent="0.25">
      <c r="A19" s="77" t="s">
        <v>315</v>
      </c>
      <c r="B19" s="187"/>
    </row>
    <row r="20" spans="1:2" x14ac:dyDescent="0.25">
      <c r="A20" s="77" t="s">
        <v>317</v>
      </c>
      <c r="B20" s="129" t="s">
        <v>331</v>
      </c>
    </row>
    <row r="21" spans="1:2" x14ac:dyDescent="0.25">
      <c r="A21" s="77" t="s">
        <v>323</v>
      </c>
      <c r="B21" s="129" t="s">
        <v>332</v>
      </c>
    </row>
    <row r="23" spans="1:2" x14ac:dyDescent="0.25">
      <c r="B23" s="102" t="str">
        <f>HYPERLINK("#'Factor List'!A1","Back to Factor List")</f>
        <v>Back to Factor List</v>
      </c>
    </row>
    <row r="24" spans="1:2" x14ac:dyDescent="0.25">
      <c r="B24" s="102" t="s">
        <v>13</v>
      </c>
    </row>
    <row r="25" spans="1:2" x14ac:dyDescent="0.25">
      <c r="B25" s="102"/>
    </row>
    <row r="26" spans="1:2" x14ac:dyDescent="0.25">
      <c r="A26" s="103" t="s">
        <v>373</v>
      </c>
      <c r="B26" s="103" t="s">
        <v>959</v>
      </c>
    </row>
    <row r="27" spans="1:2" x14ac:dyDescent="0.25">
      <c r="A27" s="104">
        <v>17</v>
      </c>
      <c r="B27" s="105">
        <v>6.01</v>
      </c>
    </row>
    <row r="28" spans="1:2" x14ac:dyDescent="0.25">
      <c r="A28" s="104">
        <v>18</v>
      </c>
      <c r="B28" s="105">
        <v>6.23</v>
      </c>
    </row>
    <row r="29" spans="1:2" x14ac:dyDescent="0.25">
      <c r="A29" s="104">
        <v>19</v>
      </c>
      <c r="B29" s="105">
        <v>6.46</v>
      </c>
    </row>
    <row r="30" spans="1:2" x14ac:dyDescent="0.25">
      <c r="A30" s="104">
        <v>20</v>
      </c>
      <c r="B30" s="105">
        <v>6.69</v>
      </c>
    </row>
    <row r="31" spans="1:2" x14ac:dyDescent="0.25">
      <c r="A31" s="104">
        <v>21</v>
      </c>
      <c r="B31" s="105">
        <v>6.93</v>
      </c>
    </row>
    <row r="32" spans="1:2" x14ac:dyDescent="0.25">
      <c r="A32" s="104">
        <v>22</v>
      </c>
      <c r="B32" s="105">
        <v>7.17</v>
      </c>
    </row>
    <row r="33" spans="1:2" x14ac:dyDescent="0.25">
      <c r="A33" s="104">
        <v>23</v>
      </c>
      <c r="B33" s="105">
        <v>7.42</v>
      </c>
    </row>
    <row r="34" spans="1:2" x14ac:dyDescent="0.25">
      <c r="A34" s="104">
        <v>24</v>
      </c>
      <c r="B34" s="105">
        <v>7.68</v>
      </c>
    </row>
    <row r="35" spans="1:2" x14ac:dyDescent="0.25">
      <c r="A35" s="104">
        <v>25</v>
      </c>
      <c r="B35" s="105">
        <v>7.96</v>
      </c>
    </row>
    <row r="36" spans="1:2" x14ac:dyDescent="0.25">
      <c r="A36" s="104">
        <v>26</v>
      </c>
      <c r="B36" s="105">
        <v>8.23</v>
      </c>
    </row>
    <row r="37" spans="1:2" x14ac:dyDescent="0.25">
      <c r="A37" s="104">
        <v>27</v>
      </c>
      <c r="B37" s="105">
        <v>8.52</v>
      </c>
    </row>
    <row r="38" spans="1:2" x14ac:dyDescent="0.25">
      <c r="A38" s="104">
        <v>28</v>
      </c>
      <c r="B38" s="105">
        <v>8.82</v>
      </c>
    </row>
    <row r="39" spans="1:2" x14ac:dyDescent="0.25">
      <c r="A39" s="104">
        <v>29</v>
      </c>
      <c r="B39" s="105">
        <v>9.1300000000000008</v>
      </c>
    </row>
    <row r="40" spans="1:2" x14ac:dyDescent="0.25">
      <c r="A40" s="104">
        <v>30</v>
      </c>
      <c r="B40" s="105">
        <v>9.4600000000000009</v>
      </c>
    </row>
    <row r="41" spans="1:2" x14ac:dyDescent="0.25">
      <c r="A41" s="104">
        <v>31</v>
      </c>
      <c r="B41" s="105">
        <v>9.7799999999999994</v>
      </c>
    </row>
    <row r="42" spans="1:2" x14ac:dyDescent="0.25">
      <c r="A42" s="104">
        <v>32</v>
      </c>
      <c r="B42" s="105">
        <v>10.130000000000001</v>
      </c>
    </row>
    <row r="43" spans="1:2" x14ac:dyDescent="0.25">
      <c r="A43" s="104">
        <v>33</v>
      </c>
      <c r="B43" s="105">
        <v>10.49</v>
      </c>
    </row>
    <row r="44" spans="1:2" x14ac:dyDescent="0.25">
      <c r="A44" s="104">
        <v>34</v>
      </c>
      <c r="B44" s="105">
        <v>10.85</v>
      </c>
    </row>
    <row r="45" spans="1:2" x14ac:dyDescent="0.25">
      <c r="A45" s="104">
        <v>35</v>
      </c>
      <c r="B45" s="105">
        <v>11.23</v>
      </c>
    </row>
    <row r="46" spans="1:2" x14ac:dyDescent="0.25">
      <c r="A46" s="104">
        <v>36</v>
      </c>
      <c r="B46" s="105">
        <v>11.62</v>
      </c>
    </row>
    <row r="47" spans="1:2" x14ac:dyDescent="0.25">
      <c r="A47" s="104">
        <v>37</v>
      </c>
      <c r="B47" s="105">
        <v>12.03</v>
      </c>
    </row>
    <row r="48" spans="1:2" x14ac:dyDescent="0.25">
      <c r="A48" s="104">
        <v>38</v>
      </c>
      <c r="B48" s="105">
        <v>12.44</v>
      </c>
    </row>
    <row r="49" spans="1:2" x14ac:dyDescent="0.25">
      <c r="A49" s="104">
        <v>39</v>
      </c>
      <c r="B49" s="105">
        <v>12.87</v>
      </c>
    </row>
    <row r="50" spans="1:2" x14ac:dyDescent="0.25">
      <c r="A50" s="104">
        <v>40</v>
      </c>
      <c r="B50" s="105">
        <v>13.32</v>
      </c>
    </row>
    <row r="51" spans="1:2" x14ac:dyDescent="0.25">
      <c r="A51" s="104">
        <v>41</v>
      </c>
      <c r="B51" s="105">
        <v>13.79</v>
      </c>
    </row>
    <row r="52" spans="1:2" x14ac:dyDescent="0.25">
      <c r="A52" s="104">
        <v>42</v>
      </c>
      <c r="B52" s="105">
        <v>14.27</v>
      </c>
    </row>
    <row r="53" spans="1:2" x14ac:dyDescent="0.25">
      <c r="A53" s="104">
        <v>43</v>
      </c>
      <c r="B53" s="105">
        <v>14.77</v>
      </c>
    </row>
    <row r="54" spans="1:2" x14ac:dyDescent="0.25">
      <c r="A54" s="104">
        <v>44</v>
      </c>
      <c r="B54" s="105">
        <v>15.28</v>
      </c>
    </row>
    <row r="55" spans="1:2" x14ac:dyDescent="0.25">
      <c r="A55" s="104">
        <v>45</v>
      </c>
      <c r="B55" s="105">
        <v>15.82</v>
      </c>
    </row>
    <row r="56" spans="1:2" x14ac:dyDescent="0.25">
      <c r="A56" s="104">
        <v>46</v>
      </c>
      <c r="B56" s="105">
        <v>16.37</v>
      </c>
    </row>
    <row r="57" spans="1:2" x14ac:dyDescent="0.25">
      <c r="A57" s="104">
        <v>47</v>
      </c>
      <c r="B57" s="105">
        <v>16.940000000000001</v>
      </c>
    </row>
    <row r="58" spans="1:2" x14ac:dyDescent="0.25">
      <c r="A58" s="104">
        <v>48</v>
      </c>
      <c r="B58" s="105">
        <v>17.53</v>
      </c>
    </row>
    <row r="59" spans="1:2" x14ac:dyDescent="0.25">
      <c r="A59" s="104">
        <v>49</v>
      </c>
      <c r="B59" s="105">
        <v>18.149999999999999</v>
      </c>
    </row>
    <row r="60" spans="1:2" x14ac:dyDescent="0.25">
      <c r="A60" s="104">
        <v>50</v>
      </c>
      <c r="B60" s="105">
        <v>18.78</v>
      </c>
    </row>
    <row r="61" spans="1:2" x14ac:dyDescent="0.25">
      <c r="A61" s="104">
        <v>51</v>
      </c>
      <c r="B61" s="105">
        <v>19.440000000000001</v>
      </c>
    </row>
    <row r="62" spans="1:2" x14ac:dyDescent="0.25">
      <c r="A62" s="104">
        <v>52</v>
      </c>
      <c r="B62" s="105">
        <v>20.12</v>
      </c>
    </row>
    <row r="63" spans="1:2" x14ac:dyDescent="0.25">
      <c r="A63" s="104">
        <v>53</v>
      </c>
      <c r="B63" s="105">
        <v>20.83</v>
      </c>
    </row>
    <row r="64" spans="1:2" x14ac:dyDescent="0.25">
      <c r="A64" s="104">
        <v>54</v>
      </c>
      <c r="B64" s="105">
        <v>21.57</v>
      </c>
    </row>
    <row r="65" spans="1:2" x14ac:dyDescent="0.25">
      <c r="A65" s="104">
        <v>55</v>
      </c>
      <c r="B65" s="105">
        <v>22.34</v>
      </c>
    </row>
    <row r="66" spans="1:2" x14ac:dyDescent="0.25">
      <c r="A66" s="104">
        <v>56</v>
      </c>
      <c r="B66" s="105">
        <v>23.14</v>
      </c>
    </row>
    <row r="67" spans="1:2" x14ac:dyDescent="0.25">
      <c r="A67" s="104">
        <v>57</v>
      </c>
      <c r="B67" s="105">
        <v>23.98</v>
      </c>
    </row>
    <row r="68" spans="1:2" x14ac:dyDescent="0.25">
      <c r="A68" s="104">
        <v>58</v>
      </c>
      <c r="B68" s="105">
        <v>24.85</v>
      </c>
    </row>
    <row r="69" spans="1:2" x14ac:dyDescent="0.25">
      <c r="A69" s="104">
        <v>59</v>
      </c>
      <c r="B69" s="105">
        <v>25.77</v>
      </c>
    </row>
    <row r="70" spans="1:2" x14ac:dyDescent="0.25">
      <c r="A70" s="104">
        <v>60</v>
      </c>
      <c r="B70" s="105">
        <v>25.93</v>
      </c>
    </row>
    <row r="71" spans="1:2" x14ac:dyDescent="0.25">
      <c r="A71" s="104">
        <v>61</v>
      </c>
      <c r="B71" s="105">
        <v>25.31</v>
      </c>
    </row>
    <row r="72" spans="1:2" x14ac:dyDescent="0.25">
      <c r="A72" s="104">
        <v>62</v>
      </c>
      <c r="B72" s="105">
        <v>24.68</v>
      </c>
    </row>
    <row r="73" spans="1:2" x14ac:dyDescent="0.25">
      <c r="A73" s="104">
        <v>63</v>
      </c>
      <c r="B73" s="105">
        <v>24.05</v>
      </c>
    </row>
    <row r="74" spans="1:2" x14ac:dyDescent="0.25">
      <c r="A74" s="104">
        <v>64</v>
      </c>
      <c r="B74" s="105">
        <v>23.42</v>
      </c>
    </row>
    <row r="75" spans="1:2" x14ac:dyDescent="0.25">
      <c r="A75" s="104">
        <v>65</v>
      </c>
      <c r="B75" s="105">
        <v>22.78</v>
      </c>
    </row>
    <row r="76" spans="1:2" x14ac:dyDescent="0.25">
      <c r="A76" s="104">
        <v>66</v>
      </c>
      <c r="B76" s="105">
        <v>22.14</v>
      </c>
    </row>
    <row r="77" spans="1:2" x14ac:dyDescent="0.25">
      <c r="A77" s="104">
        <v>67</v>
      </c>
      <c r="B77" s="105">
        <v>21.5</v>
      </c>
    </row>
    <row r="78" spans="1:2" x14ac:dyDescent="0.25">
      <c r="A78" s="104">
        <v>68</v>
      </c>
      <c r="B78" s="105">
        <v>20.86</v>
      </c>
    </row>
    <row r="79" spans="1:2" x14ac:dyDescent="0.25">
      <c r="A79" s="104">
        <v>69</v>
      </c>
      <c r="B79" s="105">
        <v>20.22</v>
      </c>
    </row>
    <row r="80" spans="1:2" x14ac:dyDescent="0.25">
      <c r="A80" s="104">
        <v>70</v>
      </c>
      <c r="B80" s="105">
        <v>19.57</v>
      </c>
    </row>
    <row r="81" spans="1:2" x14ac:dyDescent="0.25">
      <c r="A81" s="104">
        <v>71</v>
      </c>
      <c r="B81" s="105">
        <v>18.93</v>
      </c>
    </row>
    <row r="82" spans="1:2" x14ac:dyDescent="0.25">
      <c r="A82" s="104">
        <v>72</v>
      </c>
      <c r="B82" s="105">
        <v>18.3</v>
      </c>
    </row>
    <row r="83" spans="1:2" x14ac:dyDescent="0.25">
      <c r="A83" s="104">
        <v>73</v>
      </c>
      <c r="B83" s="105">
        <v>17.68</v>
      </c>
    </row>
    <row r="84" spans="1:2" x14ac:dyDescent="0.25">
      <c r="A84" s="104">
        <v>74</v>
      </c>
      <c r="B84" s="105">
        <v>17.05</v>
      </c>
    </row>
    <row r="85" spans="1:2" x14ac:dyDescent="0.25">
      <c r="A85" s="104">
        <v>75</v>
      </c>
      <c r="B85" s="105">
        <v>16.75</v>
      </c>
    </row>
  </sheetData>
  <sheetProtection algorithmName="SHA-512" hashValue="rJxTuG7SzN4MWPfsbtnkIfOOirV+DkyzLoaeibOyA3qDcuAzwhQ6z1fg4WAVNNw7HF9gztYtzvMcv3r3y4Axzw==" saltValue="RaJdAR7xXALMCsO3XMCBhQ==" spinCount="100000" sheet="1" objects="1" scenarios="1"/>
  <conditionalFormatting sqref="A6:A21">
    <cfRule type="expression" dxfId="413" priority="1" stopIfTrue="1">
      <formula>MOD(ROW(),2)=0</formula>
    </cfRule>
    <cfRule type="expression" dxfId="412" priority="2" stopIfTrue="1">
      <formula>MOD(ROW(),2)&lt;&gt;0</formula>
    </cfRule>
  </conditionalFormatting>
  <conditionalFormatting sqref="A26:A85">
    <cfRule type="expression" dxfId="411" priority="5" stopIfTrue="1">
      <formula>MOD(ROW(),2)=0</formula>
    </cfRule>
    <cfRule type="expression" dxfId="410" priority="6" stopIfTrue="1">
      <formula>MOD(ROW(),2)&lt;&gt;0</formula>
    </cfRule>
  </conditionalFormatting>
  <conditionalFormatting sqref="B6:B21">
    <cfRule type="expression" dxfId="409" priority="23" stopIfTrue="1">
      <formula>MOD(ROW(),2)=0</formula>
    </cfRule>
    <cfRule type="expression" dxfId="408" priority="24" stopIfTrue="1">
      <formula>MOD(ROW(),2)&lt;&gt;0</formula>
    </cfRule>
  </conditionalFormatting>
  <conditionalFormatting sqref="B12">
    <cfRule type="expression" dxfId="407" priority="13" stopIfTrue="1">
      <formula>MOD(ROW(),2)=0</formula>
    </cfRule>
    <cfRule type="expression" dxfId="406" priority="14" stopIfTrue="1">
      <formula>MOD(ROW(),2)&lt;&gt;0</formula>
    </cfRule>
  </conditionalFormatting>
  <conditionalFormatting sqref="B18:B21">
    <cfRule type="expression" dxfId="405" priority="3" stopIfTrue="1">
      <formula>MOD(ROW(),2)=0</formula>
    </cfRule>
    <cfRule type="expression" dxfId="404" priority="4" stopIfTrue="1">
      <formula>MOD(ROW(),2)&lt;&gt;0</formula>
    </cfRule>
  </conditionalFormatting>
  <conditionalFormatting sqref="B26:B85">
    <cfRule type="expression" dxfId="403" priority="7" stopIfTrue="1">
      <formula>MOD(ROW(),2)=0</formula>
    </cfRule>
    <cfRule type="expression" dxfId="402" priority="8" stopIfTrue="1">
      <formula>MOD(ROW(),2)&lt;&gt;0</formula>
    </cfRule>
  </conditionalFormatting>
  <hyperlinks>
    <hyperlink ref="B24" location="Sheet1!A1" display="Assumptions" xr:uid="{424E5B8D-EE81-4748-9F02-10F6E479951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04"/>
  <dimension ref="A1:I85"/>
  <sheetViews>
    <sheetView showGridLines="0" zoomScale="85" zoomScaleNormal="85" workbookViewId="0">
      <selection activeCell="A4" sqref="A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Added pension - x-726</v>
      </c>
      <c r="B3" s="42"/>
      <c r="C3" s="42"/>
      <c r="D3" s="42"/>
      <c r="E3" s="42"/>
      <c r="F3" s="42"/>
      <c r="G3" s="42"/>
      <c r="H3" s="42"/>
      <c r="I3" s="42"/>
    </row>
    <row r="4" spans="1:9" x14ac:dyDescent="0.25">
      <c r="A4" s="44"/>
    </row>
    <row r="6" spans="1:9" x14ac:dyDescent="0.25">
      <c r="A6" s="76" t="s">
        <v>290</v>
      </c>
      <c r="B6" s="129" t="s">
        <v>291</v>
      </c>
    </row>
    <row r="7" spans="1:9" ht="26.7" customHeight="1" x14ac:dyDescent="0.25">
      <c r="A7" s="77" t="s">
        <v>804</v>
      </c>
      <c r="B7" s="129" t="s">
        <v>345</v>
      </c>
    </row>
    <row r="8" spans="1:9" x14ac:dyDescent="0.25">
      <c r="A8" s="77" t="s">
        <v>805</v>
      </c>
      <c r="B8" s="129" t="s">
        <v>359</v>
      </c>
    </row>
    <row r="9" spans="1:9" x14ac:dyDescent="0.25">
      <c r="A9" s="77" t="s">
        <v>296</v>
      </c>
      <c r="B9" s="129" t="s">
        <v>605</v>
      </c>
    </row>
    <row r="10" spans="1:9" ht="51" customHeight="1" x14ac:dyDescent="0.25">
      <c r="A10" s="77" t="s">
        <v>6</v>
      </c>
      <c r="B10" s="129" t="s">
        <v>634</v>
      </c>
    </row>
    <row r="11" spans="1:9" x14ac:dyDescent="0.25">
      <c r="A11" s="77" t="s">
        <v>299</v>
      </c>
      <c r="B11" s="129" t="s">
        <v>364</v>
      </c>
    </row>
    <row r="12" spans="1:9" x14ac:dyDescent="0.25">
      <c r="A12" s="77" t="s">
        <v>301</v>
      </c>
      <c r="B12" s="129" t="s">
        <v>328</v>
      </c>
    </row>
    <row r="13" spans="1:9" x14ac:dyDescent="0.25">
      <c r="A13" s="77" t="s">
        <v>806</v>
      </c>
      <c r="B13" s="129">
        <v>1</v>
      </c>
    </row>
    <row r="14" spans="1:9" x14ac:dyDescent="0.25">
      <c r="A14" s="77" t="s">
        <v>305</v>
      </c>
      <c r="B14" s="129">
        <v>726</v>
      </c>
    </row>
    <row r="15" spans="1:9" x14ac:dyDescent="0.25">
      <c r="A15" s="77" t="s">
        <v>307</v>
      </c>
      <c r="B15" s="129" t="s">
        <v>635</v>
      </c>
    </row>
    <row r="16" spans="1:9" x14ac:dyDescent="0.25">
      <c r="A16" s="77" t="s">
        <v>825</v>
      </c>
      <c r="B16" s="129" t="s">
        <v>636</v>
      </c>
    </row>
    <row r="17" spans="1:2" ht="78" customHeight="1" x14ac:dyDescent="0.25">
      <c r="A17" s="77" t="s">
        <v>803</v>
      </c>
      <c r="B17" s="129"/>
    </row>
    <row r="18" spans="1:2" x14ac:dyDescent="0.25">
      <c r="A18" s="77" t="s">
        <v>313</v>
      </c>
      <c r="B18" s="187">
        <v>45184</v>
      </c>
    </row>
    <row r="19" spans="1:2" x14ac:dyDescent="0.25">
      <c r="A19" s="77" t="s">
        <v>315</v>
      </c>
      <c r="B19" s="187"/>
    </row>
    <row r="20" spans="1:2" x14ac:dyDescent="0.25">
      <c r="A20" s="77" t="s">
        <v>317</v>
      </c>
      <c r="B20" s="129" t="s">
        <v>331</v>
      </c>
    </row>
    <row r="21" spans="1:2" x14ac:dyDescent="0.25">
      <c r="A21" s="77" t="s">
        <v>323</v>
      </c>
      <c r="B21" s="129" t="s">
        <v>332</v>
      </c>
    </row>
    <row r="23" spans="1:2" x14ac:dyDescent="0.25">
      <c r="B23" s="102" t="str">
        <f>HYPERLINK("#'Factor List'!A1","Back to Factor List")</f>
        <v>Back to Factor List</v>
      </c>
    </row>
    <row r="24" spans="1:2" x14ac:dyDescent="0.25">
      <c r="B24" s="102" t="s">
        <v>13</v>
      </c>
    </row>
    <row r="25" spans="1:2" x14ac:dyDescent="0.25">
      <c r="B25" s="102"/>
    </row>
    <row r="26" spans="1:2" x14ac:dyDescent="0.25">
      <c r="A26" s="103" t="s">
        <v>373</v>
      </c>
      <c r="B26" s="103" t="s">
        <v>959</v>
      </c>
    </row>
    <row r="27" spans="1:2" x14ac:dyDescent="0.25">
      <c r="A27" s="104">
        <v>17</v>
      </c>
      <c r="B27" s="105">
        <v>5.29</v>
      </c>
    </row>
    <row r="28" spans="1:2" x14ac:dyDescent="0.25">
      <c r="A28" s="104">
        <v>18</v>
      </c>
      <c r="B28" s="105">
        <v>5.49</v>
      </c>
    </row>
    <row r="29" spans="1:2" x14ac:dyDescent="0.25">
      <c r="A29" s="104">
        <v>19</v>
      </c>
      <c r="B29" s="105">
        <v>5.68</v>
      </c>
    </row>
    <row r="30" spans="1:2" x14ac:dyDescent="0.25">
      <c r="A30" s="104">
        <v>20</v>
      </c>
      <c r="B30" s="105">
        <v>5.89</v>
      </c>
    </row>
    <row r="31" spans="1:2" x14ac:dyDescent="0.25">
      <c r="A31" s="104">
        <v>21</v>
      </c>
      <c r="B31" s="105">
        <v>6.09</v>
      </c>
    </row>
    <row r="32" spans="1:2" x14ac:dyDescent="0.25">
      <c r="A32" s="104">
        <v>22</v>
      </c>
      <c r="B32" s="105">
        <v>6.3</v>
      </c>
    </row>
    <row r="33" spans="1:2" x14ac:dyDescent="0.25">
      <c r="A33" s="104">
        <v>23</v>
      </c>
      <c r="B33" s="105">
        <v>6.53</v>
      </c>
    </row>
    <row r="34" spans="1:2" x14ac:dyDescent="0.25">
      <c r="A34" s="104">
        <v>24</v>
      </c>
      <c r="B34" s="105">
        <v>6.75</v>
      </c>
    </row>
    <row r="35" spans="1:2" x14ac:dyDescent="0.25">
      <c r="A35" s="104">
        <v>25</v>
      </c>
      <c r="B35" s="105">
        <v>7</v>
      </c>
    </row>
    <row r="36" spans="1:2" x14ac:dyDescent="0.25">
      <c r="A36" s="104">
        <v>26</v>
      </c>
      <c r="B36" s="105">
        <v>7.24</v>
      </c>
    </row>
    <row r="37" spans="1:2" x14ac:dyDescent="0.25">
      <c r="A37" s="104">
        <v>27</v>
      </c>
      <c r="B37" s="105">
        <v>7.5</v>
      </c>
    </row>
    <row r="38" spans="1:2" x14ac:dyDescent="0.25">
      <c r="A38" s="104">
        <v>28</v>
      </c>
      <c r="B38" s="105">
        <v>7.75</v>
      </c>
    </row>
    <row r="39" spans="1:2" x14ac:dyDescent="0.25">
      <c r="A39" s="104">
        <v>29</v>
      </c>
      <c r="B39" s="105">
        <v>8.0299999999999994</v>
      </c>
    </row>
    <row r="40" spans="1:2" x14ac:dyDescent="0.25">
      <c r="A40" s="104">
        <v>30</v>
      </c>
      <c r="B40" s="105">
        <v>8.31</v>
      </c>
    </row>
    <row r="41" spans="1:2" x14ac:dyDescent="0.25">
      <c r="A41" s="104">
        <v>31</v>
      </c>
      <c r="B41" s="105">
        <v>8.6</v>
      </c>
    </row>
    <row r="42" spans="1:2" x14ac:dyDescent="0.25">
      <c r="A42" s="104">
        <v>32</v>
      </c>
      <c r="B42" s="105">
        <v>8.9</v>
      </c>
    </row>
    <row r="43" spans="1:2" x14ac:dyDescent="0.25">
      <c r="A43" s="104">
        <v>33</v>
      </c>
      <c r="B43" s="105">
        <v>9.2100000000000009</v>
      </c>
    </row>
    <row r="44" spans="1:2" x14ac:dyDescent="0.25">
      <c r="A44" s="104">
        <v>34</v>
      </c>
      <c r="B44" s="105">
        <v>9.5299999999999994</v>
      </c>
    </row>
    <row r="45" spans="1:2" x14ac:dyDescent="0.25">
      <c r="A45" s="104">
        <v>35</v>
      </c>
      <c r="B45" s="105">
        <v>9.86</v>
      </c>
    </row>
    <row r="46" spans="1:2" x14ac:dyDescent="0.25">
      <c r="A46" s="104">
        <v>36</v>
      </c>
      <c r="B46" s="105">
        <v>10.199999999999999</v>
      </c>
    </row>
    <row r="47" spans="1:2" x14ac:dyDescent="0.25">
      <c r="A47" s="104">
        <v>37</v>
      </c>
      <c r="B47" s="105">
        <v>10.56</v>
      </c>
    </row>
    <row r="48" spans="1:2" x14ac:dyDescent="0.25">
      <c r="A48" s="104">
        <v>38</v>
      </c>
      <c r="B48" s="105">
        <v>10.92</v>
      </c>
    </row>
    <row r="49" spans="1:2" x14ac:dyDescent="0.25">
      <c r="A49" s="104">
        <v>39</v>
      </c>
      <c r="B49" s="105">
        <v>11.3</v>
      </c>
    </row>
    <row r="50" spans="1:2" x14ac:dyDescent="0.25">
      <c r="A50" s="104">
        <v>40</v>
      </c>
      <c r="B50" s="105">
        <v>11.7</v>
      </c>
    </row>
    <row r="51" spans="1:2" x14ac:dyDescent="0.25">
      <c r="A51" s="104">
        <v>41</v>
      </c>
      <c r="B51" s="105">
        <v>12.1</v>
      </c>
    </row>
    <row r="52" spans="1:2" x14ac:dyDescent="0.25">
      <c r="A52" s="104">
        <v>42</v>
      </c>
      <c r="B52" s="105">
        <v>12.52</v>
      </c>
    </row>
    <row r="53" spans="1:2" x14ac:dyDescent="0.25">
      <c r="A53" s="104">
        <v>43</v>
      </c>
      <c r="B53" s="105">
        <v>12.95</v>
      </c>
    </row>
    <row r="54" spans="1:2" x14ac:dyDescent="0.25">
      <c r="A54" s="104">
        <v>44</v>
      </c>
      <c r="B54" s="105">
        <v>13.4</v>
      </c>
    </row>
    <row r="55" spans="1:2" x14ac:dyDescent="0.25">
      <c r="A55" s="104">
        <v>45</v>
      </c>
      <c r="B55" s="105">
        <v>13.86</v>
      </c>
    </row>
    <row r="56" spans="1:2" x14ac:dyDescent="0.25">
      <c r="A56" s="104">
        <v>46</v>
      </c>
      <c r="B56" s="105">
        <v>14.34</v>
      </c>
    </row>
    <row r="57" spans="1:2" x14ac:dyDescent="0.25">
      <c r="A57" s="104">
        <v>47</v>
      </c>
      <c r="B57" s="105">
        <v>14.84</v>
      </c>
    </row>
    <row r="58" spans="1:2" x14ac:dyDescent="0.25">
      <c r="A58" s="104">
        <v>48</v>
      </c>
      <c r="B58" s="105">
        <v>15.36</v>
      </c>
    </row>
    <row r="59" spans="1:2" x14ac:dyDescent="0.25">
      <c r="A59" s="104">
        <v>49</v>
      </c>
      <c r="B59" s="105">
        <v>15.89</v>
      </c>
    </row>
    <row r="60" spans="1:2" x14ac:dyDescent="0.25">
      <c r="A60" s="104">
        <v>50</v>
      </c>
      <c r="B60" s="105">
        <v>16.440000000000001</v>
      </c>
    </row>
    <row r="61" spans="1:2" x14ac:dyDescent="0.25">
      <c r="A61" s="104">
        <v>51</v>
      </c>
      <c r="B61" s="105">
        <v>17.010000000000002</v>
      </c>
    </row>
    <row r="62" spans="1:2" x14ac:dyDescent="0.25">
      <c r="A62" s="104">
        <v>52</v>
      </c>
      <c r="B62" s="105">
        <v>17.62</v>
      </c>
    </row>
    <row r="63" spans="1:2" x14ac:dyDescent="0.25">
      <c r="A63" s="104">
        <v>53</v>
      </c>
      <c r="B63" s="105">
        <v>18.23</v>
      </c>
    </row>
    <row r="64" spans="1:2" x14ac:dyDescent="0.25">
      <c r="A64" s="104">
        <v>54</v>
      </c>
      <c r="B64" s="105">
        <v>18.87</v>
      </c>
    </row>
    <row r="65" spans="1:2" x14ac:dyDescent="0.25">
      <c r="A65" s="104">
        <v>55</v>
      </c>
      <c r="B65" s="105">
        <v>19.53</v>
      </c>
    </row>
    <row r="66" spans="1:2" x14ac:dyDescent="0.25">
      <c r="A66" s="104">
        <v>56</v>
      </c>
      <c r="B66" s="105">
        <v>20.239999999999998</v>
      </c>
    </row>
    <row r="67" spans="1:2" x14ac:dyDescent="0.25">
      <c r="A67" s="104">
        <v>57</v>
      </c>
      <c r="B67" s="105">
        <v>20.96</v>
      </c>
    </row>
    <row r="68" spans="1:2" x14ac:dyDescent="0.25">
      <c r="A68" s="104">
        <v>58</v>
      </c>
      <c r="B68" s="105">
        <v>21.72</v>
      </c>
    </row>
    <row r="69" spans="1:2" x14ac:dyDescent="0.25">
      <c r="A69" s="104">
        <v>59</v>
      </c>
      <c r="B69" s="105">
        <v>22.51</v>
      </c>
    </row>
    <row r="70" spans="1:2" x14ac:dyDescent="0.25">
      <c r="A70" s="104">
        <v>60</v>
      </c>
      <c r="B70" s="105">
        <v>22.61</v>
      </c>
    </row>
    <row r="71" spans="1:2" x14ac:dyDescent="0.25">
      <c r="A71" s="104">
        <v>61</v>
      </c>
      <c r="B71" s="105">
        <v>21.99</v>
      </c>
    </row>
    <row r="72" spans="1:2" x14ac:dyDescent="0.25">
      <c r="A72" s="104">
        <v>62</v>
      </c>
      <c r="B72" s="105">
        <v>21.36</v>
      </c>
    </row>
    <row r="73" spans="1:2" x14ac:dyDescent="0.25">
      <c r="A73" s="104">
        <v>63</v>
      </c>
      <c r="B73" s="105">
        <v>20.74</v>
      </c>
    </row>
    <row r="74" spans="1:2" x14ac:dyDescent="0.25">
      <c r="A74" s="104">
        <v>64</v>
      </c>
      <c r="B74" s="105">
        <v>20.09</v>
      </c>
    </row>
    <row r="75" spans="1:2" x14ac:dyDescent="0.25">
      <c r="A75" s="104">
        <v>65</v>
      </c>
      <c r="B75" s="105">
        <v>19.46</v>
      </c>
    </row>
    <row r="76" spans="1:2" x14ac:dyDescent="0.25">
      <c r="A76" s="104">
        <v>66</v>
      </c>
      <c r="B76" s="105">
        <v>18.82</v>
      </c>
    </row>
    <row r="77" spans="1:2" x14ac:dyDescent="0.25">
      <c r="A77" s="104">
        <v>67</v>
      </c>
      <c r="B77" s="105">
        <v>18.18</v>
      </c>
    </row>
    <row r="78" spans="1:2" x14ac:dyDescent="0.25">
      <c r="A78" s="104">
        <v>68</v>
      </c>
      <c r="B78" s="105">
        <v>17.53</v>
      </c>
    </row>
    <row r="79" spans="1:2" x14ac:dyDescent="0.25">
      <c r="A79" s="104">
        <v>69</v>
      </c>
      <c r="B79" s="105">
        <v>16.899999999999999</v>
      </c>
    </row>
    <row r="80" spans="1:2" x14ac:dyDescent="0.25">
      <c r="A80" s="104">
        <v>70</v>
      </c>
      <c r="B80" s="105">
        <v>16.260000000000002</v>
      </c>
    </row>
    <row r="81" spans="1:2" x14ac:dyDescent="0.25">
      <c r="A81" s="104">
        <v>71</v>
      </c>
      <c r="B81" s="105">
        <v>15.62</v>
      </c>
    </row>
    <row r="82" spans="1:2" x14ac:dyDescent="0.25">
      <c r="A82" s="104">
        <v>72</v>
      </c>
      <c r="B82" s="105">
        <v>14.98</v>
      </c>
    </row>
    <row r="83" spans="1:2" x14ac:dyDescent="0.25">
      <c r="A83" s="104">
        <v>73</v>
      </c>
      <c r="B83" s="105">
        <v>14.36</v>
      </c>
    </row>
    <row r="84" spans="1:2" x14ac:dyDescent="0.25">
      <c r="A84" s="104">
        <v>74</v>
      </c>
      <c r="B84" s="105">
        <v>13.75</v>
      </c>
    </row>
    <row r="85" spans="1:2" x14ac:dyDescent="0.25">
      <c r="A85" s="104">
        <v>75</v>
      </c>
      <c r="B85" s="105">
        <v>13.44</v>
      </c>
    </row>
  </sheetData>
  <sheetProtection algorithmName="SHA-512" hashValue="S8gtyMhATJM1K6S+klRDcjiMh811hQcHLW4KJIvcK2RWRbyks0IKA5HhMRBbX+Paa4adHNdJlayguR+oDzXfrA==" saltValue="ke8Tbr4Tcg2Eug3rhjTa2g==" spinCount="100000" sheet="1" objects="1" scenarios="1"/>
  <conditionalFormatting sqref="A6:A21">
    <cfRule type="expression" dxfId="401" priority="1" stopIfTrue="1">
      <formula>MOD(ROW(),2)=0</formula>
    </cfRule>
    <cfRule type="expression" dxfId="400" priority="2" stopIfTrue="1">
      <formula>MOD(ROW(),2)&lt;&gt;0</formula>
    </cfRule>
  </conditionalFormatting>
  <conditionalFormatting sqref="A26:A85">
    <cfRule type="expression" dxfId="399" priority="5" stopIfTrue="1">
      <formula>MOD(ROW(),2)=0</formula>
    </cfRule>
    <cfRule type="expression" dxfId="398" priority="6" stopIfTrue="1">
      <formula>MOD(ROW(),2)&lt;&gt;0</formula>
    </cfRule>
  </conditionalFormatting>
  <conditionalFormatting sqref="B6:B21">
    <cfRule type="expression" dxfId="397" priority="23" stopIfTrue="1">
      <formula>MOD(ROW(),2)=0</formula>
    </cfRule>
    <cfRule type="expression" dxfId="396" priority="24" stopIfTrue="1">
      <formula>MOD(ROW(),2)&lt;&gt;0</formula>
    </cfRule>
  </conditionalFormatting>
  <conditionalFormatting sqref="B12">
    <cfRule type="expression" dxfId="395" priority="13" stopIfTrue="1">
      <formula>MOD(ROW(),2)=0</formula>
    </cfRule>
    <cfRule type="expression" dxfId="394" priority="14" stopIfTrue="1">
      <formula>MOD(ROW(),2)&lt;&gt;0</formula>
    </cfRule>
  </conditionalFormatting>
  <conditionalFormatting sqref="B18:B21">
    <cfRule type="expression" dxfId="393" priority="3" stopIfTrue="1">
      <formula>MOD(ROW(),2)=0</formula>
    </cfRule>
    <cfRule type="expression" dxfId="392" priority="4" stopIfTrue="1">
      <formula>MOD(ROW(),2)&lt;&gt;0</formula>
    </cfRule>
  </conditionalFormatting>
  <conditionalFormatting sqref="B26:B85">
    <cfRule type="expression" dxfId="391" priority="7" stopIfTrue="1">
      <formula>MOD(ROW(),2)=0</formula>
    </cfRule>
    <cfRule type="expression" dxfId="390" priority="8" stopIfTrue="1">
      <formula>MOD(ROW(),2)&lt;&gt;0</formula>
    </cfRule>
  </conditionalFormatting>
  <hyperlinks>
    <hyperlink ref="B24" location="Sheet1!A1" display="Assumptions" xr:uid="{E491C4EC-ED75-4316-A0DA-159E60887E1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05"/>
  <dimension ref="A1:I85"/>
  <sheetViews>
    <sheetView showGridLines="0" zoomScale="85" zoomScaleNormal="85" workbookViewId="0">
      <selection activeCell="A4" sqref="A4"/>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Civil Service Pension Schemes - Consolidated Factor Spreadsheet</v>
      </c>
      <c r="B2" s="42"/>
      <c r="C2" s="42"/>
      <c r="D2" s="42"/>
      <c r="E2" s="42"/>
      <c r="F2" s="42"/>
      <c r="G2" s="42"/>
      <c r="H2" s="42"/>
      <c r="I2" s="42"/>
    </row>
    <row r="3" spans="1:9" ht="15.6" x14ac:dyDescent="0.3">
      <c r="A3" s="43" t="str">
        <f>TABLE_FACTOR_TYPE_1&amp;" - x-"&amp;TABLE_SERIES_NUMBER_1</f>
        <v>Added pension - x-727</v>
      </c>
      <c r="B3" s="42"/>
      <c r="C3" s="42"/>
      <c r="D3" s="42"/>
      <c r="E3" s="42"/>
      <c r="F3" s="42"/>
      <c r="G3" s="42"/>
      <c r="H3" s="42"/>
      <c r="I3" s="42"/>
    </row>
    <row r="4" spans="1:9" x14ac:dyDescent="0.25">
      <c r="A4" s="44"/>
    </row>
    <row r="6" spans="1:9" x14ac:dyDescent="0.25">
      <c r="A6" s="76" t="s">
        <v>290</v>
      </c>
      <c r="B6" s="129" t="s">
        <v>291</v>
      </c>
      <c r="C6" s="129"/>
      <c r="D6" s="129"/>
    </row>
    <row r="7" spans="1:9" x14ac:dyDescent="0.25">
      <c r="A7" s="77" t="s">
        <v>804</v>
      </c>
      <c r="B7" s="129" t="s">
        <v>345</v>
      </c>
      <c r="C7" s="129"/>
      <c r="D7" s="129"/>
    </row>
    <row r="8" spans="1:9" x14ac:dyDescent="0.25">
      <c r="A8" s="77" t="s">
        <v>805</v>
      </c>
      <c r="B8" s="129" t="s">
        <v>89</v>
      </c>
      <c r="C8" s="129"/>
      <c r="D8" s="129"/>
    </row>
    <row r="9" spans="1:9" x14ac:dyDescent="0.25">
      <c r="A9" s="77" t="s">
        <v>296</v>
      </c>
      <c r="B9" s="129" t="s">
        <v>605</v>
      </c>
      <c r="C9" s="129"/>
      <c r="D9" s="129"/>
    </row>
    <row r="10" spans="1:9" x14ac:dyDescent="0.25">
      <c r="A10" s="77" t="s">
        <v>6</v>
      </c>
      <c r="B10" s="129" t="s">
        <v>637</v>
      </c>
      <c r="C10" s="129"/>
      <c r="D10" s="129"/>
    </row>
    <row r="11" spans="1:9" x14ac:dyDescent="0.25">
      <c r="A11" s="77" t="s">
        <v>299</v>
      </c>
      <c r="B11" s="129" t="s">
        <v>607</v>
      </c>
      <c r="C11" s="129"/>
      <c r="D11" s="129"/>
    </row>
    <row r="12" spans="1:9" x14ac:dyDescent="0.25">
      <c r="A12" s="77" t="s">
        <v>301</v>
      </c>
      <c r="B12" s="129" t="s">
        <v>328</v>
      </c>
      <c r="C12" s="129"/>
      <c r="D12" s="129"/>
    </row>
    <row r="13" spans="1:9" x14ac:dyDescent="0.25">
      <c r="A13" s="77" t="s">
        <v>806</v>
      </c>
      <c r="B13" s="129">
        <v>1</v>
      </c>
      <c r="C13" s="129"/>
      <c r="D13" s="129"/>
    </row>
    <row r="14" spans="1:9" x14ac:dyDescent="0.25">
      <c r="A14" s="77" t="s">
        <v>305</v>
      </c>
      <c r="B14" s="129">
        <v>727</v>
      </c>
      <c r="C14" s="129"/>
      <c r="D14" s="129"/>
    </row>
    <row r="15" spans="1:9" x14ac:dyDescent="0.25">
      <c r="A15" s="77" t="s">
        <v>307</v>
      </c>
      <c r="B15" s="129" t="s">
        <v>638</v>
      </c>
      <c r="C15" s="129"/>
      <c r="D15" s="129"/>
    </row>
    <row r="16" spans="1:9" x14ac:dyDescent="0.25">
      <c r="A16" s="77" t="s">
        <v>825</v>
      </c>
      <c r="B16" s="129" t="s">
        <v>639</v>
      </c>
      <c r="C16" s="129"/>
      <c r="D16" s="129"/>
    </row>
    <row r="17" spans="1:4" x14ac:dyDescent="0.25">
      <c r="A17" s="77" t="s">
        <v>803</v>
      </c>
      <c r="B17" s="129"/>
      <c r="C17" s="129"/>
      <c r="D17" s="129"/>
    </row>
    <row r="18" spans="1:4" x14ac:dyDescent="0.25">
      <c r="A18" s="77" t="s">
        <v>313</v>
      </c>
      <c r="B18" s="187">
        <v>45184</v>
      </c>
      <c r="C18" s="129"/>
      <c r="D18" s="129"/>
    </row>
    <row r="19" spans="1:4" x14ac:dyDescent="0.25">
      <c r="A19" s="77" t="s">
        <v>315</v>
      </c>
      <c r="B19" s="187"/>
      <c r="C19" s="129"/>
      <c r="D19" s="129"/>
    </row>
    <row r="20" spans="1:4" x14ac:dyDescent="0.25">
      <c r="A20" s="77" t="s">
        <v>317</v>
      </c>
      <c r="B20" s="129" t="s">
        <v>331</v>
      </c>
      <c r="C20" s="129"/>
      <c r="D20" s="129"/>
    </row>
    <row r="21" spans="1:4" x14ac:dyDescent="0.25">
      <c r="A21" s="77" t="s">
        <v>323</v>
      </c>
      <c r="B21" s="129" t="s">
        <v>332</v>
      </c>
      <c r="C21" s="129"/>
      <c r="D21" s="129"/>
    </row>
    <row r="23" spans="1:4" x14ac:dyDescent="0.25">
      <c r="B23" s="102" t="str">
        <f>HYPERLINK("#'Factor List'!A1","Back to Factor List")</f>
        <v>Back to Factor List</v>
      </c>
    </row>
    <row r="24" spans="1:4" x14ac:dyDescent="0.25">
      <c r="B24" s="102" t="s">
        <v>13</v>
      </c>
    </row>
    <row r="25" spans="1:4" x14ac:dyDescent="0.25">
      <c r="B25" s="102"/>
    </row>
    <row r="26" spans="1:4" ht="26.4" x14ac:dyDescent="0.25">
      <c r="A26" s="103" t="s">
        <v>373</v>
      </c>
      <c r="B26" s="103" t="s">
        <v>956</v>
      </c>
      <c r="C26" s="103" t="s">
        <v>957</v>
      </c>
      <c r="D26" s="103" t="s">
        <v>958</v>
      </c>
    </row>
    <row r="27" spans="1:4" x14ac:dyDescent="0.25">
      <c r="A27" s="104">
        <v>17</v>
      </c>
      <c r="B27" s="105">
        <v>3.74</v>
      </c>
      <c r="C27" s="105">
        <v>3.74</v>
      </c>
      <c r="D27" s="105">
        <v>4.0599999999999996</v>
      </c>
    </row>
    <row r="28" spans="1:4" x14ac:dyDescent="0.25">
      <c r="A28" s="104">
        <v>18</v>
      </c>
      <c r="B28" s="105">
        <v>3.87</v>
      </c>
      <c r="C28" s="105">
        <v>3.87</v>
      </c>
      <c r="D28" s="105">
        <v>4.21</v>
      </c>
    </row>
    <row r="29" spans="1:4" x14ac:dyDescent="0.25">
      <c r="A29" s="104">
        <v>19</v>
      </c>
      <c r="B29" s="105">
        <v>4.01</v>
      </c>
      <c r="C29" s="105">
        <v>4.01</v>
      </c>
      <c r="D29" s="105">
        <v>4.38</v>
      </c>
    </row>
    <row r="30" spans="1:4" x14ac:dyDescent="0.25">
      <c r="A30" s="104">
        <v>20</v>
      </c>
      <c r="B30" s="105">
        <v>4.1399999999999997</v>
      </c>
      <c r="C30" s="105">
        <v>4.1399999999999997</v>
      </c>
      <c r="D30" s="105">
        <v>4.5199999999999996</v>
      </c>
    </row>
    <row r="31" spans="1:4" x14ac:dyDescent="0.25">
      <c r="A31" s="104">
        <v>21</v>
      </c>
      <c r="B31" s="105">
        <v>4.28</v>
      </c>
      <c r="C31" s="105">
        <v>4.28</v>
      </c>
      <c r="D31" s="105">
        <v>4.68</v>
      </c>
    </row>
    <row r="32" spans="1:4" x14ac:dyDescent="0.25">
      <c r="A32" s="104">
        <v>22</v>
      </c>
      <c r="B32" s="105">
        <v>4.4400000000000004</v>
      </c>
      <c r="C32" s="105">
        <v>4.4400000000000004</v>
      </c>
      <c r="D32" s="105">
        <v>4.84</v>
      </c>
    </row>
    <row r="33" spans="1:4" x14ac:dyDescent="0.25">
      <c r="A33" s="104">
        <v>23</v>
      </c>
      <c r="B33" s="105">
        <v>4.59</v>
      </c>
      <c r="C33" s="105">
        <v>4.59</v>
      </c>
      <c r="D33" s="105">
        <v>5.01</v>
      </c>
    </row>
    <row r="34" spans="1:4" x14ac:dyDescent="0.25">
      <c r="A34" s="104">
        <v>24</v>
      </c>
      <c r="B34" s="105">
        <v>4.75</v>
      </c>
      <c r="C34" s="105">
        <v>4.75</v>
      </c>
      <c r="D34" s="105">
        <v>5.18</v>
      </c>
    </row>
    <row r="35" spans="1:4" x14ac:dyDescent="0.25">
      <c r="A35" s="104">
        <v>25</v>
      </c>
      <c r="B35" s="105">
        <v>4.92</v>
      </c>
      <c r="C35" s="105">
        <v>4.92</v>
      </c>
      <c r="D35" s="105">
        <v>5.37</v>
      </c>
    </row>
    <row r="36" spans="1:4" x14ac:dyDescent="0.25">
      <c r="A36" s="104">
        <v>26</v>
      </c>
      <c r="B36" s="105">
        <v>5.08</v>
      </c>
      <c r="C36" s="105">
        <v>5.08</v>
      </c>
      <c r="D36" s="105">
        <v>5.55</v>
      </c>
    </row>
    <row r="37" spans="1:4" x14ac:dyDescent="0.25">
      <c r="A37" s="104">
        <v>27</v>
      </c>
      <c r="B37" s="105">
        <v>5.26</v>
      </c>
      <c r="C37" s="105">
        <v>5.26</v>
      </c>
      <c r="D37" s="105">
        <v>5.74</v>
      </c>
    </row>
    <row r="38" spans="1:4" x14ac:dyDescent="0.25">
      <c r="A38" s="104">
        <v>28</v>
      </c>
      <c r="B38" s="105">
        <v>5.45</v>
      </c>
      <c r="C38" s="105">
        <v>5.45</v>
      </c>
      <c r="D38" s="105">
        <v>5.95</v>
      </c>
    </row>
    <row r="39" spans="1:4" x14ac:dyDescent="0.25">
      <c r="A39" s="104">
        <v>29</v>
      </c>
      <c r="B39" s="105">
        <v>5.63</v>
      </c>
      <c r="C39" s="105">
        <v>5.63</v>
      </c>
      <c r="D39" s="105">
        <v>6.15</v>
      </c>
    </row>
    <row r="40" spans="1:4" x14ac:dyDescent="0.25">
      <c r="A40" s="104">
        <v>30</v>
      </c>
      <c r="B40" s="105">
        <v>5.82</v>
      </c>
      <c r="C40" s="105">
        <v>5.82</v>
      </c>
      <c r="D40" s="105">
        <v>6.36</v>
      </c>
    </row>
    <row r="41" spans="1:4" x14ac:dyDescent="0.25">
      <c r="A41" s="104">
        <v>31</v>
      </c>
      <c r="B41" s="105">
        <v>6.03</v>
      </c>
      <c r="C41" s="105">
        <v>6.03</v>
      </c>
      <c r="D41" s="105">
        <v>6.58</v>
      </c>
    </row>
    <row r="42" spans="1:4" x14ac:dyDescent="0.25">
      <c r="A42" s="104">
        <v>32</v>
      </c>
      <c r="B42" s="105">
        <v>6.23</v>
      </c>
      <c r="C42" s="105">
        <v>6.23</v>
      </c>
      <c r="D42" s="105">
        <v>6.81</v>
      </c>
    </row>
    <row r="43" spans="1:4" x14ac:dyDescent="0.25">
      <c r="A43" s="104">
        <v>33</v>
      </c>
      <c r="B43" s="105">
        <v>6.45</v>
      </c>
      <c r="C43" s="105">
        <v>6.45</v>
      </c>
      <c r="D43" s="105">
        <v>7.05</v>
      </c>
    </row>
    <row r="44" spans="1:4" x14ac:dyDescent="0.25">
      <c r="A44" s="104">
        <v>34</v>
      </c>
      <c r="B44" s="105">
        <v>6.67</v>
      </c>
      <c r="C44" s="105">
        <v>6.67</v>
      </c>
      <c r="D44" s="105">
        <v>7.28</v>
      </c>
    </row>
    <row r="45" spans="1:4" x14ac:dyDescent="0.25">
      <c r="A45" s="104">
        <v>35</v>
      </c>
      <c r="B45" s="105">
        <v>6.9</v>
      </c>
      <c r="C45" s="105">
        <v>6.9</v>
      </c>
      <c r="D45" s="105">
        <v>7.54</v>
      </c>
    </row>
    <row r="46" spans="1:4" x14ac:dyDescent="0.25">
      <c r="A46" s="104">
        <v>36</v>
      </c>
      <c r="B46" s="105">
        <v>7.13</v>
      </c>
      <c r="C46" s="105">
        <v>7.13</v>
      </c>
      <c r="D46" s="105">
        <v>7.79</v>
      </c>
    </row>
    <row r="47" spans="1:4" x14ac:dyDescent="0.25">
      <c r="A47" s="104">
        <v>37</v>
      </c>
      <c r="B47" s="105">
        <v>7.37</v>
      </c>
      <c r="C47" s="105">
        <v>7.37</v>
      </c>
      <c r="D47" s="105">
        <v>8.06</v>
      </c>
    </row>
    <row r="48" spans="1:4" x14ac:dyDescent="0.25">
      <c r="A48" s="104">
        <v>38</v>
      </c>
      <c r="B48" s="105">
        <v>7.63</v>
      </c>
      <c r="C48" s="105">
        <v>7.63</v>
      </c>
      <c r="D48" s="105">
        <v>8.33</v>
      </c>
    </row>
    <row r="49" spans="1:4" x14ac:dyDescent="0.25">
      <c r="A49" s="104">
        <v>39</v>
      </c>
      <c r="B49" s="105">
        <v>7.88</v>
      </c>
      <c r="C49" s="105">
        <v>7.88</v>
      </c>
      <c r="D49" s="105">
        <v>8.61</v>
      </c>
    </row>
    <row r="50" spans="1:4" x14ac:dyDescent="0.25">
      <c r="A50" s="104">
        <v>40</v>
      </c>
      <c r="B50" s="105">
        <v>8.16</v>
      </c>
      <c r="C50" s="105">
        <v>8.16</v>
      </c>
      <c r="D50" s="105">
        <v>8.9</v>
      </c>
    </row>
    <row r="51" spans="1:4" x14ac:dyDescent="0.25">
      <c r="A51" s="104">
        <v>41</v>
      </c>
      <c r="B51" s="105">
        <v>8.44</v>
      </c>
      <c r="C51" s="105">
        <v>8.44</v>
      </c>
      <c r="D51" s="105">
        <v>9.2100000000000009</v>
      </c>
    </row>
    <row r="52" spans="1:4" x14ac:dyDescent="0.25">
      <c r="A52" s="104">
        <v>42</v>
      </c>
      <c r="B52" s="105">
        <v>8.7200000000000006</v>
      </c>
      <c r="C52" s="105">
        <v>8.7200000000000006</v>
      </c>
      <c r="D52" s="105">
        <v>9.52</v>
      </c>
    </row>
    <row r="53" spans="1:4" x14ac:dyDescent="0.25">
      <c r="A53" s="104">
        <v>43</v>
      </c>
      <c r="B53" s="105">
        <v>9.02</v>
      </c>
      <c r="C53" s="105">
        <v>9.02</v>
      </c>
      <c r="D53" s="105">
        <v>9.84</v>
      </c>
    </row>
    <row r="54" spans="1:4" x14ac:dyDescent="0.25">
      <c r="A54" s="104">
        <v>44</v>
      </c>
      <c r="B54" s="105">
        <v>9.32</v>
      </c>
      <c r="C54" s="105">
        <v>9.32</v>
      </c>
      <c r="D54" s="105">
        <v>10.17</v>
      </c>
    </row>
    <row r="55" spans="1:4" x14ac:dyDescent="0.25">
      <c r="A55" s="104">
        <v>45</v>
      </c>
      <c r="B55" s="105">
        <v>9.64</v>
      </c>
      <c r="C55" s="105">
        <v>9.64</v>
      </c>
      <c r="D55" s="105">
        <v>10.52</v>
      </c>
    </row>
    <row r="56" spans="1:4" x14ac:dyDescent="0.25">
      <c r="A56" s="104">
        <v>46</v>
      </c>
      <c r="B56" s="105">
        <v>9.9700000000000006</v>
      </c>
      <c r="C56" s="105">
        <v>9.9700000000000006</v>
      </c>
      <c r="D56" s="105">
        <v>10.87</v>
      </c>
    </row>
    <row r="57" spans="1:4" x14ac:dyDescent="0.25">
      <c r="A57" s="104">
        <v>47</v>
      </c>
      <c r="B57" s="105">
        <v>10.3</v>
      </c>
      <c r="C57" s="105">
        <v>10.3</v>
      </c>
      <c r="D57" s="105">
        <v>11.24</v>
      </c>
    </row>
    <row r="58" spans="1:4" x14ac:dyDescent="0.25">
      <c r="A58" s="104">
        <v>48</v>
      </c>
      <c r="B58" s="105">
        <v>10.65</v>
      </c>
      <c r="C58" s="105">
        <v>10.65</v>
      </c>
      <c r="D58" s="105">
        <v>11.62</v>
      </c>
    </row>
    <row r="59" spans="1:4" x14ac:dyDescent="0.25">
      <c r="A59" s="104">
        <v>49</v>
      </c>
      <c r="B59" s="105">
        <v>11.02</v>
      </c>
      <c r="C59" s="105">
        <v>11.02</v>
      </c>
      <c r="D59" s="105">
        <v>12.01</v>
      </c>
    </row>
    <row r="60" spans="1:4" x14ac:dyDescent="0.25">
      <c r="A60" s="104">
        <v>50</v>
      </c>
      <c r="B60" s="105">
        <v>11.38</v>
      </c>
      <c r="C60" s="105">
        <v>11.38</v>
      </c>
      <c r="D60" s="105">
        <v>12.4</v>
      </c>
    </row>
    <row r="61" spans="1:4" x14ac:dyDescent="0.25">
      <c r="A61" s="104">
        <v>51</v>
      </c>
      <c r="B61" s="105">
        <v>11.77</v>
      </c>
      <c r="C61" s="105">
        <v>11.77</v>
      </c>
      <c r="D61" s="105">
        <v>12.82</v>
      </c>
    </row>
    <row r="62" spans="1:4" x14ac:dyDescent="0.25">
      <c r="A62" s="104">
        <v>52</v>
      </c>
      <c r="B62" s="105">
        <v>12.17</v>
      </c>
      <c r="C62" s="105">
        <v>12.17</v>
      </c>
      <c r="D62" s="105">
        <v>13.25</v>
      </c>
    </row>
    <row r="63" spans="1:4" x14ac:dyDescent="0.25">
      <c r="A63" s="104">
        <v>53</v>
      </c>
      <c r="B63" s="105">
        <v>12.59</v>
      </c>
      <c r="C63" s="105">
        <v>12.59</v>
      </c>
      <c r="D63" s="105">
        <v>13.7</v>
      </c>
    </row>
    <row r="64" spans="1:4" x14ac:dyDescent="0.25">
      <c r="A64" s="104">
        <v>54</v>
      </c>
      <c r="B64" s="105">
        <v>13.02</v>
      </c>
      <c r="C64" s="105">
        <v>13.02</v>
      </c>
      <c r="D64" s="105">
        <v>14.16</v>
      </c>
    </row>
    <row r="65" spans="1:4" x14ac:dyDescent="0.25">
      <c r="A65" s="104">
        <v>55</v>
      </c>
      <c r="B65" s="105">
        <v>13.45</v>
      </c>
      <c r="C65" s="105">
        <v>13.45</v>
      </c>
      <c r="D65" s="105">
        <v>14.64</v>
      </c>
    </row>
    <row r="66" spans="1:4" x14ac:dyDescent="0.25">
      <c r="A66" s="104">
        <v>56</v>
      </c>
      <c r="B66" s="105">
        <v>13.92</v>
      </c>
      <c r="C66" s="105">
        <v>13.92</v>
      </c>
      <c r="D66" s="105">
        <v>15.13</v>
      </c>
    </row>
    <row r="67" spans="1:4" x14ac:dyDescent="0.25">
      <c r="A67" s="104">
        <v>57</v>
      </c>
      <c r="B67" s="105">
        <v>14.4</v>
      </c>
      <c r="C67" s="105">
        <v>14.4</v>
      </c>
      <c r="D67" s="105">
        <v>15.65</v>
      </c>
    </row>
    <row r="68" spans="1:4" x14ac:dyDescent="0.25">
      <c r="A68" s="104">
        <v>58</v>
      </c>
      <c r="B68" s="105">
        <v>14.9</v>
      </c>
      <c r="C68" s="105">
        <v>14.9</v>
      </c>
      <c r="D68" s="105">
        <v>16.18</v>
      </c>
    </row>
    <row r="69" spans="1:4" x14ac:dyDescent="0.25">
      <c r="A69" s="104">
        <v>59</v>
      </c>
      <c r="B69" s="105">
        <v>15.42</v>
      </c>
      <c r="C69" s="105">
        <v>15.42</v>
      </c>
      <c r="D69" s="105">
        <v>16.73</v>
      </c>
    </row>
    <row r="70" spans="1:4" x14ac:dyDescent="0.25">
      <c r="A70" s="104">
        <v>60</v>
      </c>
      <c r="B70" s="105">
        <v>15.97</v>
      </c>
      <c r="C70" s="105">
        <v>15.97</v>
      </c>
      <c r="D70" s="105">
        <v>17.309999999999999</v>
      </c>
    </row>
    <row r="71" spans="1:4" x14ac:dyDescent="0.25">
      <c r="A71" s="104">
        <v>61</v>
      </c>
      <c r="B71" s="105">
        <v>16.54</v>
      </c>
      <c r="C71" s="105">
        <v>16.54</v>
      </c>
      <c r="D71" s="105">
        <v>17.920000000000002</v>
      </c>
    </row>
    <row r="72" spans="1:4" x14ac:dyDescent="0.25">
      <c r="A72" s="104">
        <v>62</v>
      </c>
      <c r="B72" s="105">
        <v>17.149999999999999</v>
      </c>
      <c r="C72" s="105">
        <v>17.149999999999999</v>
      </c>
      <c r="D72" s="105">
        <v>18.55</v>
      </c>
    </row>
    <row r="73" spans="1:4" x14ac:dyDescent="0.25">
      <c r="A73" s="104">
        <v>63</v>
      </c>
      <c r="B73" s="105">
        <v>17.79</v>
      </c>
      <c r="C73" s="105">
        <v>17.79</v>
      </c>
      <c r="D73" s="105">
        <v>19.22</v>
      </c>
    </row>
    <row r="74" spans="1:4" x14ac:dyDescent="0.25">
      <c r="A74" s="104">
        <v>64</v>
      </c>
      <c r="B74" s="105">
        <v>18.45</v>
      </c>
      <c r="C74" s="105">
        <v>18.45</v>
      </c>
      <c r="D74" s="105">
        <v>19.920000000000002</v>
      </c>
    </row>
    <row r="75" spans="1:4" x14ac:dyDescent="0.25">
      <c r="A75" s="104">
        <v>65</v>
      </c>
      <c r="B75" s="105">
        <v>18.48</v>
      </c>
      <c r="C75" s="105">
        <v>18.48</v>
      </c>
      <c r="D75" s="105">
        <v>19.97</v>
      </c>
    </row>
    <row r="76" spans="1:4" x14ac:dyDescent="0.25">
      <c r="A76" s="104">
        <v>66</v>
      </c>
      <c r="B76" s="105">
        <v>17.850000000000001</v>
      </c>
      <c r="C76" s="105">
        <v>17.850000000000001</v>
      </c>
      <c r="D76" s="105">
        <v>19.329999999999998</v>
      </c>
    </row>
    <row r="77" spans="1:4" x14ac:dyDescent="0.25">
      <c r="A77" s="104">
        <v>67</v>
      </c>
      <c r="B77" s="105">
        <v>17.21</v>
      </c>
      <c r="C77" s="105">
        <v>17.21</v>
      </c>
      <c r="D77" s="105">
        <v>18.690000000000001</v>
      </c>
    </row>
    <row r="78" spans="1:4" x14ac:dyDescent="0.25">
      <c r="A78" s="104">
        <v>68</v>
      </c>
      <c r="B78" s="105">
        <v>16.559999999999999</v>
      </c>
      <c r="C78" s="105">
        <v>16.559999999999999</v>
      </c>
      <c r="D78" s="105">
        <v>18.04</v>
      </c>
    </row>
    <row r="79" spans="1:4" x14ac:dyDescent="0.25">
      <c r="A79" s="104">
        <v>69</v>
      </c>
      <c r="B79" s="105">
        <v>15.92</v>
      </c>
      <c r="C79" s="105">
        <v>15.92</v>
      </c>
      <c r="D79" s="105">
        <v>17.399999999999999</v>
      </c>
    </row>
    <row r="80" spans="1:4" x14ac:dyDescent="0.25">
      <c r="A80" s="104">
        <v>70</v>
      </c>
      <c r="B80" s="105">
        <v>15.29</v>
      </c>
      <c r="C80" s="105">
        <v>15.29</v>
      </c>
      <c r="D80" s="105">
        <v>16.760000000000002</v>
      </c>
    </row>
    <row r="81" spans="1:4" x14ac:dyDescent="0.25">
      <c r="A81" s="104">
        <v>71</v>
      </c>
      <c r="B81" s="105">
        <v>14.66</v>
      </c>
      <c r="C81" s="105">
        <v>14.66</v>
      </c>
      <c r="D81" s="105">
        <v>16.12</v>
      </c>
    </row>
    <row r="82" spans="1:4" x14ac:dyDescent="0.25">
      <c r="A82" s="104">
        <v>72</v>
      </c>
      <c r="B82" s="105">
        <v>14.04</v>
      </c>
      <c r="C82" s="105">
        <v>14.04</v>
      </c>
      <c r="D82" s="105">
        <v>15.48</v>
      </c>
    </row>
    <row r="83" spans="1:4" x14ac:dyDescent="0.25">
      <c r="A83" s="104">
        <v>73</v>
      </c>
      <c r="B83" s="105">
        <v>13.41</v>
      </c>
      <c r="C83" s="105">
        <v>13.41</v>
      </c>
      <c r="D83" s="105">
        <v>14.85</v>
      </c>
    </row>
    <row r="84" spans="1:4" x14ac:dyDescent="0.25">
      <c r="A84" s="104">
        <v>74</v>
      </c>
      <c r="B84" s="105">
        <v>12.81</v>
      </c>
      <c r="C84" s="105">
        <v>12.81</v>
      </c>
      <c r="D84" s="105">
        <v>14.23</v>
      </c>
    </row>
    <row r="85" spans="1:4" x14ac:dyDescent="0.25">
      <c r="A85" s="104">
        <v>75</v>
      </c>
      <c r="B85" s="105">
        <v>12.51</v>
      </c>
      <c r="C85" s="105">
        <v>12.51</v>
      </c>
      <c r="D85" s="105">
        <v>13.92</v>
      </c>
    </row>
  </sheetData>
  <sheetProtection algorithmName="SHA-512" hashValue="p3o7CbclUpW3UAuIJsusweXdnR9+5zCDtGP0muazceEno3iCHVYijIZIRkTSGnUOI74sTZ/iLdq44e0F2YsrSQ==" saltValue="j0v3hddnCh5dU/9PpcMzJw==" spinCount="100000" sheet="1" objects="1" scenarios="1"/>
  <conditionalFormatting sqref="A6:A21">
    <cfRule type="expression" dxfId="389" priority="1" stopIfTrue="1">
      <formula>MOD(ROW(),2)=0</formula>
    </cfRule>
    <cfRule type="expression" dxfId="388" priority="2" stopIfTrue="1">
      <formula>MOD(ROW(),2)&lt;&gt;0</formula>
    </cfRule>
  </conditionalFormatting>
  <conditionalFormatting sqref="A26:A85">
    <cfRule type="expression" dxfId="387" priority="5" stopIfTrue="1">
      <formula>MOD(ROW(),2)=0</formula>
    </cfRule>
    <cfRule type="expression" dxfId="386" priority="6" stopIfTrue="1">
      <formula>MOD(ROW(),2)&lt;&gt;0</formula>
    </cfRule>
  </conditionalFormatting>
  <conditionalFormatting sqref="B12">
    <cfRule type="expression" dxfId="385" priority="13" stopIfTrue="1">
      <formula>MOD(ROW(),2)=0</formula>
    </cfRule>
    <cfRule type="expression" dxfId="384" priority="14" stopIfTrue="1">
      <formula>MOD(ROW(),2)&lt;&gt;0</formula>
    </cfRule>
  </conditionalFormatting>
  <conditionalFormatting sqref="B18:B21">
    <cfRule type="expression" dxfId="383" priority="9" stopIfTrue="1">
      <formula>MOD(ROW(),2)=0</formula>
    </cfRule>
    <cfRule type="expression" dxfId="382" priority="10" stopIfTrue="1">
      <formula>MOD(ROW(),2)&lt;&gt;0</formula>
    </cfRule>
  </conditionalFormatting>
  <conditionalFormatting sqref="B6:D21">
    <cfRule type="expression" dxfId="381" priority="23" stopIfTrue="1">
      <formula>MOD(ROW(),2)=0</formula>
    </cfRule>
    <cfRule type="expression" dxfId="380" priority="24" stopIfTrue="1">
      <formula>MOD(ROW(),2)&lt;&gt;0</formula>
    </cfRule>
  </conditionalFormatting>
  <conditionalFormatting sqref="B26:D85">
    <cfRule type="expression" dxfId="379" priority="7" stopIfTrue="1">
      <formula>MOD(ROW(),2)=0</formula>
    </cfRule>
    <cfRule type="expression" dxfId="378" priority="8" stopIfTrue="1">
      <formula>MOD(ROW(),2)&lt;&gt;0</formula>
    </cfRule>
  </conditionalFormatting>
  <hyperlinks>
    <hyperlink ref="B24" location="Sheet1!A1" display="Assumptions" xr:uid="{1B8D17D3-FB37-4A12-8664-5D84D932F2D5}"/>
  </hyperlinks>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GADWRKGRPACTUA-1580777631-136369</_dlc_DocId>
    <HMT_LegacySensitive xmlns="f69fd3ce-e1df-49de-b78d-1d800e75d0a3">false</HMT_LegacySensitive>
    <_dlc_DocIdUrl xmlns="f69fd3ce-e1df-49de-b78d-1d800e75d0a3">
      <Url>https://tris42.sharepoint.com/sites/gad_wrkgrp_actuarial/_layouts/15/DocIdRedir.aspx?ID=GADWRKGRPACTUA-1580777631-136369</Url>
      <Description>GADWRKGRPACTUA-1580777631-136369</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PrimeCorrectedByUser xmlns="f69fd3ce-e1df-49de-b78d-1d800e75d0a3" xsi:nil="true"/>
    <PrimeClassificationStatus xmlns="f69fd3ce-e1df-49de-b78d-1d800e75d0a3" xsi:nil="true"/>
    <PrimeClassificationStatusDetails xmlns="f69fd3ce-e1df-49de-b78d-1d800e75d0a3" xsi:nil="true"/>
    <PrimeLastClassified xmlns="f69fd3ce-e1df-49de-b78d-1d800e75d0a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b5d48989e559b760262ea2bf7d5f03ab">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3d49a0053a9cee834e1e7742f2fa30c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3;#Other|309840bd-9611-477c-8426-e4d34e375949" ma:fieldId="{64e205a0-0872-4e26-9aef-64ca7bdb5848}" ma:sspId="9002b6cd-6bc3-456d-8dd0-19fe32dddaf9" ma:termSetId="c36ff786-df0b-46ec-ab35-f424d135f718" ma:anchorId="84d27c01-21cd-4a2c-876e-186caec2f556"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8219B1-D114-43D3-B1DB-72A1472D9930}">
  <ds:schemaRefs>
    <ds:schemaRef ds:uri="http://schemas.microsoft.com/sharepoint/events"/>
  </ds:schemaRefs>
</ds:datastoreItem>
</file>

<file path=customXml/itemProps2.xml><?xml version="1.0" encoding="utf-8"?>
<ds:datastoreItem xmlns:ds="http://schemas.openxmlformats.org/officeDocument/2006/customXml" ds:itemID="{65DC85C3-8DA1-4FA7-846E-EDB989A81B75}">
  <ds:schemaRefs>
    <ds:schemaRef ds:uri="http://schemas.microsoft.com/sharepoint/v3/contenttype/forms"/>
  </ds:schemaRefs>
</ds:datastoreItem>
</file>

<file path=customXml/itemProps3.xml><?xml version="1.0" encoding="utf-8"?>
<ds:datastoreItem xmlns:ds="http://schemas.openxmlformats.org/officeDocument/2006/customXml" ds:itemID="{67F32AE9-1439-4D18-AE60-2A4D8567C664}">
  <ds:schemaRefs>
    <ds:schemaRef ds:uri="http://purl.org/dc/terms/"/>
    <ds:schemaRef ds:uri="http://purl.org/dc/elements/1.1/"/>
    <ds:schemaRef ds:uri="http://www.w3.org/XML/1998/namespace"/>
    <ds:schemaRef ds:uri="http://schemas.microsoft.com/office/2006/documentManagement/types"/>
    <ds:schemaRef ds:uri="http://purl.org/dc/dcmitype/"/>
    <ds:schemaRef ds:uri="http://schemas.microsoft.com/sharepoint/v3"/>
    <ds:schemaRef ds:uri="http://schemas.microsoft.com/office/2006/metadata/properties"/>
    <ds:schemaRef ds:uri="http://schemas.openxmlformats.org/package/2006/metadata/core-properties"/>
    <ds:schemaRef ds:uri="http://schemas.microsoft.com/office/infopath/2007/PartnerControls"/>
    <ds:schemaRef ds:uri="62c7038d-3aec-4dd4-8afa-8b92667eb25d"/>
    <ds:schemaRef ds:uri="f69fd3ce-e1df-49de-b78d-1d800e75d0a3"/>
  </ds:schemaRefs>
</ds:datastoreItem>
</file>

<file path=customXml/itemProps4.xml><?xml version="1.0" encoding="utf-8"?>
<ds:datastoreItem xmlns:ds="http://schemas.openxmlformats.org/officeDocument/2006/customXml" ds:itemID="{B17DAA8E-A267-447C-95D4-F3A145D6D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123</vt:i4>
      </vt:variant>
      <vt:variant>
        <vt:lpstr>Named Ranges</vt:lpstr>
      </vt:variant>
      <vt:variant>
        <vt:i4>2126</vt:i4>
      </vt:variant>
    </vt:vector>
  </HeadingPairs>
  <TitlesOfParts>
    <vt:vector size="2249" baseType="lpstr">
      <vt:lpstr>Cover</vt:lpstr>
      <vt:lpstr>Purpose of spreadsheet</vt:lpstr>
      <vt:lpstr>Version Control</vt:lpstr>
      <vt:lpstr>Summary - PCSPS_EW</vt:lpstr>
      <vt:lpstr>AnnGenHiddenLists</vt:lpstr>
      <vt:lpstr>x-Series Number</vt:lpstr>
      <vt:lpstr>Factor List</vt:lpstr>
      <vt:lpstr>Assumptions</vt:lpstr>
      <vt:lpstr>x-201</vt:lpstr>
      <vt:lpstr>x-202</vt:lpstr>
      <vt:lpstr>x-203</vt:lpstr>
      <vt:lpstr>x-204</vt:lpstr>
      <vt:lpstr>x-205</vt:lpstr>
      <vt:lpstr>x-207</vt:lpstr>
      <vt:lpstr>x-208</vt:lpstr>
      <vt:lpstr>x-209</vt:lpstr>
      <vt:lpstr>x-211</vt:lpstr>
      <vt:lpstr>x-212</vt:lpstr>
      <vt:lpstr>x-213</vt:lpstr>
      <vt:lpstr>x-214</vt:lpstr>
      <vt:lpstr>x-215</vt:lpstr>
      <vt:lpstr>x-216</vt:lpstr>
      <vt:lpstr>x-217</vt:lpstr>
      <vt:lpstr>x-218</vt:lpstr>
      <vt:lpstr>x-223</vt:lpstr>
      <vt:lpstr>x-301</vt:lpstr>
      <vt:lpstr>x-302</vt:lpstr>
      <vt:lpstr>x-303</vt:lpstr>
      <vt:lpstr>x-304</vt:lpstr>
      <vt:lpstr>x-305</vt:lpstr>
      <vt:lpstr>x-306</vt:lpstr>
      <vt:lpstr>x-307</vt:lpstr>
      <vt:lpstr>x-401</vt:lpstr>
      <vt:lpstr>x-402</vt:lpstr>
      <vt:lpstr>x-403</vt:lpstr>
      <vt:lpstr>x-404</vt:lpstr>
      <vt:lpstr>x-405</vt:lpstr>
      <vt:lpstr>x-406</vt:lpstr>
      <vt:lpstr>x-407</vt:lpstr>
      <vt:lpstr>x-408</vt:lpstr>
      <vt:lpstr>x-409</vt:lpstr>
      <vt:lpstr>x-410</vt:lpstr>
      <vt:lpstr>x-411</vt:lpstr>
      <vt:lpstr>x-412</vt:lpstr>
      <vt:lpstr>x-413</vt:lpstr>
      <vt:lpstr>x-414</vt:lpstr>
      <vt:lpstr>x-415</vt:lpstr>
      <vt:lpstr>x-416</vt:lpstr>
      <vt:lpstr>x-417</vt:lpstr>
      <vt:lpstr>x-418</vt:lpstr>
      <vt:lpstr>x-419</vt:lpstr>
      <vt:lpstr>x-420</vt:lpstr>
      <vt:lpstr>x-421</vt:lpstr>
      <vt:lpstr>x-501</vt:lpstr>
      <vt:lpstr>x-502</vt:lpstr>
      <vt:lpstr>x-503</vt:lpstr>
      <vt:lpstr>x-504</vt:lpstr>
      <vt:lpstr>x-505</vt:lpstr>
      <vt:lpstr>x-601</vt:lpstr>
      <vt:lpstr>x-602</vt:lpstr>
      <vt:lpstr>x-603</vt:lpstr>
      <vt:lpstr>x-604</vt:lpstr>
      <vt:lpstr>x-605</vt:lpstr>
      <vt:lpstr>x-606</vt:lpstr>
      <vt:lpstr>x-607</vt:lpstr>
      <vt:lpstr>x-608</vt:lpstr>
      <vt:lpstr>x-609</vt:lpstr>
      <vt:lpstr>x-610</vt:lpstr>
      <vt:lpstr>x-611</vt:lpstr>
      <vt:lpstr>x-612</vt:lpstr>
      <vt:lpstr>x-613</vt:lpstr>
      <vt:lpstr>x-614</vt:lpstr>
      <vt:lpstr>x-615</vt:lpstr>
      <vt:lpstr>x-616</vt:lpstr>
      <vt:lpstr>x-617</vt:lpstr>
      <vt:lpstr>x-701</vt:lpstr>
      <vt:lpstr>x-702</vt:lpstr>
      <vt:lpstr>x-703</vt:lpstr>
      <vt:lpstr>x-704</vt:lpstr>
      <vt:lpstr>x-705</vt:lpstr>
      <vt:lpstr>x-706</vt:lpstr>
      <vt:lpstr>x-707</vt:lpstr>
      <vt:lpstr>x-708</vt:lpstr>
      <vt:lpstr>x-709</vt:lpstr>
      <vt:lpstr>x-710</vt:lpstr>
      <vt:lpstr>x-711</vt:lpstr>
      <vt:lpstr>x-712</vt:lpstr>
      <vt:lpstr>x-713</vt:lpstr>
      <vt:lpstr>x-714</vt:lpstr>
      <vt:lpstr>x-715</vt:lpstr>
      <vt:lpstr>x-716</vt:lpstr>
      <vt:lpstr>x-717</vt:lpstr>
      <vt:lpstr>x-718</vt:lpstr>
      <vt:lpstr>x-719</vt:lpstr>
      <vt:lpstr>x-720</vt:lpstr>
      <vt:lpstr>x-721</vt:lpstr>
      <vt:lpstr>x-725</vt:lpstr>
      <vt:lpstr>x-726</vt:lpstr>
      <vt:lpstr>x-727</vt:lpstr>
      <vt:lpstr>x-728</vt:lpstr>
      <vt:lpstr>x-729</vt:lpstr>
      <vt:lpstr>x-730</vt:lpstr>
      <vt:lpstr>x-731</vt:lpstr>
      <vt:lpstr>x-732</vt:lpstr>
      <vt:lpstr>x-733</vt:lpstr>
      <vt:lpstr>x-734</vt:lpstr>
      <vt:lpstr>x-735</vt:lpstr>
      <vt:lpstr>x-736</vt:lpstr>
      <vt:lpstr>x-801</vt:lpstr>
      <vt:lpstr>x-802</vt:lpstr>
      <vt:lpstr>x-803</vt:lpstr>
      <vt:lpstr>x-804</vt:lpstr>
      <vt:lpstr>x-805</vt:lpstr>
      <vt:lpstr>x-806</vt:lpstr>
      <vt:lpstr>x-807</vt:lpstr>
      <vt:lpstr>x-808</vt:lpstr>
      <vt:lpstr>x-810</vt:lpstr>
      <vt:lpstr>x-811</vt:lpstr>
      <vt:lpstr>x-812</vt:lpstr>
      <vt:lpstr>x-813</vt:lpstr>
      <vt:lpstr>x-814</vt:lpstr>
      <vt:lpstr>x-815</vt:lpstr>
      <vt:lpstr>x-816</vt:lpstr>
      <vt:lpstr>'Summary - PCSPS_EW'!Print_Area</vt:lpstr>
      <vt:lpstr>'x-Series Number'!Print_Area</vt:lpstr>
      <vt:lpstr>'x-201'!TABLE_AGE_DEF_1</vt:lpstr>
      <vt:lpstr>'x-202'!TABLE_AGE_DEF_1</vt:lpstr>
      <vt:lpstr>'x-203'!TABLE_AGE_DEF_1</vt:lpstr>
      <vt:lpstr>'x-204'!TABLE_AGE_DEF_1</vt:lpstr>
      <vt:lpstr>'x-205'!TABLE_AGE_DEF_1</vt:lpstr>
      <vt:lpstr>'x-207'!TABLE_AGE_DEF_1</vt:lpstr>
      <vt:lpstr>'x-208'!TABLE_AGE_DEF_1</vt:lpstr>
      <vt:lpstr>'x-209'!TABLE_AGE_DEF_1</vt:lpstr>
      <vt:lpstr>'x-211'!TABLE_AGE_DEF_1</vt:lpstr>
      <vt:lpstr>'x-212'!TABLE_AGE_DEF_1</vt:lpstr>
      <vt:lpstr>'x-213'!TABLE_AGE_DEF_1</vt:lpstr>
      <vt:lpstr>'x-214'!TABLE_AGE_DEF_1</vt:lpstr>
      <vt:lpstr>'x-215'!TABLE_AGE_DEF_1</vt:lpstr>
      <vt:lpstr>'x-216'!TABLE_AGE_DEF_1</vt:lpstr>
      <vt:lpstr>'x-217'!TABLE_AGE_DEF_1</vt:lpstr>
      <vt:lpstr>'x-218'!TABLE_AGE_DEF_1</vt:lpstr>
      <vt:lpstr>'x-223'!TABLE_AGE_DEF_1</vt:lpstr>
      <vt:lpstr>'x-301'!TABLE_AGE_DEF_1</vt:lpstr>
      <vt:lpstr>'x-302'!TABLE_AGE_DEF_1</vt:lpstr>
      <vt:lpstr>'x-303'!TABLE_AGE_DEF_1</vt:lpstr>
      <vt:lpstr>'x-304'!TABLE_AGE_DEF_1</vt:lpstr>
      <vt:lpstr>'x-305'!TABLE_AGE_DEF_1</vt:lpstr>
      <vt:lpstr>'x-306'!TABLE_AGE_DEF_1</vt:lpstr>
      <vt:lpstr>'x-307'!TABLE_AGE_DEF_1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'x-410'!TABLE_AGE_DEF_1</vt:lpstr>
      <vt:lpstr>'x-411'!TABLE_AGE_DEF_1</vt:lpstr>
      <vt:lpstr>'x-412'!TABLE_AGE_DEF_1</vt:lpstr>
      <vt:lpstr>'x-413'!TABLE_AGE_DEF_1</vt:lpstr>
      <vt:lpstr>'x-414'!TABLE_AGE_DEF_1</vt:lpstr>
      <vt:lpstr>'x-415'!TABLE_AGE_DEF_1</vt:lpstr>
      <vt:lpstr>'x-416'!TABLE_AGE_DEF_1</vt:lpstr>
      <vt:lpstr>'x-417'!TABLE_AGE_DEF_1</vt:lpstr>
      <vt:lpstr>'x-418'!TABLE_AGE_DEF_1</vt:lpstr>
      <vt:lpstr>'x-419'!TABLE_AGE_DEF_1</vt:lpstr>
      <vt:lpstr>'x-420'!TABLE_AGE_DEF_1</vt:lpstr>
      <vt:lpstr>'x-421'!TABLE_AGE_DEF_1</vt:lpstr>
      <vt:lpstr>'x-501'!TABLE_AGE_DEF_1</vt:lpstr>
      <vt:lpstr>'x-502'!TABLE_AGE_DEF_1</vt:lpstr>
      <vt:lpstr>'x-503'!TABLE_AGE_DEF_1</vt:lpstr>
      <vt:lpstr>'x-504'!TABLE_AGE_DEF_1</vt:lpstr>
      <vt:lpstr>'x-505'!TABLE_AGE_DEF_1</vt:lpstr>
      <vt:lpstr>'x-601'!TABLE_AGE_DEF_1</vt:lpstr>
      <vt:lpstr>'x-602'!TABLE_AGE_DEF_1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'x-616'!TABLE_AGE_DEF_1</vt:lpstr>
      <vt:lpstr>'x-617'!TABLE_AGE_DEF_1</vt:lpstr>
      <vt:lpstr>'x-701'!TABLE_AGE_DEF_1</vt:lpstr>
      <vt:lpstr>'x-702'!TABLE_AGE_DEF_1</vt:lpstr>
      <vt:lpstr>'x-703'!TABLE_AGE_DEF_1</vt:lpstr>
      <vt:lpstr>'x-704'!TABLE_AGE_DEF_1</vt:lpstr>
      <vt:lpstr>'x-705'!TABLE_AGE_DEF_1</vt:lpstr>
      <vt:lpstr>'x-706'!TABLE_AGE_DEF_1</vt:lpstr>
      <vt:lpstr>'x-707'!TABLE_AGE_DEF_1</vt:lpstr>
      <vt:lpstr>'x-708'!TABLE_AGE_DEF_1</vt:lpstr>
      <vt:lpstr>'x-709'!TABLE_AGE_DEF_1</vt:lpstr>
      <vt:lpstr>'x-710'!TABLE_AGE_DEF_1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'x-721'!TABLE_AGE_DEF_1</vt:lpstr>
      <vt:lpstr>'x-725'!TABLE_AGE_DEF_1</vt:lpstr>
      <vt:lpstr>'x-726'!TABLE_AGE_DEF_1</vt:lpstr>
      <vt:lpstr>'x-727'!TABLE_AGE_DEF_1</vt:lpstr>
      <vt:lpstr>'x-728'!TABLE_AGE_DEF_1</vt:lpstr>
      <vt:lpstr>'x-729'!TABLE_AGE_DEF_1</vt:lpstr>
      <vt:lpstr>'x-730'!TABLE_AGE_DEF_1</vt:lpstr>
      <vt:lpstr>'x-731'!TABLE_AGE_DEF_1</vt:lpstr>
      <vt:lpstr>'x-732'!TABLE_AGE_DEF_1</vt:lpstr>
      <vt:lpstr>'x-733'!TABLE_AGE_DEF_1</vt:lpstr>
      <vt:lpstr>'x-734'!TABLE_AGE_DEF_1</vt:lpstr>
      <vt:lpstr>'x-735'!TABLE_AGE_DEF_1</vt:lpstr>
      <vt:lpstr>'x-736'!TABLE_AGE_DEF_1</vt:lpstr>
      <vt:lpstr>'x-801'!TABLE_AGE_DEF_1</vt:lpstr>
      <vt:lpstr>'x-802'!TABLE_AGE_DEF_1</vt:lpstr>
      <vt:lpstr>'x-803'!TABLE_AGE_DEF_1</vt:lpstr>
      <vt:lpstr>'x-804'!TABLE_AGE_DEF_1</vt:lpstr>
      <vt:lpstr>'x-805'!TABLE_AGE_DEF_1</vt:lpstr>
      <vt:lpstr>'x-806'!TABLE_AGE_DEF_1</vt:lpstr>
      <vt:lpstr>'x-807'!TABLE_AGE_DEF_1</vt:lpstr>
      <vt:lpstr>'x-808'!TABLE_AGE_DEF_1</vt:lpstr>
      <vt:lpstr>'x-810'!TABLE_AGE_DEF_1</vt:lpstr>
      <vt:lpstr>'x-811'!TABLE_AGE_DEF_1</vt:lpstr>
      <vt:lpstr>'x-812'!TABLE_AGE_DEF_1</vt:lpstr>
      <vt:lpstr>'x-813'!TABLE_AGE_DEF_1</vt:lpstr>
      <vt:lpstr>'x-814'!TABLE_AGE_DEF_1</vt:lpstr>
      <vt:lpstr>'x-815'!TABLE_AGE_DEF_1</vt:lpstr>
      <vt:lpstr>'x-816'!TABLE_AGE_DEF_1</vt:lpstr>
      <vt:lpstr>'x-305'!TABLE_AGE_DEF_2</vt:lpstr>
      <vt:lpstr>'x-409'!TABLE_AGE_DEF_2</vt:lpstr>
      <vt:lpstr>'x-413'!TABLE_AGE_DEF_2</vt:lpstr>
      <vt:lpstr>'x-607'!TABLE_AGE_DEF_2</vt:lpstr>
      <vt:lpstr>'x-730'!TABLE_AGE_DEF_2</vt:lpstr>
      <vt:lpstr>'x-733'!TABLE_AGE_DEF_2</vt:lpstr>
      <vt:lpstr>'x-730'!TABLE_AGE_DEF_3</vt:lpstr>
      <vt:lpstr>'x-733'!TABLE_AGE_DEF_3</vt:lpstr>
      <vt:lpstr>'x-730'!TABLE_AGE_DEF_4</vt:lpstr>
      <vt:lpstr>'x-733'!TABLE_AGE_DEF_4</vt:lpstr>
      <vt:lpstr>'x-201'!TABLE_AREA_1</vt:lpstr>
      <vt:lpstr>'x-202'!TABLE_AREA_1</vt:lpstr>
      <vt:lpstr>'x-203'!TABLE_AREA_1</vt:lpstr>
      <vt:lpstr>'x-204'!TABLE_AREA_1</vt:lpstr>
      <vt:lpstr>'x-205'!TABLE_AREA_1</vt:lpstr>
      <vt:lpstr>'x-207'!TABLE_AREA_1</vt:lpstr>
      <vt:lpstr>'x-208'!TABLE_AREA_1</vt:lpstr>
      <vt:lpstr>'x-209'!TABLE_AREA_1</vt:lpstr>
      <vt:lpstr>'x-211'!TABLE_AREA_1</vt:lpstr>
      <vt:lpstr>'x-212'!TABLE_AREA_1</vt:lpstr>
      <vt:lpstr>'x-213'!TABLE_AREA_1</vt:lpstr>
      <vt:lpstr>'x-214'!TABLE_AREA_1</vt:lpstr>
      <vt:lpstr>'x-215'!TABLE_AREA_1</vt:lpstr>
      <vt:lpstr>'x-216'!TABLE_AREA_1</vt:lpstr>
      <vt:lpstr>'x-217'!TABLE_AREA_1</vt:lpstr>
      <vt:lpstr>'x-218'!TABLE_AREA_1</vt:lpstr>
      <vt:lpstr>'x-223'!TABLE_AREA_1</vt:lpstr>
      <vt:lpstr>'x-301'!TABLE_AREA_1</vt:lpstr>
      <vt:lpstr>'x-302'!TABLE_AREA_1</vt:lpstr>
      <vt:lpstr>'x-303'!TABLE_AREA_1</vt:lpstr>
      <vt:lpstr>'x-304'!TABLE_AREA_1</vt:lpstr>
      <vt:lpstr>'x-305'!TABLE_AREA_1</vt:lpstr>
      <vt:lpstr>'x-306'!TABLE_AREA_1</vt:lpstr>
      <vt:lpstr>'x-307'!TABLE_AREA_1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'x-414'!TABLE_AREA_1</vt:lpstr>
      <vt:lpstr>'x-415'!TABLE_AREA_1</vt:lpstr>
      <vt:lpstr>'x-416'!TABLE_AREA_1</vt:lpstr>
      <vt:lpstr>'x-417'!TABLE_AREA_1</vt:lpstr>
      <vt:lpstr>'x-418'!TABLE_AREA_1</vt:lpstr>
      <vt:lpstr>'x-419'!TABLE_AREA_1</vt:lpstr>
      <vt:lpstr>'x-420'!TABLE_AREA_1</vt:lpstr>
      <vt:lpstr>'x-421'!TABLE_AREA_1</vt:lpstr>
      <vt:lpstr>'x-501'!TABLE_AREA_1</vt:lpstr>
      <vt:lpstr>'x-502'!TABLE_AREA_1</vt:lpstr>
      <vt:lpstr>'x-503'!TABLE_AREA_1</vt:lpstr>
      <vt:lpstr>'x-504'!TABLE_AREA_1</vt:lpstr>
      <vt:lpstr>'x-505'!TABLE_AREA_1</vt:lpstr>
      <vt:lpstr>'x-601'!TABLE_AREA_1</vt:lpstr>
      <vt:lpstr>'x-602'!TABLE_AREA_1</vt:lpstr>
      <vt:lpstr>'x-603'!TABLE_AREA_1</vt:lpstr>
      <vt:lpstr>'x-604'!TABLE_AREA_1</vt:lpstr>
      <vt:lpstr>'x-605'!TABLE_AREA_1</vt:lpstr>
      <vt:lpstr>'x-606'!TABLE_AREA_1</vt:lpstr>
      <vt:lpstr>'x-607'!TABLE_AREA_1</vt:lpstr>
      <vt:lpstr>'x-608'!TABLE_AREA_1</vt:lpstr>
      <vt:lpstr>'x-609'!TABLE_AREA_1</vt:lpstr>
      <vt:lpstr>'x-610'!TABLE_AREA_1</vt:lpstr>
      <vt:lpstr>'x-611'!TABLE_AREA_1</vt:lpstr>
      <vt:lpstr>'x-616'!TABLE_AREA_1</vt:lpstr>
      <vt:lpstr>'x-617'!TABLE_AREA_1</vt:lpstr>
      <vt:lpstr>'x-701'!TABLE_AREA_1</vt:lpstr>
      <vt:lpstr>'x-702'!TABLE_AREA_1</vt:lpstr>
      <vt:lpstr>'x-703'!TABLE_AREA_1</vt:lpstr>
      <vt:lpstr>'x-704'!TABLE_AREA_1</vt:lpstr>
      <vt:lpstr>'x-705'!TABLE_AREA_1</vt:lpstr>
      <vt:lpstr>'x-706'!TABLE_AREA_1</vt:lpstr>
      <vt:lpstr>'x-707'!TABLE_AREA_1</vt:lpstr>
      <vt:lpstr>'x-708'!TABLE_AREA_1</vt:lpstr>
      <vt:lpstr>'x-709'!TABLE_AREA_1</vt:lpstr>
      <vt:lpstr>'x-710'!TABLE_AREA_1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'x-721'!TABLE_AREA_1</vt:lpstr>
      <vt:lpstr>'x-725'!TABLE_AREA_1</vt:lpstr>
      <vt:lpstr>'x-726'!TABLE_AREA_1</vt:lpstr>
      <vt:lpstr>'x-727'!TABLE_AREA_1</vt:lpstr>
      <vt:lpstr>'x-728'!TABLE_AREA_1</vt:lpstr>
      <vt:lpstr>'x-729'!TABLE_AREA_1</vt:lpstr>
      <vt:lpstr>'x-730'!TABLE_AREA_1</vt:lpstr>
      <vt:lpstr>'x-731'!TABLE_AREA_1</vt:lpstr>
      <vt:lpstr>'x-732'!TABLE_AREA_1</vt:lpstr>
      <vt:lpstr>'x-733'!TABLE_AREA_1</vt:lpstr>
      <vt:lpstr>'x-734'!TABLE_AREA_1</vt:lpstr>
      <vt:lpstr>'x-735'!TABLE_AREA_1</vt:lpstr>
      <vt:lpstr>'x-736'!TABLE_AREA_1</vt:lpstr>
      <vt:lpstr>'x-801'!TABLE_AREA_1</vt:lpstr>
      <vt:lpstr>'x-802'!TABLE_AREA_1</vt:lpstr>
      <vt:lpstr>'x-803'!TABLE_AREA_1</vt:lpstr>
      <vt:lpstr>'x-804'!TABLE_AREA_1</vt:lpstr>
      <vt:lpstr>'x-805'!TABLE_AREA_1</vt:lpstr>
      <vt:lpstr>'x-806'!TABLE_AREA_1</vt:lpstr>
      <vt:lpstr>'x-807'!TABLE_AREA_1</vt:lpstr>
      <vt:lpstr>'x-808'!TABLE_AREA_1</vt:lpstr>
      <vt:lpstr>'x-810'!TABLE_AREA_1</vt:lpstr>
      <vt:lpstr>'x-811'!TABLE_AREA_1</vt:lpstr>
      <vt:lpstr>'x-812'!TABLE_AREA_1</vt:lpstr>
      <vt:lpstr>'x-813'!TABLE_AREA_1</vt:lpstr>
      <vt:lpstr>'x-814'!TABLE_AREA_1</vt:lpstr>
      <vt:lpstr>'x-815'!TABLE_AREA_1</vt:lpstr>
      <vt:lpstr>'x-816'!TABLE_AREA_1</vt:lpstr>
      <vt:lpstr>'x-305'!TABLE_AREA_2</vt:lpstr>
      <vt:lpstr>'x-409'!TABLE_AREA_2</vt:lpstr>
      <vt:lpstr>'x-413'!TABLE_AREA_2</vt:lpstr>
      <vt:lpstr>'x-607'!TABLE_AREA_2</vt:lpstr>
      <vt:lpstr>'x-730'!TABLE_AREA_2</vt:lpstr>
      <vt:lpstr>'x-733'!TABLE_AREA_2</vt:lpstr>
      <vt:lpstr>'x-730'!TABLE_AREA_3</vt:lpstr>
      <vt:lpstr>'x-733'!TABLE_AREA_3</vt:lpstr>
      <vt:lpstr>'x-730'!TABLE_AREA_4</vt:lpstr>
      <vt:lpstr>'x-733'!TABLE_AREA_4</vt:lpstr>
      <vt:lpstr>'x-201'!TABLE_ASSUMPTION_SET_1</vt:lpstr>
      <vt:lpstr>'x-202'!TABLE_ASSUMPTION_SET_1</vt:lpstr>
      <vt:lpstr>'x-203'!TABLE_ASSUMPTION_SET_1</vt:lpstr>
      <vt:lpstr>'x-204'!TABLE_ASSUMPTION_SET_1</vt:lpstr>
      <vt:lpstr>'x-205'!TABLE_ASSUMPTION_SET_1</vt:lpstr>
      <vt:lpstr>'x-207'!TABLE_ASSUMPTION_SET_1</vt:lpstr>
      <vt:lpstr>'x-208'!TABLE_ASSUMPTION_SET_1</vt:lpstr>
      <vt:lpstr>'x-209'!TABLE_ASSUMPTION_SET_1</vt:lpstr>
      <vt:lpstr>'x-211'!TABLE_ASSUMPTION_SET_1</vt:lpstr>
      <vt:lpstr>'x-212'!TABLE_ASSUMPTION_SET_1</vt:lpstr>
      <vt:lpstr>'x-213'!TABLE_ASSUMPTION_SET_1</vt:lpstr>
      <vt:lpstr>'x-214'!TABLE_ASSUMPTION_SET_1</vt:lpstr>
      <vt:lpstr>'x-215'!TABLE_ASSUMPTION_SET_1</vt:lpstr>
      <vt:lpstr>'x-216'!TABLE_ASSUMPTION_SET_1</vt:lpstr>
      <vt:lpstr>'x-217'!TABLE_ASSUMPTION_SET_1</vt:lpstr>
      <vt:lpstr>'x-218'!TABLE_ASSUMPTION_SET_1</vt:lpstr>
      <vt:lpstr>'x-223'!TABLE_ASSUMPTION_SET_1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'x-401'!TABLE_ASSUMPTION_SET_1</vt:lpstr>
      <vt:lpstr>'x-402'!TABLE_ASSUMPTION_SET_1</vt:lpstr>
      <vt:lpstr>'x-403'!TABLE_ASSUMPTION_SET_1</vt:lpstr>
      <vt:lpstr>'x-404'!TABLE_ASSUMPTION_SET_1</vt:lpstr>
      <vt:lpstr>'x-405'!TABLE_ASSUMPTION_SET_1</vt:lpstr>
      <vt:lpstr>'x-406'!TABLE_ASSUMPTION_SET_1</vt:lpstr>
      <vt:lpstr>'x-407'!TABLE_ASSUMPTION_SET_1</vt:lpstr>
      <vt:lpstr>'x-408'!TABLE_ASSUMPTION_SET_1</vt:lpstr>
      <vt:lpstr>'x-409'!TABLE_ASSUMPTION_SET_1</vt:lpstr>
      <vt:lpstr>'x-410'!TABLE_ASSUMPTION_SET_1</vt:lpstr>
      <vt:lpstr>'x-411'!TABLE_ASSUMPTION_SET_1</vt:lpstr>
      <vt:lpstr>'x-412'!TABLE_ASSUMPTION_SET_1</vt:lpstr>
      <vt:lpstr>'x-413'!TABLE_ASSUMPTION_SET_1</vt:lpstr>
      <vt:lpstr>'x-414'!TABLE_ASSUMPTION_SET_1</vt:lpstr>
      <vt:lpstr>'x-415'!TABLE_ASSUMPTION_SET_1</vt:lpstr>
      <vt:lpstr>'x-416'!TABLE_ASSUMPTION_SET_1</vt:lpstr>
      <vt:lpstr>'x-417'!TABLE_ASSUMPTION_SET_1</vt:lpstr>
      <vt:lpstr>'x-418'!TABLE_ASSUMPTION_SET_1</vt:lpstr>
      <vt:lpstr>'x-419'!TABLE_ASSUMPTION_SET_1</vt:lpstr>
      <vt:lpstr>'x-420'!TABLE_ASSUMPTION_SET_1</vt:lpstr>
      <vt:lpstr>'x-421'!TABLE_ASSUMPTION_SET_1</vt:lpstr>
      <vt:lpstr>'x-501'!TABLE_ASSUMPTION_SET_1</vt:lpstr>
      <vt:lpstr>'x-502'!TABLE_ASSUMPTION_SET_1</vt:lpstr>
      <vt:lpstr>'x-503'!TABLE_ASSUMPTION_SET_1</vt:lpstr>
      <vt:lpstr>'x-504'!TABLE_ASSUMPTION_SET_1</vt:lpstr>
      <vt:lpstr>'x-505'!TABLE_ASSUMPTION_SET_1</vt:lpstr>
      <vt:lpstr>'x-601'!TABLE_ASSUMPTION_SET_1</vt:lpstr>
      <vt:lpstr>'x-602'!TABLE_ASSUMPTION_SET_1</vt:lpstr>
      <vt:lpstr>'x-603'!TABLE_ASSUMPTION_SET_1</vt:lpstr>
      <vt:lpstr>'x-604'!TABLE_ASSUMPTION_SET_1</vt:lpstr>
      <vt:lpstr>'x-605'!TABLE_ASSUMPTION_SET_1</vt:lpstr>
      <vt:lpstr>'x-606'!TABLE_ASSUMPTION_SET_1</vt:lpstr>
      <vt:lpstr>'x-607'!TABLE_ASSUMPTION_SET_1</vt:lpstr>
      <vt:lpstr>'x-608'!TABLE_ASSUMPTION_SET_1</vt:lpstr>
      <vt:lpstr>'x-609'!TABLE_ASSUMPTION_SET_1</vt:lpstr>
      <vt:lpstr>'x-610'!TABLE_ASSUMPTION_SET_1</vt:lpstr>
      <vt:lpstr>'x-611'!TABLE_ASSUMPTION_SET_1</vt:lpstr>
      <vt:lpstr>'x-612'!TABLE_ASSUMPTION_SET_1</vt:lpstr>
      <vt:lpstr>'x-613'!TABLE_ASSUMPTION_SET_1</vt:lpstr>
      <vt:lpstr>'x-614'!TABLE_ASSUMPTION_SET_1</vt:lpstr>
      <vt:lpstr>'x-615'!TABLE_ASSUMPTION_SET_1</vt:lpstr>
      <vt:lpstr>'x-616'!TABLE_ASSUMPTION_SET_1</vt:lpstr>
      <vt:lpstr>'x-617'!TABLE_ASSUMPTION_SET_1</vt:lpstr>
      <vt:lpstr>'x-701'!TABLE_ASSUMPTION_SET_1</vt:lpstr>
      <vt:lpstr>'x-702'!TABLE_ASSUMPTION_SET_1</vt:lpstr>
      <vt:lpstr>'x-703'!TABLE_ASSUMPTION_SET_1</vt:lpstr>
      <vt:lpstr>'x-704'!TABLE_ASSUMPTION_SET_1</vt:lpstr>
      <vt:lpstr>'x-705'!TABLE_ASSUMPTION_SET_1</vt:lpstr>
      <vt:lpstr>'x-706'!TABLE_ASSUMPTION_SET_1</vt:lpstr>
      <vt:lpstr>'x-707'!TABLE_ASSUMPTION_SET_1</vt:lpstr>
      <vt:lpstr>'x-708'!TABLE_ASSUMPTION_SET_1</vt:lpstr>
      <vt:lpstr>'x-709'!TABLE_ASSUMPTION_SET_1</vt:lpstr>
      <vt:lpstr>'x-710'!TABLE_ASSUMPTION_SET_1</vt:lpstr>
      <vt:lpstr>'x-711'!TABLE_ASSUMPTION_SET_1</vt:lpstr>
      <vt:lpstr>'x-712'!TABLE_ASSUMPTION_SET_1</vt:lpstr>
      <vt:lpstr>'x-713'!TABLE_ASSUMPTION_SET_1</vt:lpstr>
      <vt:lpstr>'x-714'!TABLE_ASSUMPTION_SET_1</vt:lpstr>
      <vt:lpstr>'x-715'!TABLE_ASSUMPTION_SET_1</vt:lpstr>
      <vt:lpstr>'x-716'!TABLE_ASSUMPTION_SET_1</vt:lpstr>
      <vt:lpstr>'x-717'!TABLE_ASSUMPTION_SET_1</vt:lpstr>
      <vt:lpstr>'x-718'!TABLE_ASSUMPTION_SET_1</vt:lpstr>
      <vt:lpstr>'x-719'!TABLE_ASSUMPTION_SET_1</vt:lpstr>
      <vt:lpstr>'x-720'!TABLE_ASSUMPTION_SET_1</vt:lpstr>
      <vt:lpstr>'x-721'!TABLE_ASSUMPTION_SET_1</vt:lpstr>
      <vt:lpstr>'x-725'!TABLE_ASSUMPTION_SET_1</vt:lpstr>
      <vt:lpstr>'x-726'!TABLE_ASSUMPTION_SET_1</vt:lpstr>
      <vt:lpstr>'x-727'!TABLE_ASSUMPTION_SET_1</vt:lpstr>
      <vt:lpstr>'x-728'!TABLE_ASSUMPTION_SET_1</vt:lpstr>
      <vt:lpstr>'x-729'!TABLE_ASSUMPTION_SET_1</vt:lpstr>
      <vt:lpstr>'x-730'!TABLE_ASSUMPTION_SET_1</vt:lpstr>
      <vt:lpstr>'x-731'!TABLE_ASSUMPTION_SET_1</vt:lpstr>
      <vt:lpstr>'x-732'!TABLE_ASSUMPTION_SET_1</vt:lpstr>
      <vt:lpstr>'x-733'!TABLE_ASSUMPTION_SET_1</vt:lpstr>
      <vt:lpstr>'x-734'!TABLE_ASSUMPTION_SET_1</vt:lpstr>
      <vt:lpstr>'x-735'!TABLE_ASSUMPTION_SET_1</vt:lpstr>
      <vt:lpstr>'x-736'!TABLE_ASSUMPTION_SET_1</vt:lpstr>
      <vt:lpstr>'x-801'!TABLE_ASSUMPTION_SET_1</vt:lpstr>
      <vt:lpstr>'x-802'!TABLE_ASSUMPTION_SET_1</vt:lpstr>
      <vt:lpstr>'x-803'!TABLE_ASSUMPTION_SET_1</vt:lpstr>
      <vt:lpstr>'x-804'!TABLE_ASSUMPTION_SET_1</vt:lpstr>
      <vt:lpstr>'x-805'!TABLE_ASSUMPTION_SET_1</vt:lpstr>
      <vt:lpstr>'x-806'!TABLE_ASSUMPTION_SET_1</vt:lpstr>
      <vt:lpstr>'x-807'!TABLE_ASSUMPTION_SET_1</vt:lpstr>
      <vt:lpstr>'x-808'!TABLE_ASSUMPTION_SET_1</vt:lpstr>
      <vt:lpstr>'x-810'!TABLE_ASSUMPTION_SET_1</vt:lpstr>
      <vt:lpstr>'x-811'!TABLE_ASSUMPTION_SET_1</vt:lpstr>
      <vt:lpstr>'x-812'!TABLE_ASSUMPTION_SET_1</vt:lpstr>
      <vt:lpstr>'x-813'!TABLE_ASSUMPTION_SET_1</vt:lpstr>
      <vt:lpstr>'x-814'!TABLE_ASSUMPTION_SET_1</vt:lpstr>
      <vt:lpstr>'x-815'!TABLE_ASSUMPTION_SET_1</vt:lpstr>
      <vt:lpstr>'x-816'!TABLE_ASSUMPTION_SET_1</vt:lpstr>
      <vt:lpstr>'x-305'!TABLE_ASSUMPTION_SET_2</vt:lpstr>
      <vt:lpstr>'x-409'!TABLE_ASSUMPTION_SET_2</vt:lpstr>
      <vt:lpstr>'x-413'!TABLE_ASSUMPTION_SET_2</vt:lpstr>
      <vt:lpstr>'x-607'!TABLE_ASSUMPTION_SET_2</vt:lpstr>
      <vt:lpstr>'x-730'!TABLE_ASSUMPTION_SET_2</vt:lpstr>
      <vt:lpstr>'x-733'!TABLE_ASSUMPTION_SET_2</vt:lpstr>
      <vt:lpstr>'x-730'!TABLE_ASSUMPTION_SET_3</vt:lpstr>
      <vt:lpstr>'x-733'!TABLE_ASSUMPTION_SET_3</vt:lpstr>
      <vt:lpstr>'x-730'!TABLE_ASSUMPTION_SET_4</vt:lpstr>
      <vt:lpstr>'x-733'!TABLE_ASSUMPTION_SET_4</vt:lpstr>
      <vt:lpstr>'x-201'!TABLE_CLIENT_1</vt:lpstr>
      <vt:lpstr>'x-202'!TABLE_CLIENT_1</vt:lpstr>
      <vt:lpstr>'x-203'!TABLE_CLIENT_1</vt:lpstr>
      <vt:lpstr>'x-204'!TABLE_CLIENT_1</vt:lpstr>
      <vt:lpstr>'x-205'!TABLE_CLIENT_1</vt:lpstr>
      <vt:lpstr>'x-207'!TABLE_CLIENT_1</vt:lpstr>
      <vt:lpstr>'x-208'!TABLE_CLIENT_1</vt:lpstr>
      <vt:lpstr>'x-209'!TABLE_CLIENT_1</vt:lpstr>
      <vt:lpstr>'x-211'!TABLE_CLIENT_1</vt:lpstr>
      <vt:lpstr>'x-212'!TABLE_CLIENT_1</vt:lpstr>
      <vt:lpstr>'x-213'!TABLE_CLIENT_1</vt:lpstr>
      <vt:lpstr>'x-214'!TABLE_CLIENT_1</vt:lpstr>
      <vt:lpstr>'x-215'!TABLE_CLIENT_1</vt:lpstr>
      <vt:lpstr>'x-216'!TABLE_CLIENT_1</vt:lpstr>
      <vt:lpstr>'x-217'!TABLE_CLIENT_1</vt:lpstr>
      <vt:lpstr>'x-218'!TABLE_CLIENT_1</vt:lpstr>
      <vt:lpstr>'x-223'!TABLE_CLIENT_1</vt:lpstr>
      <vt:lpstr>'x-301'!TABLE_CLIENT_1</vt:lpstr>
      <vt:lpstr>'x-302'!TABLE_CLIENT_1</vt:lpstr>
      <vt:lpstr>'x-303'!TABLE_CLIENT_1</vt:lpstr>
      <vt:lpstr>'x-304'!TABLE_CLIENT_1</vt:lpstr>
      <vt:lpstr>'x-305'!TABLE_CLIENT_1</vt:lpstr>
      <vt:lpstr>'x-306'!TABLE_CLIENT_1</vt:lpstr>
      <vt:lpstr>'x-307'!TABLE_CLIENT_1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'x-410'!TABLE_CLIENT_1</vt:lpstr>
      <vt:lpstr>'x-411'!TABLE_CLIENT_1</vt:lpstr>
      <vt:lpstr>'x-412'!TABLE_CLIENT_1</vt:lpstr>
      <vt:lpstr>'x-413'!TABLE_CLIENT_1</vt:lpstr>
      <vt:lpstr>'x-414'!TABLE_CLIENT_1</vt:lpstr>
      <vt:lpstr>'x-415'!TABLE_CLIENT_1</vt:lpstr>
      <vt:lpstr>'x-416'!TABLE_CLIENT_1</vt:lpstr>
      <vt:lpstr>'x-417'!TABLE_CLIENT_1</vt:lpstr>
      <vt:lpstr>'x-418'!TABLE_CLIENT_1</vt:lpstr>
      <vt:lpstr>'x-419'!TABLE_CLIENT_1</vt:lpstr>
      <vt:lpstr>'x-420'!TABLE_CLIENT_1</vt:lpstr>
      <vt:lpstr>'x-421'!TABLE_CLIENT_1</vt:lpstr>
      <vt:lpstr>'x-501'!TABLE_CLIENT_1</vt:lpstr>
      <vt:lpstr>'x-502'!TABLE_CLIENT_1</vt:lpstr>
      <vt:lpstr>'x-503'!TABLE_CLIENT_1</vt:lpstr>
      <vt:lpstr>'x-504'!TABLE_CLIENT_1</vt:lpstr>
      <vt:lpstr>'x-505'!TABLE_CLIENT_1</vt:lpstr>
      <vt:lpstr>'x-601'!TABLE_CLIENT_1</vt:lpstr>
      <vt:lpstr>'x-602'!TABLE_CLIENT_1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'x-616'!TABLE_CLIENT_1</vt:lpstr>
      <vt:lpstr>'x-617'!TABLE_CLIENT_1</vt:lpstr>
      <vt:lpstr>'x-701'!TABLE_CLIENT_1</vt:lpstr>
      <vt:lpstr>'x-702'!TABLE_CLIENT_1</vt:lpstr>
      <vt:lpstr>'x-703'!TABLE_CLIENT_1</vt:lpstr>
      <vt:lpstr>'x-704'!TABLE_CLIENT_1</vt:lpstr>
      <vt:lpstr>'x-705'!TABLE_CLIENT_1</vt:lpstr>
      <vt:lpstr>'x-706'!TABLE_CLIENT_1</vt:lpstr>
      <vt:lpstr>'x-707'!TABLE_CLIENT_1</vt:lpstr>
      <vt:lpstr>'x-708'!TABLE_CLIENT_1</vt:lpstr>
      <vt:lpstr>'x-709'!TABLE_CLIENT_1</vt:lpstr>
      <vt:lpstr>'x-710'!TABLE_CLIENT_1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'x-721'!TABLE_CLIENT_1</vt:lpstr>
      <vt:lpstr>'x-725'!TABLE_CLIENT_1</vt:lpstr>
      <vt:lpstr>'x-726'!TABLE_CLIENT_1</vt:lpstr>
      <vt:lpstr>'x-727'!TABLE_CLIENT_1</vt:lpstr>
      <vt:lpstr>'x-728'!TABLE_CLIENT_1</vt:lpstr>
      <vt:lpstr>'x-729'!TABLE_CLIENT_1</vt:lpstr>
      <vt:lpstr>'x-730'!TABLE_CLIENT_1</vt:lpstr>
      <vt:lpstr>'x-731'!TABLE_CLIENT_1</vt:lpstr>
      <vt:lpstr>'x-732'!TABLE_CLIENT_1</vt:lpstr>
      <vt:lpstr>'x-733'!TABLE_CLIENT_1</vt:lpstr>
      <vt:lpstr>'x-734'!TABLE_CLIENT_1</vt:lpstr>
      <vt:lpstr>'x-735'!TABLE_CLIENT_1</vt:lpstr>
      <vt:lpstr>'x-736'!TABLE_CLIENT_1</vt:lpstr>
      <vt:lpstr>'x-801'!TABLE_CLIENT_1</vt:lpstr>
      <vt:lpstr>'x-802'!TABLE_CLIENT_1</vt:lpstr>
      <vt:lpstr>'x-803'!TABLE_CLIENT_1</vt:lpstr>
      <vt:lpstr>'x-804'!TABLE_CLIENT_1</vt:lpstr>
      <vt:lpstr>'x-805'!TABLE_CLIENT_1</vt:lpstr>
      <vt:lpstr>'x-806'!TABLE_CLIENT_1</vt:lpstr>
      <vt:lpstr>'x-807'!TABLE_CLIENT_1</vt:lpstr>
      <vt:lpstr>'x-808'!TABLE_CLIENT_1</vt:lpstr>
      <vt:lpstr>'x-810'!TABLE_CLIENT_1</vt:lpstr>
      <vt:lpstr>'x-811'!TABLE_CLIENT_1</vt:lpstr>
      <vt:lpstr>'x-812'!TABLE_CLIENT_1</vt:lpstr>
      <vt:lpstr>'x-813'!TABLE_CLIENT_1</vt:lpstr>
      <vt:lpstr>'x-814'!TABLE_CLIENT_1</vt:lpstr>
      <vt:lpstr>'x-815'!TABLE_CLIENT_1</vt:lpstr>
      <vt:lpstr>'x-816'!TABLE_CLIENT_1</vt:lpstr>
      <vt:lpstr>'x-305'!TABLE_CLIENT_2</vt:lpstr>
      <vt:lpstr>'x-409'!TABLE_CLIENT_2</vt:lpstr>
      <vt:lpstr>'x-413'!TABLE_CLIENT_2</vt:lpstr>
      <vt:lpstr>'x-607'!TABLE_CLIENT_2</vt:lpstr>
      <vt:lpstr>'x-730'!TABLE_CLIENT_2</vt:lpstr>
      <vt:lpstr>'x-733'!TABLE_CLIENT_2</vt:lpstr>
      <vt:lpstr>'x-730'!TABLE_CLIENT_3</vt:lpstr>
      <vt:lpstr>'x-733'!TABLE_CLIENT_3</vt:lpstr>
      <vt:lpstr>'x-730'!TABLE_CLIENT_4</vt:lpstr>
      <vt:lpstr>'x-733'!TABLE_CLIENT_4</vt:lpstr>
      <vt:lpstr>'x-201'!TABLE_DATE_IMPLEMENTED_1</vt:lpstr>
      <vt:lpstr>'x-202'!TABLE_DATE_IMPLEMENTED_1</vt:lpstr>
      <vt:lpstr>'x-203'!TABLE_DATE_IMPLEMENTED_1</vt:lpstr>
      <vt:lpstr>'x-204'!TABLE_DATE_IMPLEMENTED_1</vt:lpstr>
      <vt:lpstr>'x-205'!TABLE_DATE_IMPLEMENTED_1</vt:lpstr>
      <vt:lpstr>'x-207'!TABLE_DATE_IMPLEMENTED_1</vt:lpstr>
      <vt:lpstr>'x-208'!TABLE_DATE_IMPLEMENTED_1</vt:lpstr>
      <vt:lpstr>'x-209'!TABLE_DATE_IMPLEMENTED_1</vt:lpstr>
      <vt:lpstr>'x-211'!TABLE_DATE_IMPLEMENTED_1</vt:lpstr>
      <vt:lpstr>'x-212'!TABLE_DATE_IMPLEMENTED_1</vt:lpstr>
      <vt:lpstr>'x-213'!TABLE_DATE_IMPLEMENTED_1</vt:lpstr>
      <vt:lpstr>'x-214'!TABLE_DATE_IMPLEMENTED_1</vt:lpstr>
      <vt:lpstr>'x-215'!TABLE_DATE_IMPLEMENTED_1</vt:lpstr>
      <vt:lpstr>'x-216'!TABLE_DATE_IMPLEMENTED_1</vt:lpstr>
      <vt:lpstr>'x-217'!TABLE_DATE_IMPLEMENTED_1</vt:lpstr>
      <vt:lpstr>'x-218'!TABLE_DATE_IMPLEMENTED_1</vt:lpstr>
      <vt:lpstr>'x-223'!TABLE_DATE_IMPLEMENTED_1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'x-410'!TABLE_DATE_IMPLEMENTED_1</vt:lpstr>
      <vt:lpstr>'x-411'!TABLE_DATE_IMPLEMENTED_1</vt:lpstr>
      <vt:lpstr>'x-412'!TABLE_DATE_IMPLEMENTED_1</vt:lpstr>
      <vt:lpstr>'x-413'!TABLE_DATE_IMPLEMENTED_1</vt:lpstr>
      <vt:lpstr>'x-414'!TABLE_DATE_IMPLEMENTED_1</vt:lpstr>
      <vt:lpstr>'x-415'!TABLE_DATE_IMPLEMENTED_1</vt:lpstr>
      <vt:lpstr>'x-416'!TABLE_DATE_IMPLEMENTED_1</vt:lpstr>
      <vt:lpstr>'x-417'!TABLE_DATE_IMPLEMENTED_1</vt:lpstr>
      <vt:lpstr>'x-418'!TABLE_DATE_IMPLEMENTED_1</vt:lpstr>
      <vt:lpstr>'x-419'!TABLE_DATE_IMPLEMENTED_1</vt:lpstr>
      <vt:lpstr>'x-420'!TABLE_DATE_IMPLEMENTED_1</vt:lpstr>
      <vt:lpstr>'x-421'!TABLE_DATE_IMPLEMENTED_1</vt:lpstr>
      <vt:lpstr>'x-501'!TABLE_DATE_IMPLEMENTED_1</vt:lpstr>
      <vt:lpstr>'x-502'!TABLE_DATE_IMPLEMENTED_1</vt:lpstr>
      <vt:lpstr>'x-503'!TABLE_DATE_IMPLEMENTED_1</vt:lpstr>
      <vt:lpstr>'x-504'!TABLE_DATE_IMPLEMENTED_1</vt:lpstr>
      <vt:lpstr>'x-505'!TABLE_DATE_IMPLEMENTED_1</vt:lpstr>
      <vt:lpstr>'x-601'!TABLE_DATE_IMPLEMENTED_1</vt:lpstr>
      <vt:lpstr>'x-602'!TABLE_DATE_IMPLEMENTED_1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'x-616'!TABLE_DATE_IMPLEMENTED_1</vt:lpstr>
      <vt:lpstr>'x-617'!TABLE_DATE_IMPLEMENTED_1</vt:lpstr>
      <vt:lpstr>'x-701'!TABLE_DATE_IMPLEMENTED_1</vt:lpstr>
      <vt:lpstr>'x-702'!TABLE_DATE_IMPLEMENTED_1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'x-709'!TABLE_DATE_IMPLEMENTED_1</vt:lpstr>
      <vt:lpstr>'x-710'!TABLE_DATE_IMPLEMENTED_1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'x-721'!TABLE_DATE_IMPLEMENTED_1</vt:lpstr>
      <vt:lpstr>'x-725'!TABLE_DATE_IMPLEMENTED_1</vt:lpstr>
      <vt:lpstr>'x-726'!TABLE_DATE_IMPLEMENTED_1</vt:lpstr>
      <vt:lpstr>'x-727'!TABLE_DATE_IMPLEMENTED_1</vt:lpstr>
      <vt:lpstr>'x-728'!TABLE_DATE_IMPLEMENTED_1</vt:lpstr>
      <vt:lpstr>'x-729'!TABLE_DATE_IMPLEMENTED_1</vt:lpstr>
      <vt:lpstr>'x-730'!TABLE_DATE_IMPLEMENTED_1</vt:lpstr>
      <vt:lpstr>'x-731'!TABLE_DATE_IMPLEMENTED_1</vt:lpstr>
      <vt:lpstr>'x-732'!TABLE_DATE_IMPLEMENTED_1</vt:lpstr>
      <vt:lpstr>'x-733'!TABLE_DATE_IMPLEMENTED_1</vt:lpstr>
      <vt:lpstr>'x-734'!TABLE_DATE_IMPLEMENTED_1</vt:lpstr>
      <vt:lpstr>'x-735'!TABLE_DATE_IMPLEMENTED_1</vt:lpstr>
      <vt:lpstr>'x-736'!TABLE_DATE_IMPLEMENTED_1</vt:lpstr>
      <vt:lpstr>'x-801'!TABLE_DATE_IMPLEMENTED_1</vt:lpstr>
      <vt:lpstr>'x-802'!TABLE_DATE_IMPLEMENTED_1</vt:lpstr>
      <vt:lpstr>'x-803'!TABLE_DATE_IMPLEMENTED_1</vt:lpstr>
      <vt:lpstr>'x-804'!TABLE_DATE_IMPLEMENTED_1</vt:lpstr>
      <vt:lpstr>'x-805'!TABLE_DATE_IMPLEMENTED_1</vt:lpstr>
      <vt:lpstr>'x-806'!TABLE_DATE_IMPLEMENTED_1</vt:lpstr>
      <vt:lpstr>'x-807'!TABLE_DATE_IMPLEMENTED_1</vt:lpstr>
      <vt:lpstr>'x-808'!TABLE_DATE_IMPLEMENTED_1</vt:lpstr>
      <vt:lpstr>'x-810'!TABLE_DATE_IMPLEMENTED_1</vt:lpstr>
      <vt:lpstr>'x-811'!TABLE_DATE_IMPLEMENTED_1</vt:lpstr>
      <vt:lpstr>'x-812'!TABLE_DATE_IMPLEMENTED_1</vt:lpstr>
      <vt:lpstr>'x-813'!TABLE_DATE_IMPLEMENTED_1</vt:lpstr>
      <vt:lpstr>'x-814'!TABLE_DATE_IMPLEMENTED_1</vt:lpstr>
      <vt:lpstr>'x-815'!TABLE_DATE_IMPLEMENTED_1</vt:lpstr>
      <vt:lpstr>'x-816'!TABLE_DATE_IMPLEMENTED_1</vt:lpstr>
      <vt:lpstr>'x-305'!TABLE_DATE_IMPLEMENTED_2</vt:lpstr>
      <vt:lpstr>'x-409'!TABLE_DATE_IMPLEMENTED_2</vt:lpstr>
      <vt:lpstr>'x-413'!TABLE_DATE_IMPLEMENTED_2</vt:lpstr>
      <vt:lpstr>'x-607'!TABLE_DATE_IMPLEMENTED_2</vt:lpstr>
      <vt:lpstr>'x-730'!TABLE_DATE_IMPLEMENTED_2</vt:lpstr>
      <vt:lpstr>'x-733'!TABLE_DATE_IMPLEMENTED_2</vt:lpstr>
      <vt:lpstr>'x-730'!TABLE_DATE_IMPLEMENTED_3</vt:lpstr>
      <vt:lpstr>'x-733'!TABLE_DATE_IMPLEMENTED_3</vt:lpstr>
      <vt:lpstr>'x-730'!TABLE_DATE_IMPLEMENTED_4</vt:lpstr>
      <vt:lpstr>'x-733'!TABLE_DATE_IMPLEMENTED_4</vt:lpstr>
      <vt:lpstr>'x-201'!TABLE_DATE_ISSUED_1</vt:lpstr>
      <vt:lpstr>'x-202'!TABLE_DATE_ISSUED_1</vt:lpstr>
      <vt:lpstr>'x-203'!TABLE_DATE_ISSUED_1</vt:lpstr>
      <vt:lpstr>'x-204'!TABLE_DATE_ISSUED_1</vt:lpstr>
      <vt:lpstr>'x-205'!TABLE_DATE_ISSUED_1</vt:lpstr>
      <vt:lpstr>'x-207'!TABLE_DATE_ISSUED_1</vt:lpstr>
      <vt:lpstr>'x-208'!TABLE_DATE_ISSUED_1</vt:lpstr>
      <vt:lpstr>'x-209'!TABLE_DATE_ISSUED_1</vt:lpstr>
      <vt:lpstr>'x-211'!TABLE_DATE_ISSUED_1</vt:lpstr>
      <vt:lpstr>'x-212'!TABLE_DATE_ISSUED_1</vt:lpstr>
      <vt:lpstr>'x-213'!TABLE_DATE_ISSUED_1</vt:lpstr>
      <vt:lpstr>'x-214'!TABLE_DATE_ISSUED_1</vt:lpstr>
      <vt:lpstr>'x-215'!TABLE_DATE_ISSUED_1</vt:lpstr>
      <vt:lpstr>'x-216'!TABLE_DATE_ISSUED_1</vt:lpstr>
      <vt:lpstr>'x-217'!TABLE_DATE_ISSUED_1</vt:lpstr>
      <vt:lpstr>'x-218'!TABLE_DATE_ISSUED_1</vt:lpstr>
      <vt:lpstr>'x-223'!TABLE_DATE_ISSUED_1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'x-410'!TABLE_DATE_ISSUED_1</vt:lpstr>
      <vt:lpstr>'x-411'!TABLE_DATE_ISSUED_1</vt:lpstr>
      <vt:lpstr>'x-412'!TABLE_DATE_ISSUED_1</vt:lpstr>
      <vt:lpstr>'x-413'!TABLE_DATE_ISSUED_1</vt:lpstr>
      <vt:lpstr>'x-414'!TABLE_DATE_ISSUED_1</vt:lpstr>
      <vt:lpstr>'x-415'!TABLE_DATE_ISSUED_1</vt:lpstr>
      <vt:lpstr>'x-416'!TABLE_DATE_ISSUED_1</vt:lpstr>
      <vt:lpstr>'x-417'!TABLE_DATE_ISSUED_1</vt:lpstr>
      <vt:lpstr>'x-418'!TABLE_DATE_ISSUED_1</vt:lpstr>
      <vt:lpstr>'x-419'!TABLE_DATE_ISSUED_1</vt:lpstr>
      <vt:lpstr>'x-420'!TABLE_DATE_ISSUED_1</vt:lpstr>
      <vt:lpstr>'x-421'!TABLE_DATE_ISSUED_1</vt:lpstr>
      <vt:lpstr>'x-501'!TABLE_DATE_ISSUED_1</vt:lpstr>
      <vt:lpstr>'x-502'!TABLE_DATE_ISSUED_1</vt:lpstr>
      <vt:lpstr>'x-503'!TABLE_DATE_ISSUED_1</vt:lpstr>
      <vt:lpstr>'x-504'!TABLE_DATE_ISSUED_1</vt:lpstr>
      <vt:lpstr>'x-505'!TABLE_DATE_ISSUED_1</vt:lpstr>
      <vt:lpstr>'x-601'!TABLE_DATE_ISSUED_1</vt:lpstr>
      <vt:lpstr>'x-602'!TABLE_DATE_ISSUED_1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'x-616'!TABLE_DATE_ISSUED_1</vt:lpstr>
      <vt:lpstr>'x-617'!TABLE_DATE_ISSUED_1</vt:lpstr>
      <vt:lpstr>'x-701'!TABLE_DATE_ISSUED_1</vt:lpstr>
      <vt:lpstr>'x-702'!TABLE_DATE_ISSUED_1</vt:lpstr>
      <vt:lpstr>'x-703'!TABLE_DATE_ISSUED_1</vt:lpstr>
      <vt:lpstr>'x-704'!TABLE_DATE_ISSUED_1</vt:lpstr>
      <vt:lpstr>'x-705'!TABLE_DATE_ISSUED_1</vt:lpstr>
      <vt:lpstr>'x-706'!TABLE_DATE_ISSUED_1</vt:lpstr>
      <vt:lpstr>'x-707'!TABLE_DATE_ISSUED_1</vt:lpstr>
      <vt:lpstr>'x-708'!TABLE_DATE_ISSUED_1</vt:lpstr>
      <vt:lpstr>'x-709'!TABLE_DATE_ISSUED_1</vt:lpstr>
      <vt:lpstr>'x-710'!TABLE_DATE_ISSUED_1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'x-721'!TABLE_DATE_ISSUED_1</vt:lpstr>
      <vt:lpstr>'x-725'!TABLE_DATE_ISSUED_1</vt:lpstr>
      <vt:lpstr>'x-726'!TABLE_DATE_ISSUED_1</vt:lpstr>
      <vt:lpstr>'x-727'!TABLE_DATE_ISSUED_1</vt:lpstr>
      <vt:lpstr>'x-728'!TABLE_DATE_ISSUED_1</vt:lpstr>
      <vt:lpstr>'x-729'!TABLE_DATE_ISSUED_1</vt:lpstr>
      <vt:lpstr>'x-730'!TABLE_DATE_ISSUED_1</vt:lpstr>
      <vt:lpstr>'x-731'!TABLE_DATE_ISSUED_1</vt:lpstr>
      <vt:lpstr>'x-732'!TABLE_DATE_ISSUED_1</vt:lpstr>
      <vt:lpstr>'x-733'!TABLE_DATE_ISSUED_1</vt:lpstr>
      <vt:lpstr>'x-734'!TABLE_DATE_ISSUED_1</vt:lpstr>
      <vt:lpstr>'x-735'!TABLE_DATE_ISSUED_1</vt:lpstr>
      <vt:lpstr>'x-736'!TABLE_DATE_ISSUED_1</vt:lpstr>
      <vt:lpstr>'x-801'!TABLE_DATE_ISSUED_1</vt:lpstr>
      <vt:lpstr>'x-802'!TABLE_DATE_ISSUED_1</vt:lpstr>
      <vt:lpstr>'x-803'!TABLE_DATE_ISSUED_1</vt:lpstr>
      <vt:lpstr>'x-804'!TABLE_DATE_ISSUED_1</vt:lpstr>
      <vt:lpstr>'x-805'!TABLE_DATE_ISSUED_1</vt:lpstr>
      <vt:lpstr>'x-806'!TABLE_DATE_ISSUED_1</vt:lpstr>
      <vt:lpstr>'x-807'!TABLE_DATE_ISSUED_1</vt:lpstr>
      <vt:lpstr>'x-808'!TABLE_DATE_ISSUED_1</vt:lpstr>
      <vt:lpstr>'x-810'!TABLE_DATE_ISSUED_1</vt:lpstr>
      <vt:lpstr>'x-811'!TABLE_DATE_ISSUED_1</vt:lpstr>
      <vt:lpstr>'x-812'!TABLE_DATE_ISSUED_1</vt:lpstr>
      <vt:lpstr>'x-813'!TABLE_DATE_ISSUED_1</vt:lpstr>
      <vt:lpstr>'x-814'!TABLE_DATE_ISSUED_1</vt:lpstr>
      <vt:lpstr>'x-815'!TABLE_DATE_ISSUED_1</vt:lpstr>
      <vt:lpstr>'x-816'!TABLE_DATE_ISSUED_1</vt:lpstr>
      <vt:lpstr>'x-305'!TABLE_DATE_ISSUED_2</vt:lpstr>
      <vt:lpstr>'x-409'!TABLE_DATE_ISSUED_2</vt:lpstr>
      <vt:lpstr>'x-413'!TABLE_DATE_ISSUED_2</vt:lpstr>
      <vt:lpstr>'x-607'!TABLE_DATE_ISSUED_2</vt:lpstr>
      <vt:lpstr>'x-730'!TABLE_DATE_ISSUED_2</vt:lpstr>
      <vt:lpstr>'x-733'!TABLE_DATE_ISSUED_2</vt:lpstr>
      <vt:lpstr>'x-730'!TABLE_DATE_ISSUED_3</vt:lpstr>
      <vt:lpstr>'x-733'!TABLE_DATE_ISSUED_3</vt:lpstr>
      <vt:lpstr>'x-730'!TABLE_DATE_ISSUED_4</vt:lpstr>
      <vt:lpstr>'x-733'!TABLE_DATE_ISSUED_4</vt:lpstr>
      <vt:lpstr>'x-201'!TABLE_DESCRIPTION_1</vt:lpstr>
      <vt:lpstr>'x-202'!TABLE_DESCRIPTION_1</vt:lpstr>
      <vt:lpstr>'x-203'!TABLE_DESCRIPTION_1</vt:lpstr>
      <vt:lpstr>'x-204'!TABLE_DESCRIPTION_1</vt:lpstr>
      <vt:lpstr>'x-205'!TABLE_DESCRIPTION_1</vt:lpstr>
      <vt:lpstr>'x-207'!TABLE_DESCRIPTION_1</vt:lpstr>
      <vt:lpstr>'x-208'!TABLE_DESCRIPTION_1</vt:lpstr>
      <vt:lpstr>'x-209'!TABLE_DESCRIPTION_1</vt:lpstr>
      <vt:lpstr>'x-211'!TABLE_DESCRIPTION_1</vt:lpstr>
      <vt:lpstr>'x-212'!TABLE_DESCRIPTION_1</vt:lpstr>
      <vt:lpstr>'x-213'!TABLE_DESCRIPTION_1</vt:lpstr>
      <vt:lpstr>'x-214'!TABLE_DESCRIPTION_1</vt:lpstr>
      <vt:lpstr>'x-215'!TABLE_DESCRIPTION_1</vt:lpstr>
      <vt:lpstr>'x-216'!TABLE_DESCRIPTION_1</vt:lpstr>
      <vt:lpstr>'x-217'!TABLE_DESCRIPTION_1</vt:lpstr>
      <vt:lpstr>'x-218'!TABLE_DESCRIPTION_1</vt:lpstr>
      <vt:lpstr>'x-223'!TABLE_DESCRIPTION_1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'x-410'!TABLE_DESCRIPTION_1</vt:lpstr>
      <vt:lpstr>'x-411'!TABLE_DESCRIPTION_1</vt:lpstr>
      <vt:lpstr>'x-412'!TABLE_DESCRIPTION_1</vt:lpstr>
      <vt:lpstr>'x-413'!TABLE_DESCRIPTION_1</vt:lpstr>
      <vt:lpstr>'x-414'!TABLE_DESCRIPTION_1</vt:lpstr>
      <vt:lpstr>'x-415'!TABLE_DESCRIPTION_1</vt:lpstr>
      <vt:lpstr>'x-416'!TABLE_DESCRIPTION_1</vt:lpstr>
      <vt:lpstr>'x-417'!TABLE_DESCRIPTION_1</vt:lpstr>
      <vt:lpstr>'x-418'!TABLE_DESCRIPTION_1</vt:lpstr>
      <vt:lpstr>'x-419'!TABLE_DESCRIPTION_1</vt:lpstr>
      <vt:lpstr>'x-420'!TABLE_DESCRIPTION_1</vt:lpstr>
      <vt:lpstr>'x-421'!TABLE_DESCRIPTION_1</vt:lpstr>
      <vt:lpstr>'x-501'!TABLE_DESCRIPTION_1</vt:lpstr>
      <vt:lpstr>'x-502'!TABLE_DESCRIPTION_1</vt:lpstr>
      <vt:lpstr>'x-503'!TABLE_DESCRIPTION_1</vt:lpstr>
      <vt:lpstr>'x-504'!TABLE_DESCRIPTION_1</vt:lpstr>
      <vt:lpstr>'x-505'!TABLE_DESCRIPTION_1</vt:lpstr>
      <vt:lpstr>'x-601'!TABLE_DESCRIPTION_1</vt:lpstr>
      <vt:lpstr>'x-602'!TABLE_DESCRIPTION_1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'x-616'!TABLE_DESCRIPTION_1</vt:lpstr>
      <vt:lpstr>'x-617'!TABLE_DESCRIPTION_1</vt:lpstr>
      <vt:lpstr>'x-701'!TABLE_DESCRIPTION_1</vt:lpstr>
      <vt:lpstr>'x-702'!TABLE_DESCRIPTION_1</vt:lpstr>
      <vt:lpstr>'x-703'!TABLE_DESCRIPTION_1</vt:lpstr>
      <vt:lpstr>'x-704'!TABLE_DESCRIPTION_1</vt:lpstr>
      <vt:lpstr>'x-705'!TABLE_DESCRIPTION_1</vt:lpstr>
      <vt:lpstr>'x-706'!TABLE_DESCRIPTION_1</vt:lpstr>
      <vt:lpstr>'x-707'!TABLE_DESCRIPTION_1</vt:lpstr>
      <vt:lpstr>'x-708'!TABLE_DESCRIPTION_1</vt:lpstr>
      <vt:lpstr>'x-709'!TABLE_DESCRIPTION_1</vt:lpstr>
      <vt:lpstr>'x-710'!TABLE_DESCRIPTION_1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'x-721'!TABLE_DESCRIPTION_1</vt:lpstr>
      <vt:lpstr>'x-725'!TABLE_DESCRIPTION_1</vt:lpstr>
      <vt:lpstr>'x-726'!TABLE_DESCRIPTION_1</vt:lpstr>
      <vt:lpstr>'x-727'!TABLE_DESCRIPTION_1</vt:lpstr>
      <vt:lpstr>'x-728'!TABLE_DESCRIPTION_1</vt:lpstr>
      <vt:lpstr>'x-729'!TABLE_DESCRIPTION_1</vt:lpstr>
      <vt:lpstr>'x-730'!TABLE_DESCRIPTION_1</vt:lpstr>
      <vt:lpstr>'x-731'!TABLE_DESCRIPTION_1</vt:lpstr>
      <vt:lpstr>'x-732'!TABLE_DESCRIPTION_1</vt:lpstr>
      <vt:lpstr>'x-733'!TABLE_DESCRIPTION_1</vt:lpstr>
      <vt:lpstr>'x-734'!TABLE_DESCRIPTION_1</vt:lpstr>
      <vt:lpstr>'x-735'!TABLE_DESCRIPTION_1</vt:lpstr>
      <vt:lpstr>'x-736'!TABLE_DESCRIPTION_1</vt:lpstr>
      <vt:lpstr>'x-801'!TABLE_DESCRIPTION_1</vt:lpstr>
      <vt:lpstr>'x-802'!TABLE_DESCRIPTION_1</vt:lpstr>
      <vt:lpstr>'x-803'!TABLE_DESCRIPTION_1</vt:lpstr>
      <vt:lpstr>'x-804'!TABLE_DESCRIPTION_1</vt:lpstr>
      <vt:lpstr>'x-805'!TABLE_DESCRIPTION_1</vt:lpstr>
      <vt:lpstr>'x-806'!TABLE_DESCRIPTION_1</vt:lpstr>
      <vt:lpstr>'x-807'!TABLE_DESCRIPTION_1</vt:lpstr>
      <vt:lpstr>'x-808'!TABLE_DESCRIPTION_1</vt:lpstr>
      <vt:lpstr>'x-810'!TABLE_DESCRIPTION_1</vt:lpstr>
      <vt:lpstr>'x-811'!TABLE_DESCRIPTION_1</vt:lpstr>
      <vt:lpstr>'x-812'!TABLE_DESCRIPTION_1</vt:lpstr>
      <vt:lpstr>'x-813'!TABLE_DESCRIPTION_1</vt:lpstr>
      <vt:lpstr>'x-814'!TABLE_DESCRIPTION_1</vt:lpstr>
      <vt:lpstr>'x-815'!TABLE_DESCRIPTION_1</vt:lpstr>
      <vt:lpstr>'x-816'!TABLE_DESCRIPTION_1</vt:lpstr>
      <vt:lpstr>'x-305'!TABLE_DESCRIPTION_2</vt:lpstr>
      <vt:lpstr>'x-409'!TABLE_DESCRIPTION_2</vt:lpstr>
      <vt:lpstr>'x-413'!TABLE_DESCRIPTION_2</vt:lpstr>
      <vt:lpstr>'x-607'!TABLE_DESCRIPTION_2</vt:lpstr>
      <vt:lpstr>'x-730'!TABLE_DESCRIPTION_2</vt:lpstr>
      <vt:lpstr>'x-733'!TABLE_DESCRIPTION_2</vt:lpstr>
      <vt:lpstr>'x-730'!TABLE_DESCRIPTION_3</vt:lpstr>
      <vt:lpstr>'x-733'!TABLE_DESCRIPTION_3</vt:lpstr>
      <vt:lpstr>'x-730'!TABLE_DESCRIPTION_4</vt:lpstr>
      <vt:lpstr>'x-733'!TABLE_DESCRIPTION_4</vt:lpstr>
      <vt:lpstr>'x-201'!TABLE_FACTOR_STATUS_1</vt:lpstr>
      <vt:lpstr>'x-202'!TABLE_FACTOR_STATUS_1</vt:lpstr>
      <vt:lpstr>'x-203'!TABLE_FACTOR_STATUS_1</vt:lpstr>
      <vt:lpstr>'x-204'!TABLE_FACTOR_STATUS_1</vt:lpstr>
      <vt:lpstr>'x-205'!TABLE_FACTOR_STATUS_1</vt:lpstr>
      <vt:lpstr>'x-207'!TABLE_FACTOR_STATUS_1</vt:lpstr>
      <vt:lpstr>'x-208'!TABLE_FACTOR_STATUS_1</vt:lpstr>
      <vt:lpstr>'x-209'!TABLE_FACTOR_STATUS_1</vt:lpstr>
      <vt:lpstr>'x-211'!TABLE_FACTOR_STATUS_1</vt:lpstr>
      <vt:lpstr>'x-212'!TABLE_FACTOR_STATUS_1</vt:lpstr>
      <vt:lpstr>'x-213'!TABLE_FACTOR_STATUS_1</vt:lpstr>
      <vt:lpstr>'x-214'!TABLE_FACTOR_STATUS_1</vt:lpstr>
      <vt:lpstr>'x-215'!TABLE_FACTOR_STATUS_1</vt:lpstr>
      <vt:lpstr>'x-216'!TABLE_FACTOR_STATUS_1</vt:lpstr>
      <vt:lpstr>'x-217'!TABLE_FACTOR_STATUS_1</vt:lpstr>
      <vt:lpstr>'x-218'!TABLE_FACTOR_STATUS_1</vt:lpstr>
      <vt:lpstr>'x-223'!TABLE_FACTOR_STATUS_1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'x-410'!TABLE_FACTOR_STATUS_1</vt:lpstr>
      <vt:lpstr>'x-411'!TABLE_FACTOR_STATUS_1</vt:lpstr>
      <vt:lpstr>'x-412'!TABLE_FACTOR_STATUS_1</vt:lpstr>
      <vt:lpstr>'x-413'!TABLE_FACTOR_STATUS_1</vt:lpstr>
      <vt:lpstr>'x-414'!TABLE_FACTOR_STATUS_1</vt:lpstr>
      <vt:lpstr>'x-415'!TABLE_FACTOR_STATUS_1</vt:lpstr>
      <vt:lpstr>'x-416'!TABLE_FACTOR_STATUS_1</vt:lpstr>
      <vt:lpstr>'x-417'!TABLE_FACTOR_STATUS_1</vt:lpstr>
      <vt:lpstr>'x-418'!TABLE_FACTOR_STATUS_1</vt:lpstr>
      <vt:lpstr>'x-419'!TABLE_FACTOR_STATUS_1</vt:lpstr>
      <vt:lpstr>'x-420'!TABLE_FACTOR_STATUS_1</vt:lpstr>
      <vt:lpstr>'x-421'!TABLE_FACTOR_STATUS_1</vt:lpstr>
      <vt:lpstr>'x-501'!TABLE_FACTOR_STATUS_1</vt:lpstr>
      <vt:lpstr>'x-502'!TABLE_FACTOR_STATUS_1</vt:lpstr>
      <vt:lpstr>'x-503'!TABLE_FACTOR_STATUS_1</vt:lpstr>
      <vt:lpstr>'x-504'!TABLE_FACTOR_STATUS_1</vt:lpstr>
      <vt:lpstr>'x-505'!TABLE_FACTOR_STATUS_1</vt:lpstr>
      <vt:lpstr>'x-601'!TABLE_FACTOR_STATUS_1</vt:lpstr>
      <vt:lpstr>'x-602'!TABLE_FACTOR_STATUS_1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'x-616'!TABLE_FACTOR_STATUS_1</vt:lpstr>
      <vt:lpstr>'x-617'!TABLE_FACTOR_STATUS_1</vt:lpstr>
      <vt:lpstr>'x-701'!TABLE_FACTOR_STATUS_1</vt:lpstr>
      <vt:lpstr>'x-702'!TABLE_FACTOR_STATUS_1</vt:lpstr>
      <vt:lpstr>'x-703'!TABLE_FACTOR_STATUS_1</vt:lpstr>
      <vt:lpstr>'x-704'!TABLE_FACTOR_STATUS_1</vt:lpstr>
      <vt:lpstr>'x-705'!TABLE_FACTOR_STATUS_1</vt:lpstr>
      <vt:lpstr>'x-706'!TABLE_FACTOR_STATUS_1</vt:lpstr>
      <vt:lpstr>'x-707'!TABLE_FACTOR_STATUS_1</vt:lpstr>
      <vt:lpstr>'x-708'!TABLE_FACTOR_STATUS_1</vt:lpstr>
      <vt:lpstr>'x-709'!TABLE_FACTOR_STATUS_1</vt:lpstr>
      <vt:lpstr>'x-710'!TABLE_FACTOR_STATUS_1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'x-721'!TABLE_FACTOR_STATUS_1</vt:lpstr>
      <vt:lpstr>'x-725'!TABLE_FACTOR_STATUS_1</vt:lpstr>
      <vt:lpstr>'x-726'!TABLE_FACTOR_STATUS_1</vt:lpstr>
      <vt:lpstr>'x-727'!TABLE_FACTOR_STATUS_1</vt:lpstr>
      <vt:lpstr>'x-728'!TABLE_FACTOR_STATUS_1</vt:lpstr>
      <vt:lpstr>'x-729'!TABLE_FACTOR_STATUS_1</vt:lpstr>
      <vt:lpstr>'x-730'!TABLE_FACTOR_STATUS_1</vt:lpstr>
      <vt:lpstr>'x-731'!TABLE_FACTOR_STATUS_1</vt:lpstr>
      <vt:lpstr>'x-732'!TABLE_FACTOR_STATUS_1</vt:lpstr>
      <vt:lpstr>'x-733'!TABLE_FACTOR_STATUS_1</vt:lpstr>
      <vt:lpstr>'x-734'!TABLE_FACTOR_STATUS_1</vt:lpstr>
      <vt:lpstr>'x-735'!TABLE_FACTOR_STATUS_1</vt:lpstr>
      <vt:lpstr>'x-736'!TABLE_FACTOR_STATUS_1</vt:lpstr>
      <vt:lpstr>'x-801'!TABLE_FACTOR_STATUS_1</vt:lpstr>
      <vt:lpstr>'x-802'!TABLE_FACTOR_STATUS_1</vt:lpstr>
      <vt:lpstr>'x-803'!TABLE_FACTOR_STATUS_1</vt:lpstr>
      <vt:lpstr>'x-804'!TABLE_FACTOR_STATUS_1</vt:lpstr>
      <vt:lpstr>'x-805'!TABLE_FACTOR_STATUS_1</vt:lpstr>
      <vt:lpstr>'x-806'!TABLE_FACTOR_STATUS_1</vt:lpstr>
      <vt:lpstr>'x-807'!TABLE_FACTOR_STATUS_1</vt:lpstr>
      <vt:lpstr>'x-808'!TABLE_FACTOR_STATUS_1</vt:lpstr>
      <vt:lpstr>'x-810'!TABLE_FACTOR_STATUS_1</vt:lpstr>
      <vt:lpstr>'x-811'!TABLE_FACTOR_STATUS_1</vt:lpstr>
      <vt:lpstr>'x-812'!TABLE_FACTOR_STATUS_1</vt:lpstr>
      <vt:lpstr>'x-813'!TABLE_FACTOR_STATUS_1</vt:lpstr>
      <vt:lpstr>'x-814'!TABLE_FACTOR_STATUS_1</vt:lpstr>
      <vt:lpstr>'x-815'!TABLE_FACTOR_STATUS_1</vt:lpstr>
      <vt:lpstr>'x-816'!TABLE_FACTOR_STATUS_1</vt:lpstr>
      <vt:lpstr>'x-305'!TABLE_FACTOR_STATUS_2</vt:lpstr>
      <vt:lpstr>'x-409'!TABLE_FACTOR_STATUS_2</vt:lpstr>
      <vt:lpstr>'x-413'!TABLE_FACTOR_STATUS_2</vt:lpstr>
      <vt:lpstr>'x-607'!TABLE_FACTOR_STATUS_2</vt:lpstr>
      <vt:lpstr>'x-730'!TABLE_FACTOR_STATUS_2</vt:lpstr>
      <vt:lpstr>'x-733'!TABLE_FACTOR_STATUS_2</vt:lpstr>
      <vt:lpstr>'x-730'!TABLE_FACTOR_STATUS_3</vt:lpstr>
      <vt:lpstr>'x-733'!TABLE_FACTOR_STATUS_3</vt:lpstr>
      <vt:lpstr>'x-730'!TABLE_FACTOR_STATUS_4</vt:lpstr>
      <vt:lpstr>'x-733'!TABLE_FACTOR_STATUS_4</vt:lpstr>
      <vt:lpstr>'x-201'!TABLE_FACTOR_TYPE_1</vt:lpstr>
      <vt:lpstr>'x-202'!TABLE_FACTOR_TYPE_1</vt:lpstr>
      <vt:lpstr>'x-203'!TABLE_FACTOR_TYPE_1</vt:lpstr>
      <vt:lpstr>'x-204'!TABLE_FACTOR_TYPE_1</vt:lpstr>
      <vt:lpstr>'x-205'!TABLE_FACTOR_TYPE_1</vt:lpstr>
      <vt:lpstr>'x-207'!TABLE_FACTOR_TYPE_1</vt:lpstr>
      <vt:lpstr>'x-208'!TABLE_FACTOR_TYPE_1</vt:lpstr>
      <vt:lpstr>'x-209'!TABLE_FACTOR_TYPE_1</vt:lpstr>
      <vt:lpstr>'x-211'!TABLE_FACTOR_TYPE_1</vt:lpstr>
      <vt:lpstr>'x-212'!TABLE_FACTOR_TYPE_1</vt:lpstr>
      <vt:lpstr>'x-213'!TABLE_FACTOR_TYPE_1</vt:lpstr>
      <vt:lpstr>'x-214'!TABLE_FACTOR_TYPE_1</vt:lpstr>
      <vt:lpstr>'x-215'!TABLE_FACTOR_TYPE_1</vt:lpstr>
      <vt:lpstr>'x-216'!TABLE_FACTOR_TYPE_1</vt:lpstr>
      <vt:lpstr>'x-217'!TABLE_FACTOR_TYPE_1</vt:lpstr>
      <vt:lpstr>'x-218'!TABLE_FACTOR_TYPE_1</vt:lpstr>
      <vt:lpstr>'x-223'!TABLE_FACTOR_TYPE_1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'x-410'!TABLE_FACTOR_TYPE_1</vt:lpstr>
      <vt:lpstr>'x-411'!TABLE_FACTOR_TYPE_1</vt:lpstr>
      <vt:lpstr>'x-412'!TABLE_FACTOR_TYPE_1</vt:lpstr>
      <vt:lpstr>'x-413'!TABLE_FACTOR_TYPE_1</vt:lpstr>
      <vt:lpstr>'x-414'!TABLE_FACTOR_TYPE_1</vt:lpstr>
      <vt:lpstr>'x-415'!TABLE_FACTOR_TYPE_1</vt:lpstr>
      <vt:lpstr>'x-416'!TABLE_FACTOR_TYPE_1</vt:lpstr>
      <vt:lpstr>'x-417'!TABLE_FACTOR_TYPE_1</vt:lpstr>
      <vt:lpstr>'x-418'!TABLE_FACTOR_TYPE_1</vt:lpstr>
      <vt:lpstr>'x-419'!TABLE_FACTOR_TYPE_1</vt:lpstr>
      <vt:lpstr>'x-420'!TABLE_FACTOR_TYPE_1</vt:lpstr>
      <vt:lpstr>'x-421'!TABLE_FACTOR_TYPE_1</vt:lpstr>
      <vt:lpstr>'x-501'!TABLE_FACTOR_TYPE_1</vt:lpstr>
      <vt:lpstr>'x-502'!TABLE_FACTOR_TYPE_1</vt:lpstr>
      <vt:lpstr>'x-503'!TABLE_FACTOR_TYPE_1</vt:lpstr>
      <vt:lpstr>'x-504'!TABLE_FACTOR_TYPE_1</vt:lpstr>
      <vt:lpstr>'x-505'!TABLE_FACTOR_TYPE_1</vt:lpstr>
      <vt:lpstr>'x-601'!TABLE_FACTOR_TYPE_1</vt:lpstr>
      <vt:lpstr>'x-602'!TABLE_FACTOR_TYPE_1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'x-616'!TABLE_FACTOR_TYPE_1</vt:lpstr>
      <vt:lpstr>'x-617'!TABLE_FACTOR_TYPE_1</vt:lpstr>
      <vt:lpstr>'x-701'!TABLE_FACTOR_TYPE_1</vt:lpstr>
      <vt:lpstr>'x-702'!TABLE_FACTOR_TYPE_1</vt:lpstr>
      <vt:lpstr>'x-703'!TABLE_FACTOR_TYPE_1</vt:lpstr>
      <vt:lpstr>'x-704'!TABLE_FACTOR_TYPE_1</vt:lpstr>
      <vt:lpstr>'x-705'!TABLE_FACTOR_TYPE_1</vt:lpstr>
      <vt:lpstr>'x-706'!TABLE_FACTOR_TYPE_1</vt:lpstr>
      <vt:lpstr>'x-707'!TABLE_FACTOR_TYPE_1</vt:lpstr>
      <vt:lpstr>'x-708'!TABLE_FACTOR_TYPE_1</vt:lpstr>
      <vt:lpstr>'x-709'!TABLE_FACTOR_TYPE_1</vt:lpstr>
      <vt:lpstr>'x-710'!TABLE_FACTOR_TYPE_1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'x-721'!TABLE_FACTOR_TYPE_1</vt:lpstr>
      <vt:lpstr>'x-725'!TABLE_FACTOR_TYPE_1</vt:lpstr>
      <vt:lpstr>'x-726'!TABLE_FACTOR_TYPE_1</vt:lpstr>
      <vt:lpstr>'x-727'!TABLE_FACTOR_TYPE_1</vt:lpstr>
      <vt:lpstr>'x-728'!TABLE_FACTOR_TYPE_1</vt:lpstr>
      <vt:lpstr>'x-729'!TABLE_FACTOR_TYPE_1</vt:lpstr>
      <vt:lpstr>'x-730'!TABLE_FACTOR_TYPE_1</vt:lpstr>
      <vt:lpstr>'x-731'!TABLE_FACTOR_TYPE_1</vt:lpstr>
      <vt:lpstr>'x-732'!TABLE_FACTOR_TYPE_1</vt:lpstr>
      <vt:lpstr>'x-733'!TABLE_FACTOR_TYPE_1</vt:lpstr>
      <vt:lpstr>'x-734'!TABLE_FACTOR_TYPE_1</vt:lpstr>
      <vt:lpstr>'x-735'!TABLE_FACTOR_TYPE_1</vt:lpstr>
      <vt:lpstr>'x-736'!TABLE_FACTOR_TYPE_1</vt:lpstr>
      <vt:lpstr>'x-801'!TABLE_FACTOR_TYPE_1</vt:lpstr>
      <vt:lpstr>'x-802'!TABLE_FACTOR_TYPE_1</vt:lpstr>
      <vt:lpstr>'x-803'!TABLE_FACTOR_TYPE_1</vt:lpstr>
      <vt:lpstr>'x-804'!TABLE_FACTOR_TYPE_1</vt:lpstr>
      <vt:lpstr>'x-805'!TABLE_FACTOR_TYPE_1</vt:lpstr>
      <vt:lpstr>'x-806'!TABLE_FACTOR_TYPE_1</vt:lpstr>
      <vt:lpstr>'x-807'!TABLE_FACTOR_TYPE_1</vt:lpstr>
      <vt:lpstr>'x-808'!TABLE_FACTOR_TYPE_1</vt:lpstr>
      <vt:lpstr>'x-810'!TABLE_FACTOR_TYPE_1</vt:lpstr>
      <vt:lpstr>'x-811'!TABLE_FACTOR_TYPE_1</vt:lpstr>
      <vt:lpstr>'x-812'!TABLE_FACTOR_TYPE_1</vt:lpstr>
      <vt:lpstr>'x-813'!TABLE_FACTOR_TYPE_1</vt:lpstr>
      <vt:lpstr>'x-814'!TABLE_FACTOR_TYPE_1</vt:lpstr>
      <vt:lpstr>'x-815'!TABLE_FACTOR_TYPE_1</vt:lpstr>
      <vt:lpstr>'x-816'!TABLE_FACTOR_TYPE_1</vt:lpstr>
      <vt:lpstr>'x-305'!TABLE_FACTOR_TYPE_2</vt:lpstr>
      <vt:lpstr>'x-409'!TABLE_FACTOR_TYPE_2</vt:lpstr>
      <vt:lpstr>'x-413'!TABLE_FACTOR_TYPE_2</vt:lpstr>
      <vt:lpstr>'x-607'!TABLE_FACTOR_TYPE_2</vt:lpstr>
      <vt:lpstr>'x-730'!TABLE_FACTOR_TYPE_2</vt:lpstr>
      <vt:lpstr>'x-733'!TABLE_FACTOR_TYPE_2</vt:lpstr>
      <vt:lpstr>'x-730'!TABLE_FACTOR_TYPE_3</vt:lpstr>
      <vt:lpstr>'x-733'!TABLE_FACTOR_TYPE_3</vt:lpstr>
      <vt:lpstr>'x-730'!TABLE_FACTOR_TYPE_4</vt:lpstr>
      <vt:lpstr>'x-733'!TABLE_FACTOR_TYPE_4</vt:lpstr>
      <vt:lpstr>'x-201'!TABLE_GENDER_1</vt:lpstr>
      <vt:lpstr>'x-202'!TABLE_GENDER_1</vt:lpstr>
      <vt:lpstr>'x-203'!TABLE_GENDER_1</vt:lpstr>
      <vt:lpstr>'x-204'!TABLE_GENDER_1</vt:lpstr>
      <vt:lpstr>'x-205'!TABLE_GENDER_1</vt:lpstr>
      <vt:lpstr>'x-207'!TABLE_GENDER_1</vt:lpstr>
      <vt:lpstr>'x-208'!TABLE_GENDER_1</vt:lpstr>
      <vt:lpstr>'x-209'!TABLE_GENDER_1</vt:lpstr>
      <vt:lpstr>'x-211'!TABLE_GENDER_1</vt:lpstr>
      <vt:lpstr>'x-212'!TABLE_GENDER_1</vt:lpstr>
      <vt:lpstr>'x-213'!TABLE_GENDER_1</vt:lpstr>
      <vt:lpstr>'x-214'!TABLE_GENDER_1</vt:lpstr>
      <vt:lpstr>'x-215'!TABLE_GENDER_1</vt:lpstr>
      <vt:lpstr>'x-216'!TABLE_GENDER_1</vt:lpstr>
      <vt:lpstr>'x-217'!TABLE_GENDER_1</vt:lpstr>
      <vt:lpstr>'x-218'!TABLE_GENDER_1</vt:lpstr>
      <vt:lpstr>'x-223'!TABLE_GENDER_1</vt:lpstr>
      <vt:lpstr>'x-301'!TABLE_GENDER_1</vt:lpstr>
      <vt:lpstr>'x-302'!TABLE_GENDER_1</vt:lpstr>
      <vt:lpstr>'x-303'!TABLE_GENDER_1</vt:lpstr>
      <vt:lpstr>'x-304'!TABLE_GENDER_1</vt:lpstr>
      <vt:lpstr>'x-305'!TABLE_GENDER_1</vt:lpstr>
      <vt:lpstr>'x-306'!TABLE_GENDER_1</vt:lpstr>
      <vt:lpstr>'x-307'!TABLE_GENDER_1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'x-410'!TABLE_GENDER_1</vt:lpstr>
      <vt:lpstr>'x-411'!TABLE_GENDER_1</vt:lpstr>
      <vt:lpstr>'x-412'!TABLE_GENDER_1</vt:lpstr>
      <vt:lpstr>'x-413'!TABLE_GENDER_1</vt:lpstr>
      <vt:lpstr>'x-414'!TABLE_GENDER_1</vt:lpstr>
      <vt:lpstr>'x-415'!TABLE_GENDER_1</vt:lpstr>
      <vt:lpstr>'x-416'!TABLE_GENDER_1</vt:lpstr>
      <vt:lpstr>'x-417'!TABLE_GENDER_1</vt:lpstr>
      <vt:lpstr>'x-418'!TABLE_GENDER_1</vt:lpstr>
      <vt:lpstr>'x-419'!TABLE_GENDER_1</vt:lpstr>
      <vt:lpstr>'x-420'!TABLE_GENDER_1</vt:lpstr>
      <vt:lpstr>'x-421'!TABLE_GENDER_1</vt:lpstr>
      <vt:lpstr>'x-501'!TABLE_GENDER_1</vt:lpstr>
      <vt:lpstr>'x-502'!TABLE_GENDER_1</vt:lpstr>
      <vt:lpstr>'x-503'!TABLE_GENDER_1</vt:lpstr>
      <vt:lpstr>'x-504'!TABLE_GENDER_1</vt:lpstr>
      <vt:lpstr>'x-505'!TABLE_GENDER_1</vt:lpstr>
      <vt:lpstr>'x-601'!TABLE_GENDER_1</vt:lpstr>
      <vt:lpstr>'x-602'!TABLE_GENDER_1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'x-616'!TABLE_GENDER_1</vt:lpstr>
      <vt:lpstr>'x-617'!TABLE_GENDER_1</vt:lpstr>
      <vt:lpstr>'x-701'!TABLE_GENDER_1</vt:lpstr>
      <vt:lpstr>'x-702'!TABLE_GENDER_1</vt:lpstr>
      <vt:lpstr>'x-703'!TABLE_GENDER_1</vt:lpstr>
      <vt:lpstr>'x-704'!TABLE_GENDER_1</vt:lpstr>
      <vt:lpstr>'x-705'!TABLE_GENDER_1</vt:lpstr>
      <vt:lpstr>'x-706'!TABLE_GENDER_1</vt:lpstr>
      <vt:lpstr>'x-707'!TABLE_GENDER_1</vt:lpstr>
      <vt:lpstr>'x-708'!TABLE_GENDER_1</vt:lpstr>
      <vt:lpstr>'x-709'!TABLE_GENDER_1</vt:lpstr>
      <vt:lpstr>'x-710'!TABLE_GENDER_1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'x-721'!TABLE_GENDER_1</vt:lpstr>
      <vt:lpstr>'x-725'!TABLE_GENDER_1</vt:lpstr>
      <vt:lpstr>'x-726'!TABLE_GENDER_1</vt:lpstr>
      <vt:lpstr>'x-727'!TABLE_GENDER_1</vt:lpstr>
      <vt:lpstr>'x-728'!TABLE_GENDER_1</vt:lpstr>
      <vt:lpstr>'x-729'!TABLE_GENDER_1</vt:lpstr>
      <vt:lpstr>'x-730'!TABLE_GENDER_1</vt:lpstr>
      <vt:lpstr>'x-731'!TABLE_GENDER_1</vt:lpstr>
      <vt:lpstr>'x-732'!TABLE_GENDER_1</vt:lpstr>
      <vt:lpstr>'x-733'!TABLE_GENDER_1</vt:lpstr>
      <vt:lpstr>'x-734'!TABLE_GENDER_1</vt:lpstr>
      <vt:lpstr>'x-735'!TABLE_GENDER_1</vt:lpstr>
      <vt:lpstr>'x-736'!TABLE_GENDER_1</vt:lpstr>
      <vt:lpstr>'x-801'!TABLE_GENDER_1</vt:lpstr>
      <vt:lpstr>'x-802'!TABLE_GENDER_1</vt:lpstr>
      <vt:lpstr>'x-803'!TABLE_GENDER_1</vt:lpstr>
      <vt:lpstr>'x-804'!TABLE_GENDER_1</vt:lpstr>
      <vt:lpstr>'x-805'!TABLE_GENDER_1</vt:lpstr>
      <vt:lpstr>'x-806'!TABLE_GENDER_1</vt:lpstr>
      <vt:lpstr>'x-807'!TABLE_GENDER_1</vt:lpstr>
      <vt:lpstr>'x-808'!TABLE_GENDER_1</vt:lpstr>
      <vt:lpstr>'x-810'!TABLE_GENDER_1</vt:lpstr>
      <vt:lpstr>'x-811'!TABLE_GENDER_1</vt:lpstr>
      <vt:lpstr>'x-812'!TABLE_GENDER_1</vt:lpstr>
      <vt:lpstr>'x-813'!TABLE_GENDER_1</vt:lpstr>
      <vt:lpstr>'x-814'!TABLE_GENDER_1</vt:lpstr>
      <vt:lpstr>'x-815'!TABLE_GENDER_1</vt:lpstr>
      <vt:lpstr>'x-816'!TABLE_GENDER_1</vt:lpstr>
      <vt:lpstr>'x-305'!TABLE_GENDER_2</vt:lpstr>
      <vt:lpstr>'x-409'!TABLE_GENDER_2</vt:lpstr>
      <vt:lpstr>'x-413'!TABLE_GENDER_2</vt:lpstr>
      <vt:lpstr>'x-607'!TABLE_GENDER_2</vt:lpstr>
      <vt:lpstr>'x-730'!TABLE_GENDER_2</vt:lpstr>
      <vt:lpstr>'x-733'!TABLE_GENDER_2</vt:lpstr>
      <vt:lpstr>'x-730'!TABLE_GENDER_3</vt:lpstr>
      <vt:lpstr>'x-733'!TABLE_GENDER_3</vt:lpstr>
      <vt:lpstr>'x-730'!TABLE_GENDER_4</vt:lpstr>
      <vt:lpstr>'x-733'!TABLE_GENDER_4</vt:lpstr>
      <vt:lpstr>'x-201'!TABLE_INFO_1</vt:lpstr>
      <vt:lpstr>'x-202'!TABLE_INFO_1</vt:lpstr>
      <vt:lpstr>'x-203'!TABLE_INFO_1</vt:lpstr>
      <vt:lpstr>'x-204'!TABLE_INFO_1</vt:lpstr>
      <vt:lpstr>'x-205'!TABLE_INFO_1</vt:lpstr>
      <vt:lpstr>'x-207'!TABLE_INFO_1</vt:lpstr>
      <vt:lpstr>'x-208'!TABLE_INFO_1</vt:lpstr>
      <vt:lpstr>'x-209'!TABLE_INFO_1</vt:lpstr>
      <vt:lpstr>'x-211'!TABLE_INFO_1</vt:lpstr>
      <vt:lpstr>'x-212'!TABLE_INFO_1</vt:lpstr>
      <vt:lpstr>'x-213'!TABLE_INFO_1</vt:lpstr>
      <vt:lpstr>'x-214'!TABLE_INFO_1</vt:lpstr>
      <vt:lpstr>'x-215'!TABLE_INFO_1</vt:lpstr>
      <vt:lpstr>'x-216'!TABLE_INFO_1</vt:lpstr>
      <vt:lpstr>'x-217'!TABLE_INFO_1</vt:lpstr>
      <vt:lpstr>'x-218'!TABLE_INFO_1</vt:lpstr>
      <vt:lpstr>'x-223'!TABLE_INFO_1</vt:lpstr>
      <vt:lpstr>'x-301'!TABLE_INFO_1</vt:lpstr>
      <vt:lpstr>'x-302'!TABLE_INFO_1</vt:lpstr>
      <vt:lpstr>'x-303'!TABLE_INFO_1</vt:lpstr>
      <vt:lpstr>'x-304'!TABLE_INFO_1</vt:lpstr>
      <vt:lpstr>'x-305'!TABLE_INFO_1</vt:lpstr>
      <vt:lpstr>'x-306'!TABLE_INFO_1</vt:lpstr>
      <vt:lpstr>'x-307'!TABLE_INFO_1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'x-410'!TABLE_INFO_1</vt:lpstr>
      <vt:lpstr>'x-411'!TABLE_INFO_1</vt:lpstr>
      <vt:lpstr>'x-412'!TABLE_INFO_1</vt:lpstr>
      <vt:lpstr>'x-413'!TABLE_INFO_1</vt:lpstr>
      <vt:lpstr>'x-414'!TABLE_INFO_1</vt:lpstr>
      <vt:lpstr>'x-415'!TABLE_INFO_1</vt:lpstr>
      <vt:lpstr>'x-416'!TABLE_INFO_1</vt:lpstr>
      <vt:lpstr>'x-417'!TABLE_INFO_1</vt:lpstr>
      <vt:lpstr>'x-418'!TABLE_INFO_1</vt:lpstr>
      <vt:lpstr>'x-419'!TABLE_INFO_1</vt:lpstr>
      <vt:lpstr>'x-420'!TABLE_INFO_1</vt:lpstr>
      <vt:lpstr>'x-421'!TABLE_INFO_1</vt:lpstr>
      <vt:lpstr>'x-501'!TABLE_INFO_1</vt:lpstr>
      <vt:lpstr>'x-502'!TABLE_INFO_1</vt:lpstr>
      <vt:lpstr>'x-503'!TABLE_INFO_1</vt:lpstr>
      <vt:lpstr>'x-504'!TABLE_INFO_1</vt:lpstr>
      <vt:lpstr>'x-505'!TABLE_INFO_1</vt:lpstr>
      <vt:lpstr>'x-601'!TABLE_INFO_1</vt:lpstr>
      <vt:lpstr>'x-602'!TABLE_INFO_1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'x-616'!TABLE_INFO_1</vt:lpstr>
      <vt:lpstr>'x-617'!TABLE_INFO_1</vt:lpstr>
      <vt:lpstr>'x-701'!TABLE_INFO_1</vt:lpstr>
      <vt:lpstr>'x-702'!TABLE_INFO_1</vt:lpstr>
      <vt:lpstr>'x-703'!TABLE_INFO_1</vt:lpstr>
      <vt:lpstr>'x-704'!TABLE_INFO_1</vt:lpstr>
      <vt:lpstr>'x-705'!TABLE_INFO_1</vt:lpstr>
      <vt:lpstr>'x-706'!TABLE_INFO_1</vt:lpstr>
      <vt:lpstr>'x-707'!TABLE_INFO_1</vt:lpstr>
      <vt:lpstr>'x-708'!TABLE_INFO_1</vt:lpstr>
      <vt:lpstr>'x-709'!TABLE_INFO_1</vt:lpstr>
      <vt:lpstr>'x-710'!TABLE_INFO_1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'x-721'!TABLE_INFO_1</vt:lpstr>
      <vt:lpstr>'x-725'!TABLE_INFO_1</vt:lpstr>
      <vt:lpstr>'x-726'!TABLE_INFO_1</vt:lpstr>
      <vt:lpstr>'x-727'!TABLE_INFO_1</vt:lpstr>
      <vt:lpstr>'x-728'!TABLE_INFO_1</vt:lpstr>
      <vt:lpstr>'x-729'!TABLE_INFO_1</vt:lpstr>
      <vt:lpstr>'x-730'!TABLE_INFO_1</vt:lpstr>
      <vt:lpstr>'x-731'!TABLE_INFO_1</vt:lpstr>
      <vt:lpstr>'x-732'!TABLE_INFO_1</vt:lpstr>
      <vt:lpstr>'x-733'!TABLE_INFO_1</vt:lpstr>
      <vt:lpstr>'x-734'!TABLE_INFO_1</vt:lpstr>
      <vt:lpstr>'x-735'!TABLE_INFO_1</vt:lpstr>
      <vt:lpstr>'x-736'!TABLE_INFO_1</vt:lpstr>
      <vt:lpstr>'x-801'!TABLE_INFO_1</vt:lpstr>
      <vt:lpstr>'x-802'!TABLE_INFO_1</vt:lpstr>
      <vt:lpstr>'x-803'!TABLE_INFO_1</vt:lpstr>
      <vt:lpstr>'x-804'!TABLE_INFO_1</vt:lpstr>
      <vt:lpstr>'x-805'!TABLE_INFO_1</vt:lpstr>
      <vt:lpstr>'x-806'!TABLE_INFO_1</vt:lpstr>
      <vt:lpstr>'x-807'!TABLE_INFO_1</vt:lpstr>
      <vt:lpstr>'x-808'!TABLE_INFO_1</vt:lpstr>
      <vt:lpstr>'x-810'!TABLE_INFO_1</vt:lpstr>
      <vt:lpstr>'x-811'!TABLE_INFO_1</vt:lpstr>
      <vt:lpstr>'x-812'!TABLE_INFO_1</vt:lpstr>
      <vt:lpstr>'x-813'!TABLE_INFO_1</vt:lpstr>
      <vt:lpstr>'x-814'!TABLE_INFO_1</vt:lpstr>
      <vt:lpstr>'x-815'!TABLE_INFO_1</vt:lpstr>
      <vt:lpstr>'x-816'!TABLE_INFO_1</vt:lpstr>
      <vt:lpstr>'x-305'!TABLE_INFO_2</vt:lpstr>
      <vt:lpstr>'x-409'!TABLE_INFO_2</vt:lpstr>
      <vt:lpstr>'x-413'!TABLE_INFO_2</vt:lpstr>
      <vt:lpstr>'x-607'!TABLE_INFO_2</vt:lpstr>
      <vt:lpstr>'x-730'!TABLE_INFO_2</vt:lpstr>
      <vt:lpstr>'x-731'!TABLE_INFO_2</vt:lpstr>
      <vt:lpstr>'x-732'!TABLE_INFO_2</vt:lpstr>
      <vt:lpstr>'x-733'!TABLE_INFO_2</vt:lpstr>
      <vt:lpstr>'x-730'!TABLE_INFO_3</vt:lpstr>
      <vt:lpstr>'x-733'!TABLE_INFO_3</vt:lpstr>
      <vt:lpstr>'x-730'!TABLE_INFO_4</vt:lpstr>
      <vt:lpstr>'x-733'!TABLE_INFO_4</vt:lpstr>
      <vt:lpstr>'x-201'!TABLE_REFERENCE_1</vt:lpstr>
      <vt:lpstr>'x-202'!TABLE_REFERENCE_1</vt:lpstr>
      <vt:lpstr>'x-203'!TABLE_REFERENCE_1</vt:lpstr>
      <vt:lpstr>'x-204'!TABLE_REFERENCE_1</vt:lpstr>
      <vt:lpstr>'x-205'!TABLE_REFERENCE_1</vt:lpstr>
      <vt:lpstr>'x-207'!TABLE_REFERENCE_1</vt:lpstr>
      <vt:lpstr>'x-208'!TABLE_REFERENCE_1</vt:lpstr>
      <vt:lpstr>'x-209'!TABLE_REFERENCE_1</vt:lpstr>
      <vt:lpstr>'x-211'!TABLE_REFERENCE_1</vt:lpstr>
      <vt:lpstr>'x-212'!TABLE_REFERENCE_1</vt:lpstr>
      <vt:lpstr>'x-213'!TABLE_REFERENCE_1</vt:lpstr>
      <vt:lpstr>'x-214'!TABLE_REFERENCE_1</vt:lpstr>
      <vt:lpstr>'x-215'!TABLE_REFERENCE_1</vt:lpstr>
      <vt:lpstr>'x-216'!TABLE_REFERENCE_1</vt:lpstr>
      <vt:lpstr>'x-217'!TABLE_REFERENCE_1</vt:lpstr>
      <vt:lpstr>'x-218'!TABLE_REFERENCE_1</vt:lpstr>
      <vt:lpstr>'x-223'!TABLE_REFERENCE_1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'x-410'!TABLE_REFERENCE_1</vt:lpstr>
      <vt:lpstr>'x-411'!TABLE_REFERENCE_1</vt:lpstr>
      <vt:lpstr>'x-412'!TABLE_REFERENCE_1</vt:lpstr>
      <vt:lpstr>'x-413'!TABLE_REFERENCE_1</vt:lpstr>
      <vt:lpstr>'x-414'!TABLE_REFERENCE_1</vt:lpstr>
      <vt:lpstr>'x-415'!TABLE_REFERENCE_1</vt:lpstr>
      <vt:lpstr>'x-416'!TABLE_REFERENCE_1</vt:lpstr>
      <vt:lpstr>'x-417'!TABLE_REFERENCE_1</vt:lpstr>
      <vt:lpstr>'x-418'!TABLE_REFERENCE_1</vt:lpstr>
      <vt:lpstr>'x-419'!TABLE_REFERENCE_1</vt:lpstr>
      <vt:lpstr>'x-420'!TABLE_REFERENCE_1</vt:lpstr>
      <vt:lpstr>'x-421'!TABLE_REFERENCE_1</vt:lpstr>
      <vt:lpstr>'x-501'!TABLE_REFERENCE_1</vt:lpstr>
      <vt:lpstr>'x-502'!TABLE_REFERENCE_1</vt:lpstr>
      <vt:lpstr>'x-503'!TABLE_REFERENCE_1</vt:lpstr>
      <vt:lpstr>'x-504'!TABLE_REFERENCE_1</vt:lpstr>
      <vt:lpstr>'x-505'!TABLE_REFERENCE_1</vt:lpstr>
      <vt:lpstr>'x-601'!TABLE_REFERENCE_1</vt:lpstr>
      <vt:lpstr>'x-602'!TABLE_REFERENCE_1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'x-616'!TABLE_REFERENCE_1</vt:lpstr>
      <vt:lpstr>'x-617'!TABLE_REFERENCE_1</vt:lpstr>
      <vt:lpstr>'x-701'!TABLE_REFERENCE_1</vt:lpstr>
      <vt:lpstr>'x-702'!TABLE_REFERENCE_1</vt:lpstr>
      <vt:lpstr>'x-703'!TABLE_REFERENCE_1</vt:lpstr>
      <vt:lpstr>'x-704'!TABLE_REFERENCE_1</vt:lpstr>
      <vt:lpstr>'x-705'!TABLE_REFERENCE_1</vt:lpstr>
      <vt:lpstr>'x-706'!TABLE_REFERENCE_1</vt:lpstr>
      <vt:lpstr>'x-707'!TABLE_REFERENCE_1</vt:lpstr>
      <vt:lpstr>'x-708'!TABLE_REFERENCE_1</vt:lpstr>
      <vt:lpstr>'x-709'!TABLE_REFERENCE_1</vt:lpstr>
      <vt:lpstr>'x-710'!TABLE_REFERENCE_1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'x-721'!TABLE_REFERENCE_1</vt:lpstr>
      <vt:lpstr>'x-725'!TABLE_REFERENCE_1</vt:lpstr>
      <vt:lpstr>'x-726'!TABLE_REFERENCE_1</vt:lpstr>
      <vt:lpstr>'x-727'!TABLE_REFERENCE_1</vt:lpstr>
      <vt:lpstr>'x-728'!TABLE_REFERENCE_1</vt:lpstr>
      <vt:lpstr>'x-729'!TABLE_REFERENCE_1</vt:lpstr>
      <vt:lpstr>'x-730'!TABLE_REFERENCE_1</vt:lpstr>
      <vt:lpstr>'x-731'!TABLE_REFERENCE_1</vt:lpstr>
      <vt:lpstr>'x-732'!TABLE_REFERENCE_1</vt:lpstr>
      <vt:lpstr>'x-733'!TABLE_REFERENCE_1</vt:lpstr>
      <vt:lpstr>'x-734'!TABLE_REFERENCE_1</vt:lpstr>
      <vt:lpstr>'x-735'!TABLE_REFERENCE_1</vt:lpstr>
      <vt:lpstr>'x-736'!TABLE_REFERENCE_1</vt:lpstr>
      <vt:lpstr>'x-801'!TABLE_REFERENCE_1</vt:lpstr>
      <vt:lpstr>'x-802'!TABLE_REFERENCE_1</vt:lpstr>
      <vt:lpstr>'x-803'!TABLE_REFERENCE_1</vt:lpstr>
      <vt:lpstr>'x-804'!TABLE_REFERENCE_1</vt:lpstr>
      <vt:lpstr>'x-805'!TABLE_REFERENCE_1</vt:lpstr>
      <vt:lpstr>'x-806'!TABLE_REFERENCE_1</vt:lpstr>
      <vt:lpstr>'x-807'!TABLE_REFERENCE_1</vt:lpstr>
      <vt:lpstr>'x-808'!TABLE_REFERENCE_1</vt:lpstr>
      <vt:lpstr>'x-810'!TABLE_REFERENCE_1</vt:lpstr>
      <vt:lpstr>'x-811'!TABLE_REFERENCE_1</vt:lpstr>
      <vt:lpstr>'x-812'!TABLE_REFERENCE_1</vt:lpstr>
      <vt:lpstr>'x-813'!TABLE_REFERENCE_1</vt:lpstr>
      <vt:lpstr>'x-814'!TABLE_REFERENCE_1</vt:lpstr>
      <vt:lpstr>'x-815'!TABLE_REFERENCE_1</vt:lpstr>
      <vt:lpstr>'x-816'!TABLE_REFERENCE_1</vt:lpstr>
      <vt:lpstr>'x-305'!TABLE_REFERENCE_2</vt:lpstr>
      <vt:lpstr>'x-409'!TABLE_REFERENCE_2</vt:lpstr>
      <vt:lpstr>'x-413'!TABLE_REFERENCE_2</vt:lpstr>
      <vt:lpstr>'x-607'!TABLE_REFERENCE_2</vt:lpstr>
      <vt:lpstr>'x-730'!TABLE_REFERENCE_2</vt:lpstr>
      <vt:lpstr>'x-733'!TABLE_REFERENCE_2</vt:lpstr>
      <vt:lpstr>'x-730'!TABLE_REFERENCE_3</vt:lpstr>
      <vt:lpstr>'x-733'!TABLE_REFERENCE_3</vt:lpstr>
      <vt:lpstr>'x-730'!TABLE_REFERENCE_4</vt:lpstr>
      <vt:lpstr>'x-733'!TABLE_REFERENCE_4</vt:lpstr>
      <vt:lpstr>'x-201'!TABLE_REFERENCE_GUIDANCE_1</vt:lpstr>
      <vt:lpstr>'x-202'!TABLE_REFERENCE_GUIDANCE_1</vt:lpstr>
      <vt:lpstr>'x-203'!TABLE_REFERENCE_GUIDANCE_1</vt:lpstr>
      <vt:lpstr>'x-204'!TABLE_REFERENCE_GUIDANCE_1</vt:lpstr>
      <vt:lpstr>'x-205'!TABLE_REFERENCE_GUIDANCE_1</vt:lpstr>
      <vt:lpstr>'x-207'!TABLE_REFERENCE_GUIDANCE_1</vt:lpstr>
      <vt:lpstr>'x-208'!TABLE_REFERENCE_GUIDANCE_1</vt:lpstr>
      <vt:lpstr>'x-209'!TABLE_REFERENCE_GUIDANCE_1</vt:lpstr>
      <vt:lpstr>'x-211'!TABLE_REFERENCE_GUIDANCE_1</vt:lpstr>
      <vt:lpstr>'x-212'!TABLE_REFERENCE_GUIDANCE_1</vt:lpstr>
      <vt:lpstr>'x-213'!TABLE_REFERENCE_GUIDANCE_1</vt:lpstr>
      <vt:lpstr>'x-214'!TABLE_REFERENCE_GUIDANCE_1</vt:lpstr>
      <vt:lpstr>'x-215'!TABLE_REFERENCE_GUIDANCE_1</vt:lpstr>
      <vt:lpstr>'x-216'!TABLE_REFERENCE_GUIDANCE_1</vt:lpstr>
      <vt:lpstr>'x-217'!TABLE_REFERENCE_GUIDANCE_1</vt:lpstr>
      <vt:lpstr>'x-218'!TABLE_REFERENCE_GUIDANCE_1</vt:lpstr>
      <vt:lpstr>'x-223'!TABLE_REFERENCE_GUIDANCE_1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'x-410'!TABLE_REFERENCE_GUIDANCE_1</vt:lpstr>
      <vt:lpstr>'x-411'!TABLE_REFERENCE_GUIDANCE_1</vt:lpstr>
      <vt:lpstr>'x-412'!TABLE_REFERENCE_GUIDANCE_1</vt:lpstr>
      <vt:lpstr>'x-413'!TABLE_REFERENCE_GUIDANCE_1</vt:lpstr>
      <vt:lpstr>'x-414'!TABLE_REFERENCE_GUIDANCE_1</vt:lpstr>
      <vt:lpstr>'x-415'!TABLE_REFERENCE_GUIDANCE_1</vt:lpstr>
      <vt:lpstr>'x-416'!TABLE_REFERENCE_GUIDANCE_1</vt:lpstr>
      <vt:lpstr>'x-417'!TABLE_REFERENCE_GUIDANCE_1</vt:lpstr>
      <vt:lpstr>'x-418'!TABLE_REFERENCE_GUIDANCE_1</vt:lpstr>
      <vt:lpstr>'x-419'!TABLE_REFERENCE_GUIDANCE_1</vt:lpstr>
      <vt:lpstr>'x-420'!TABLE_REFERENCE_GUIDANCE_1</vt:lpstr>
      <vt:lpstr>'x-421'!TABLE_REFERENCE_GUIDANCE_1</vt:lpstr>
      <vt:lpstr>'x-501'!TABLE_REFERENCE_GUIDANCE_1</vt:lpstr>
      <vt:lpstr>'x-502'!TABLE_REFERENCE_GUIDANCE_1</vt:lpstr>
      <vt:lpstr>'x-503'!TABLE_REFERENCE_GUIDANCE_1</vt:lpstr>
      <vt:lpstr>'x-504'!TABLE_REFERENCE_GUIDANCE_1</vt:lpstr>
      <vt:lpstr>'x-505'!TABLE_REFERENCE_GUIDANCE_1</vt:lpstr>
      <vt:lpstr>'x-601'!TABLE_REFERENCE_GUIDANCE_1</vt:lpstr>
      <vt:lpstr>'x-602'!TABLE_REFERENCE_GUIDANCE_1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'x-616'!TABLE_REFERENCE_GUIDANCE_1</vt:lpstr>
      <vt:lpstr>'x-617'!TABLE_REFERENCE_GUIDANCE_1</vt:lpstr>
      <vt:lpstr>'x-701'!TABLE_REFERENCE_GUIDANCE_1</vt:lpstr>
      <vt:lpstr>'x-702'!TABLE_REFERENCE_GUIDANCE_1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'x-709'!TABLE_REFERENCE_GUIDANCE_1</vt:lpstr>
      <vt:lpstr>'x-710'!TABLE_REFERENCE_GUIDANCE_1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'x-721'!TABLE_REFERENCE_GUIDANCE_1</vt:lpstr>
      <vt:lpstr>'x-725'!TABLE_REFERENCE_GUIDANCE_1</vt:lpstr>
      <vt:lpstr>'x-726'!TABLE_REFERENCE_GUIDANCE_1</vt:lpstr>
      <vt:lpstr>'x-727'!TABLE_REFERENCE_GUIDANCE_1</vt:lpstr>
      <vt:lpstr>'x-728'!TABLE_REFERENCE_GUIDANCE_1</vt:lpstr>
      <vt:lpstr>'x-729'!TABLE_REFERENCE_GUIDANCE_1</vt:lpstr>
      <vt:lpstr>'x-730'!TABLE_REFERENCE_GUIDANCE_1</vt:lpstr>
      <vt:lpstr>'x-731'!TABLE_REFERENCE_GUIDANCE_1</vt:lpstr>
      <vt:lpstr>'x-732'!TABLE_REFERENCE_GUIDANCE_1</vt:lpstr>
      <vt:lpstr>'x-733'!TABLE_REFERENCE_GUIDANCE_1</vt:lpstr>
      <vt:lpstr>'x-734'!TABLE_REFERENCE_GUIDANCE_1</vt:lpstr>
      <vt:lpstr>'x-735'!TABLE_REFERENCE_GUIDANCE_1</vt:lpstr>
      <vt:lpstr>'x-736'!TABLE_REFERENCE_GUIDANCE_1</vt:lpstr>
      <vt:lpstr>'x-801'!TABLE_REFERENCE_GUIDANCE_1</vt:lpstr>
      <vt:lpstr>'x-802'!TABLE_REFERENCE_GUIDANCE_1</vt:lpstr>
      <vt:lpstr>'x-803'!TABLE_REFERENCE_GUIDANCE_1</vt:lpstr>
      <vt:lpstr>'x-804'!TABLE_REFERENCE_GUIDANCE_1</vt:lpstr>
      <vt:lpstr>'x-805'!TABLE_REFERENCE_GUIDANCE_1</vt:lpstr>
      <vt:lpstr>'x-806'!TABLE_REFERENCE_GUIDANCE_1</vt:lpstr>
      <vt:lpstr>'x-807'!TABLE_REFERENCE_GUIDANCE_1</vt:lpstr>
      <vt:lpstr>'x-808'!TABLE_REFERENCE_GUIDANCE_1</vt:lpstr>
      <vt:lpstr>'x-810'!TABLE_REFERENCE_GUIDANCE_1</vt:lpstr>
      <vt:lpstr>'x-811'!TABLE_REFERENCE_GUIDANCE_1</vt:lpstr>
      <vt:lpstr>'x-812'!TABLE_REFERENCE_GUIDANCE_1</vt:lpstr>
      <vt:lpstr>'x-813'!TABLE_REFERENCE_GUIDANCE_1</vt:lpstr>
      <vt:lpstr>'x-814'!TABLE_REFERENCE_GUIDANCE_1</vt:lpstr>
      <vt:lpstr>'x-815'!TABLE_REFERENCE_GUIDANCE_1</vt:lpstr>
      <vt:lpstr>'x-816'!TABLE_REFERENCE_GUIDANCE_1</vt:lpstr>
      <vt:lpstr>'x-305'!TABLE_REFERENCE_GUIDANCE_2</vt:lpstr>
      <vt:lpstr>'x-409'!TABLE_REFERENCE_GUIDANCE_2</vt:lpstr>
      <vt:lpstr>'x-413'!TABLE_REFERENCE_GUIDANCE_2</vt:lpstr>
      <vt:lpstr>'x-607'!TABLE_REFERENCE_GUIDANCE_2</vt:lpstr>
      <vt:lpstr>'x-730'!TABLE_REFERENCE_GUIDANCE_2</vt:lpstr>
      <vt:lpstr>'x-733'!TABLE_REFERENCE_GUIDANCE_2</vt:lpstr>
      <vt:lpstr>'x-730'!TABLE_REFERENCE_GUIDANCE_3</vt:lpstr>
      <vt:lpstr>'x-733'!TABLE_REFERENCE_GUIDANCE_3</vt:lpstr>
      <vt:lpstr>'x-730'!TABLE_REFERENCE_GUIDANCE_4</vt:lpstr>
      <vt:lpstr>'x-733'!TABLE_REFERENCE_GUIDANCE_4</vt:lpstr>
      <vt:lpstr>'x-201'!TABLE_RELATED_1</vt:lpstr>
      <vt:lpstr>'x-202'!TABLE_RELATED_1</vt:lpstr>
      <vt:lpstr>'x-203'!TABLE_RELATED_1</vt:lpstr>
      <vt:lpstr>'x-204'!TABLE_RELATED_1</vt:lpstr>
      <vt:lpstr>'x-205'!TABLE_RELATED_1</vt:lpstr>
      <vt:lpstr>'x-207'!TABLE_RELATED_1</vt:lpstr>
      <vt:lpstr>'x-208'!TABLE_RELATED_1</vt:lpstr>
      <vt:lpstr>'x-209'!TABLE_RELATED_1</vt:lpstr>
      <vt:lpstr>'x-211'!TABLE_RELATED_1</vt:lpstr>
      <vt:lpstr>'x-212'!TABLE_RELATED_1</vt:lpstr>
      <vt:lpstr>'x-213'!TABLE_RELATED_1</vt:lpstr>
      <vt:lpstr>'x-214'!TABLE_RELATED_1</vt:lpstr>
      <vt:lpstr>'x-215'!TABLE_RELATED_1</vt:lpstr>
      <vt:lpstr>'x-216'!TABLE_RELATED_1</vt:lpstr>
      <vt:lpstr>'x-217'!TABLE_RELATED_1</vt:lpstr>
      <vt:lpstr>'x-218'!TABLE_RELATED_1</vt:lpstr>
      <vt:lpstr>'x-223'!TABLE_RELATED_1</vt:lpstr>
      <vt:lpstr>'x-301'!TABLE_RELATED_1</vt:lpstr>
      <vt:lpstr>'x-302'!TABLE_RELATED_1</vt:lpstr>
      <vt:lpstr>'x-303'!TABLE_RELATED_1</vt:lpstr>
      <vt:lpstr>'x-304'!TABLE_RELATED_1</vt:lpstr>
      <vt:lpstr>'x-305'!TABLE_RELATED_1</vt:lpstr>
      <vt:lpstr>'x-306'!TABLE_RELATED_1</vt:lpstr>
      <vt:lpstr>'x-307'!TABLE_RELATED_1</vt:lpstr>
      <vt:lpstr>'x-401'!TABLE_RELATED_1</vt:lpstr>
      <vt:lpstr>'x-402'!TABLE_RELATED_1</vt:lpstr>
      <vt:lpstr>'x-403'!TABLE_RELATED_1</vt:lpstr>
      <vt:lpstr>'x-404'!TABLE_RELATED_1</vt:lpstr>
      <vt:lpstr>'x-405'!TABLE_RELATED_1</vt:lpstr>
      <vt:lpstr>'x-406'!TABLE_RELATED_1</vt:lpstr>
      <vt:lpstr>'x-407'!TABLE_RELATED_1</vt:lpstr>
      <vt:lpstr>'x-408'!TABLE_RELATED_1</vt:lpstr>
      <vt:lpstr>'x-409'!TABLE_RELATED_1</vt:lpstr>
      <vt:lpstr>'x-410'!TABLE_RELATED_1</vt:lpstr>
      <vt:lpstr>'x-411'!TABLE_RELATED_1</vt:lpstr>
      <vt:lpstr>'x-412'!TABLE_RELATED_1</vt:lpstr>
      <vt:lpstr>'x-413'!TABLE_RELATED_1</vt:lpstr>
      <vt:lpstr>'x-414'!TABLE_RELATED_1</vt:lpstr>
      <vt:lpstr>'x-415'!TABLE_RELATED_1</vt:lpstr>
      <vt:lpstr>'x-416'!TABLE_RELATED_1</vt:lpstr>
      <vt:lpstr>'x-417'!TABLE_RELATED_1</vt:lpstr>
      <vt:lpstr>'x-418'!TABLE_RELATED_1</vt:lpstr>
      <vt:lpstr>'x-419'!TABLE_RELATED_1</vt:lpstr>
      <vt:lpstr>'x-420'!TABLE_RELATED_1</vt:lpstr>
      <vt:lpstr>'x-421'!TABLE_RELATED_1</vt:lpstr>
      <vt:lpstr>'x-501'!TABLE_RELATED_1</vt:lpstr>
      <vt:lpstr>'x-502'!TABLE_RELATED_1</vt:lpstr>
      <vt:lpstr>'x-503'!TABLE_RELATED_1</vt:lpstr>
      <vt:lpstr>'x-504'!TABLE_RELATED_1</vt:lpstr>
      <vt:lpstr>'x-505'!TABLE_RELATED_1</vt:lpstr>
      <vt:lpstr>'x-601'!TABLE_RELATED_1</vt:lpstr>
      <vt:lpstr>'x-602'!TABLE_RELATED_1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'x-616'!TABLE_RELATED_1</vt:lpstr>
      <vt:lpstr>'x-617'!TABLE_RELATED_1</vt:lpstr>
      <vt:lpstr>'x-701'!TABLE_RELATED_1</vt:lpstr>
      <vt:lpstr>'x-702'!TABLE_RELATED_1</vt:lpstr>
      <vt:lpstr>'x-703'!TABLE_RELATED_1</vt:lpstr>
      <vt:lpstr>'x-704'!TABLE_RELATED_1</vt:lpstr>
      <vt:lpstr>'x-705'!TABLE_RELATED_1</vt:lpstr>
      <vt:lpstr>'x-706'!TABLE_RELATED_1</vt:lpstr>
      <vt:lpstr>'x-707'!TABLE_RELATED_1</vt:lpstr>
      <vt:lpstr>'x-708'!TABLE_RELATED_1</vt:lpstr>
      <vt:lpstr>'x-709'!TABLE_RELATED_1</vt:lpstr>
      <vt:lpstr>'x-710'!TABLE_RELATED_1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'x-721'!TABLE_RELATED_1</vt:lpstr>
      <vt:lpstr>'x-725'!TABLE_RELATED_1</vt:lpstr>
      <vt:lpstr>'x-726'!TABLE_RELATED_1</vt:lpstr>
      <vt:lpstr>'x-727'!TABLE_RELATED_1</vt:lpstr>
      <vt:lpstr>'x-728'!TABLE_RELATED_1</vt:lpstr>
      <vt:lpstr>'x-729'!TABLE_RELATED_1</vt:lpstr>
      <vt:lpstr>'x-730'!TABLE_RELATED_1</vt:lpstr>
      <vt:lpstr>'x-731'!TABLE_RELATED_1</vt:lpstr>
      <vt:lpstr>'x-732'!TABLE_RELATED_1</vt:lpstr>
      <vt:lpstr>'x-733'!TABLE_RELATED_1</vt:lpstr>
      <vt:lpstr>'x-734'!TABLE_RELATED_1</vt:lpstr>
      <vt:lpstr>'x-735'!TABLE_RELATED_1</vt:lpstr>
      <vt:lpstr>'x-736'!TABLE_RELATED_1</vt:lpstr>
      <vt:lpstr>'x-801'!TABLE_RELATED_1</vt:lpstr>
      <vt:lpstr>'x-802'!TABLE_RELATED_1</vt:lpstr>
      <vt:lpstr>'x-803'!TABLE_RELATED_1</vt:lpstr>
      <vt:lpstr>'x-804'!TABLE_RELATED_1</vt:lpstr>
      <vt:lpstr>'x-805'!TABLE_RELATED_1</vt:lpstr>
      <vt:lpstr>'x-806'!TABLE_RELATED_1</vt:lpstr>
      <vt:lpstr>'x-807'!TABLE_RELATED_1</vt:lpstr>
      <vt:lpstr>'x-808'!TABLE_RELATED_1</vt:lpstr>
      <vt:lpstr>'x-810'!TABLE_RELATED_1</vt:lpstr>
      <vt:lpstr>'x-811'!TABLE_RELATED_1</vt:lpstr>
      <vt:lpstr>'x-812'!TABLE_RELATED_1</vt:lpstr>
      <vt:lpstr>'x-813'!TABLE_RELATED_1</vt:lpstr>
      <vt:lpstr>'x-814'!TABLE_RELATED_1</vt:lpstr>
      <vt:lpstr>'x-815'!TABLE_RELATED_1</vt:lpstr>
      <vt:lpstr>'x-816'!TABLE_RELATED_1</vt:lpstr>
      <vt:lpstr>'x-305'!TABLE_RELATED_2</vt:lpstr>
      <vt:lpstr>'x-409'!TABLE_RELATED_2</vt:lpstr>
      <vt:lpstr>'x-413'!TABLE_RELATED_2</vt:lpstr>
      <vt:lpstr>'x-607'!TABLE_RELATED_2</vt:lpstr>
      <vt:lpstr>'x-730'!TABLE_RELATED_2</vt:lpstr>
      <vt:lpstr>'x-733'!TABLE_RELATED_2</vt:lpstr>
      <vt:lpstr>'x-730'!TABLE_RELATED_3</vt:lpstr>
      <vt:lpstr>'x-733'!TABLE_RELATED_3</vt:lpstr>
      <vt:lpstr>'x-730'!TABLE_RELATED_4</vt:lpstr>
      <vt:lpstr>'x-733'!TABLE_RELATED_4</vt:lpstr>
      <vt:lpstr>'x-201'!TABLE_SECTION_1</vt:lpstr>
      <vt:lpstr>'x-202'!TABLE_SECTION_1</vt:lpstr>
      <vt:lpstr>'x-203'!TABLE_SECTION_1</vt:lpstr>
      <vt:lpstr>'x-204'!TABLE_SECTION_1</vt:lpstr>
      <vt:lpstr>'x-205'!TABLE_SECTION_1</vt:lpstr>
      <vt:lpstr>'x-207'!TABLE_SECTION_1</vt:lpstr>
      <vt:lpstr>'x-208'!TABLE_SECTION_1</vt:lpstr>
      <vt:lpstr>'x-209'!TABLE_SECTION_1</vt:lpstr>
      <vt:lpstr>'x-211'!TABLE_SECTION_1</vt:lpstr>
      <vt:lpstr>'x-212'!TABLE_SECTION_1</vt:lpstr>
      <vt:lpstr>'x-213'!TABLE_SECTION_1</vt:lpstr>
      <vt:lpstr>'x-214'!TABLE_SECTION_1</vt:lpstr>
      <vt:lpstr>'x-215'!TABLE_SECTION_1</vt:lpstr>
      <vt:lpstr>'x-216'!TABLE_SECTION_1</vt:lpstr>
      <vt:lpstr>'x-217'!TABLE_SECTION_1</vt:lpstr>
      <vt:lpstr>'x-218'!TABLE_SECTION_1</vt:lpstr>
      <vt:lpstr>'x-223'!TABLE_SECTION_1</vt:lpstr>
      <vt:lpstr>'x-301'!TABLE_SECTION_1</vt:lpstr>
      <vt:lpstr>'x-302'!TABLE_SECTION_1</vt:lpstr>
      <vt:lpstr>'x-303'!TABLE_SECTION_1</vt:lpstr>
      <vt:lpstr>'x-304'!TABLE_SECTION_1</vt:lpstr>
      <vt:lpstr>'x-305'!TABLE_SECTION_1</vt:lpstr>
      <vt:lpstr>'x-306'!TABLE_SECTION_1</vt:lpstr>
      <vt:lpstr>'x-307'!TABLE_SECTION_1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'x-410'!TABLE_SECTION_1</vt:lpstr>
      <vt:lpstr>'x-411'!TABLE_SECTION_1</vt:lpstr>
      <vt:lpstr>'x-412'!TABLE_SECTION_1</vt:lpstr>
      <vt:lpstr>'x-413'!TABLE_SECTION_1</vt:lpstr>
      <vt:lpstr>'x-414'!TABLE_SECTION_1</vt:lpstr>
      <vt:lpstr>'x-415'!TABLE_SECTION_1</vt:lpstr>
      <vt:lpstr>'x-416'!TABLE_SECTION_1</vt:lpstr>
      <vt:lpstr>'x-417'!TABLE_SECTION_1</vt:lpstr>
      <vt:lpstr>'x-418'!TABLE_SECTION_1</vt:lpstr>
      <vt:lpstr>'x-419'!TABLE_SECTION_1</vt:lpstr>
      <vt:lpstr>'x-420'!TABLE_SECTION_1</vt:lpstr>
      <vt:lpstr>'x-421'!TABLE_SECTION_1</vt:lpstr>
      <vt:lpstr>'x-501'!TABLE_SECTION_1</vt:lpstr>
      <vt:lpstr>'x-502'!TABLE_SECTION_1</vt:lpstr>
      <vt:lpstr>'x-503'!TABLE_SECTION_1</vt:lpstr>
      <vt:lpstr>'x-504'!TABLE_SECTION_1</vt:lpstr>
      <vt:lpstr>'x-505'!TABLE_SECTION_1</vt:lpstr>
      <vt:lpstr>'x-601'!TABLE_SECTION_1</vt:lpstr>
      <vt:lpstr>'x-602'!TABLE_SECTION_1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'x-616'!TABLE_SECTION_1</vt:lpstr>
      <vt:lpstr>'x-617'!TABLE_SECTION_1</vt:lpstr>
      <vt:lpstr>'x-701'!TABLE_SECTION_1</vt:lpstr>
      <vt:lpstr>'x-702'!TABLE_SECTION_1</vt:lpstr>
      <vt:lpstr>'x-703'!TABLE_SECTION_1</vt:lpstr>
      <vt:lpstr>'x-704'!TABLE_SECTION_1</vt:lpstr>
      <vt:lpstr>'x-705'!TABLE_SECTION_1</vt:lpstr>
      <vt:lpstr>'x-706'!TABLE_SECTION_1</vt:lpstr>
      <vt:lpstr>'x-707'!TABLE_SECTION_1</vt:lpstr>
      <vt:lpstr>'x-708'!TABLE_SECTION_1</vt:lpstr>
      <vt:lpstr>'x-709'!TABLE_SECTION_1</vt:lpstr>
      <vt:lpstr>'x-710'!TABLE_SECTION_1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'x-721'!TABLE_SECTION_1</vt:lpstr>
      <vt:lpstr>'x-725'!TABLE_SECTION_1</vt:lpstr>
      <vt:lpstr>'x-726'!TABLE_SECTION_1</vt:lpstr>
      <vt:lpstr>'x-727'!TABLE_SECTION_1</vt:lpstr>
      <vt:lpstr>'x-728'!TABLE_SECTION_1</vt:lpstr>
      <vt:lpstr>'x-729'!TABLE_SECTION_1</vt:lpstr>
      <vt:lpstr>'x-730'!TABLE_SECTION_1</vt:lpstr>
      <vt:lpstr>'x-731'!TABLE_SECTION_1</vt:lpstr>
      <vt:lpstr>'x-732'!TABLE_SECTION_1</vt:lpstr>
      <vt:lpstr>'x-733'!TABLE_SECTION_1</vt:lpstr>
      <vt:lpstr>'x-734'!TABLE_SECTION_1</vt:lpstr>
      <vt:lpstr>'x-735'!TABLE_SECTION_1</vt:lpstr>
      <vt:lpstr>'x-736'!TABLE_SECTION_1</vt:lpstr>
      <vt:lpstr>'x-801'!TABLE_SECTION_1</vt:lpstr>
      <vt:lpstr>'x-802'!TABLE_SECTION_1</vt:lpstr>
      <vt:lpstr>'x-803'!TABLE_SECTION_1</vt:lpstr>
      <vt:lpstr>'x-804'!TABLE_SECTION_1</vt:lpstr>
      <vt:lpstr>'x-805'!TABLE_SECTION_1</vt:lpstr>
      <vt:lpstr>'x-806'!TABLE_SECTION_1</vt:lpstr>
      <vt:lpstr>'x-807'!TABLE_SECTION_1</vt:lpstr>
      <vt:lpstr>'x-808'!TABLE_SECTION_1</vt:lpstr>
      <vt:lpstr>'x-810'!TABLE_SECTION_1</vt:lpstr>
      <vt:lpstr>'x-811'!TABLE_SECTION_1</vt:lpstr>
      <vt:lpstr>'x-812'!TABLE_SECTION_1</vt:lpstr>
      <vt:lpstr>'x-813'!TABLE_SECTION_1</vt:lpstr>
      <vt:lpstr>'x-814'!TABLE_SECTION_1</vt:lpstr>
      <vt:lpstr>'x-815'!TABLE_SECTION_1</vt:lpstr>
      <vt:lpstr>'x-816'!TABLE_SECTION_1</vt:lpstr>
      <vt:lpstr>'x-305'!TABLE_SECTION_2</vt:lpstr>
      <vt:lpstr>'x-409'!TABLE_SECTION_2</vt:lpstr>
      <vt:lpstr>'x-413'!TABLE_SECTION_2</vt:lpstr>
      <vt:lpstr>'x-607'!TABLE_SECTION_2</vt:lpstr>
      <vt:lpstr>'x-730'!TABLE_SECTION_2</vt:lpstr>
      <vt:lpstr>'x-733'!TABLE_SECTION_2</vt:lpstr>
      <vt:lpstr>'x-730'!TABLE_SECTION_3</vt:lpstr>
      <vt:lpstr>'x-733'!TABLE_SECTION_3</vt:lpstr>
      <vt:lpstr>'x-730'!TABLE_SECTION_4</vt:lpstr>
      <vt:lpstr>'x-733'!TABLE_SECTION_4</vt:lpstr>
      <vt:lpstr>'x-201'!TABLE_SECTION_NUMBER_1</vt:lpstr>
      <vt:lpstr>'x-202'!TABLE_SECTION_NUMBER_1</vt:lpstr>
      <vt:lpstr>'x-203'!TABLE_SECTION_NUMBER_1</vt:lpstr>
      <vt:lpstr>'x-204'!TABLE_SECTION_NUMBER_1</vt:lpstr>
      <vt:lpstr>'x-205'!TABLE_SECTION_NUMBER_1</vt:lpstr>
      <vt:lpstr>'x-207'!TABLE_SECTION_NUMBER_1</vt:lpstr>
      <vt:lpstr>'x-208'!TABLE_SECTION_NUMBER_1</vt:lpstr>
      <vt:lpstr>'x-209'!TABLE_SECTION_NUMBER_1</vt:lpstr>
      <vt:lpstr>'x-211'!TABLE_SECTION_NUMBER_1</vt:lpstr>
      <vt:lpstr>'x-212'!TABLE_SECTION_NUMBER_1</vt:lpstr>
      <vt:lpstr>'x-213'!TABLE_SECTION_NUMBER_1</vt:lpstr>
      <vt:lpstr>'x-214'!TABLE_SECTION_NUMBER_1</vt:lpstr>
      <vt:lpstr>'x-215'!TABLE_SECTION_NUMBER_1</vt:lpstr>
      <vt:lpstr>'x-216'!TABLE_SECTION_NUMBER_1</vt:lpstr>
      <vt:lpstr>'x-217'!TABLE_SECTION_NUMBER_1</vt:lpstr>
      <vt:lpstr>'x-218'!TABLE_SECTION_NUMBER_1</vt:lpstr>
      <vt:lpstr>'x-223'!TABLE_SECTION_NUMBER_1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'x-410'!TABLE_SECTION_NUMBER_1</vt:lpstr>
      <vt:lpstr>'x-411'!TABLE_SECTION_NUMBER_1</vt:lpstr>
      <vt:lpstr>'x-412'!TABLE_SECTION_NUMBER_1</vt:lpstr>
      <vt:lpstr>'x-413'!TABLE_SECTION_NUMBER_1</vt:lpstr>
      <vt:lpstr>'x-414'!TABLE_SECTION_NUMBER_1</vt:lpstr>
      <vt:lpstr>'x-415'!TABLE_SECTION_NUMBER_1</vt:lpstr>
      <vt:lpstr>'x-416'!TABLE_SECTION_NUMBER_1</vt:lpstr>
      <vt:lpstr>'x-417'!TABLE_SECTION_NUMBER_1</vt:lpstr>
      <vt:lpstr>'x-418'!TABLE_SECTION_NUMBER_1</vt:lpstr>
      <vt:lpstr>'x-419'!TABLE_SECTION_NUMBER_1</vt:lpstr>
      <vt:lpstr>'x-420'!TABLE_SECTION_NUMBER_1</vt:lpstr>
      <vt:lpstr>'x-421'!TABLE_SECTION_NUMBER_1</vt:lpstr>
      <vt:lpstr>'x-501'!TABLE_SECTION_NUMBER_1</vt:lpstr>
      <vt:lpstr>'x-502'!TABLE_SECTION_NUMBER_1</vt:lpstr>
      <vt:lpstr>'x-503'!TABLE_SECTION_NUMBER_1</vt:lpstr>
      <vt:lpstr>'x-504'!TABLE_SECTION_NUMBER_1</vt:lpstr>
      <vt:lpstr>'x-505'!TABLE_SECTION_NUMBER_1</vt:lpstr>
      <vt:lpstr>'x-601'!TABLE_SECTION_NUMBER_1</vt:lpstr>
      <vt:lpstr>'x-602'!TABLE_SECTION_NUMBER_1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'x-616'!TABLE_SECTION_NUMBER_1</vt:lpstr>
      <vt:lpstr>'x-617'!TABLE_SECTION_NUMBER_1</vt:lpstr>
      <vt:lpstr>'x-701'!TABLE_SECTION_NUMBER_1</vt:lpstr>
      <vt:lpstr>'x-702'!TABLE_SECTION_NUMBER_1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'x-709'!TABLE_SECTION_NUMBER_1</vt:lpstr>
      <vt:lpstr>'x-710'!TABLE_SECTION_NUMBER_1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'x-721'!TABLE_SECTION_NUMBER_1</vt:lpstr>
      <vt:lpstr>'x-725'!TABLE_SECTION_NUMBER_1</vt:lpstr>
      <vt:lpstr>'x-726'!TABLE_SECTION_NUMBER_1</vt:lpstr>
      <vt:lpstr>'x-727'!TABLE_SECTION_NUMBER_1</vt:lpstr>
      <vt:lpstr>'x-728'!TABLE_SECTION_NUMBER_1</vt:lpstr>
      <vt:lpstr>'x-729'!TABLE_SECTION_NUMBER_1</vt:lpstr>
      <vt:lpstr>'x-730'!TABLE_SECTION_NUMBER_1</vt:lpstr>
      <vt:lpstr>'x-731'!TABLE_SECTION_NUMBER_1</vt:lpstr>
      <vt:lpstr>'x-732'!TABLE_SECTION_NUMBER_1</vt:lpstr>
      <vt:lpstr>'x-733'!TABLE_SECTION_NUMBER_1</vt:lpstr>
      <vt:lpstr>'x-734'!TABLE_SECTION_NUMBER_1</vt:lpstr>
      <vt:lpstr>'x-735'!TABLE_SECTION_NUMBER_1</vt:lpstr>
      <vt:lpstr>'x-736'!TABLE_SECTION_NUMBER_1</vt:lpstr>
      <vt:lpstr>'x-801'!TABLE_SECTION_NUMBER_1</vt:lpstr>
      <vt:lpstr>'x-802'!TABLE_SECTION_NUMBER_1</vt:lpstr>
      <vt:lpstr>'x-803'!TABLE_SECTION_NUMBER_1</vt:lpstr>
      <vt:lpstr>'x-804'!TABLE_SECTION_NUMBER_1</vt:lpstr>
      <vt:lpstr>'x-805'!TABLE_SECTION_NUMBER_1</vt:lpstr>
      <vt:lpstr>'x-806'!TABLE_SECTION_NUMBER_1</vt:lpstr>
      <vt:lpstr>'x-807'!TABLE_SECTION_NUMBER_1</vt:lpstr>
      <vt:lpstr>'x-808'!TABLE_SECTION_NUMBER_1</vt:lpstr>
      <vt:lpstr>'x-810'!TABLE_SECTION_NUMBER_1</vt:lpstr>
      <vt:lpstr>'x-811'!TABLE_SECTION_NUMBER_1</vt:lpstr>
      <vt:lpstr>'x-812'!TABLE_SECTION_NUMBER_1</vt:lpstr>
      <vt:lpstr>'x-813'!TABLE_SECTION_NUMBER_1</vt:lpstr>
      <vt:lpstr>'x-814'!TABLE_SECTION_NUMBER_1</vt:lpstr>
      <vt:lpstr>'x-815'!TABLE_SECTION_NUMBER_1</vt:lpstr>
      <vt:lpstr>'x-816'!TABLE_SECTION_NUMBER_1</vt:lpstr>
      <vt:lpstr>'x-305'!TABLE_SECTION_NUMBER_2</vt:lpstr>
      <vt:lpstr>'x-409'!TABLE_SECTION_NUMBER_2</vt:lpstr>
      <vt:lpstr>'x-413'!TABLE_SECTION_NUMBER_2</vt:lpstr>
      <vt:lpstr>'x-607'!TABLE_SECTION_NUMBER_2</vt:lpstr>
      <vt:lpstr>'x-730'!TABLE_SECTION_NUMBER_2</vt:lpstr>
      <vt:lpstr>'x-733'!TABLE_SECTION_NUMBER_2</vt:lpstr>
      <vt:lpstr>'x-730'!TABLE_SECTION_NUMBER_3</vt:lpstr>
      <vt:lpstr>'x-733'!TABLE_SECTION_NUMBER_3</vt:lpstr>
      <vt:lpstr>'x-730'!TABLE_SECTION_NUMBER_4</vt:lpstr>
      <vt:lpstr>'x-733'!TABLE_SECTION_NUMBER_4</vt:lpstr>
      <vt:lpstr>'x-201'!TABLE_SERIES_NUMBER_1</vt:lpstr>
      <vt:lpstr>'x-202'!TABLE_SERIES_NUMBER_1</vt:lpstr>
      <vt:lpstr>'x-203'!TABLE_SERIES_NUMBER_1</vt:lpstr>
      <vt:lpstr>'x-204'!TABLE_SERIES_NUMBER_1</vt:lpstr>
      <vt:lpstr>'x-205'!TABLE_SERIES_NUMBER_1</vt:lpstr>
      <vt:lpstr>'x-207'!TABLE_SERIES_NUMBER_1</vt:lpstr>
      <vt:lpstr>'x-208'!TABLE_SERIES_NUMBER_1</vt:lpstr>
      <vt:lpstr>'x-209'!TABLE_SERIES_NUMBER_1</vt:lpstr>
      <vt:lpstr>'x-211'!TABLE_SERIES_NUMBER_1</vt:lpstr>
      <vt:lpstr>'x-212'!TABLE_SERIES_NUMBER_1</vt:lpstr>
      <vt:lpstr>'x-213'!TABLE_SERIES_NUMBER_1</vt:lpstr>
      <vt:lpstr>'x-214'!TABLE_SERIES_NUMBER_1</vt:lpstr>
      <vt:lpstr>'x-215'!TABLE_SERIES_NUMBER_1</vt:lpstr>
      <vt:lpstr>'x-216'!TABLE_SERIES_NUMBER_1</vt:lpstr>
      <vt:lpstr>'x-217'!TABLE_SERIES_NUMBER_1</vt:lpstr>
      <vt:lpstr>'x-218'!TABLE_SERIES_NUMBER_1</vt:lpstr>
      <vt:lpstr>'x-223'!TABLE_SERIES_NUMBER_1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'x-410'!TABLE_SERIES_NUMBER_1</vt:lpstr>
      <vt:lpstr>'x-411'!TABLE_SERIES_NUMBER_1</vt:lpstr>
      <vt:lpstr>'x-412'!TABLE_SERIES_NUMBER_1</vt:lpstr>
      <vt:lpstr>'x-413'!TABLE_SERIES_NUMBER_1</vt:lpstr>
      <vt:lpstr>'x-414'!TABLE_SERIES_NUMBER_1</vt:lpstr>
      <vt:lpstr>'x-415'!TABLE_SERIES_NUMBER_1</vt:lpstr>
      <vt:lpstr>'x-416'!TABLE_SERIES_NUMBER_1</vt:lpstr>
      <vt:lpstr>'x-417'!TABLE_SERIES_NUMBER_1</vt:lpstr>
      <vt:lpstr>'x-418'!TABLE_SERIES_NUMBER_1</vt:lpstr>
      <vt:lpstr>'x-419'!TABLE_SERIES_NUMBER_1</vt:lpstr>
      <vt:lpstr>'x-420'!TABLE_SERIES_NUMBER_1</vt:lpstr>
      <vt:lpstr>'x-421'!TABLE_SERIES_NUMBER_1</vt:lpstr>
      <vt:lpstr>'x-501'!TABLE_SERIES_NUMBER_1</vt:lpstr>
      <vt:lpstr>'x-502'!TABLE_SERIES_NUMBER_1</vt:lpstr>
      <vt:lpstr>'x-503'!TABLE_SERIES_NUMBER_1</vt:lpstr>
      <vt:lpstr>'x-504'!TABLE_SERIES_NUMBER_1</vt:lpstr>
      <vt:lpstr>'x-505'!TABLE_SERIES_NUMBER_1</vt:lpstr>
      <vt:lpstr>'x-601'!TABLE_SERIES_NUMBER_1</vt:lpstr>
      <vt:lpstr>'x-602'!TABLE_SERIES_NUMBER_1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'x-616'!TABLE_SERIES_NUMBER_1</vt:lpstr>
      <vt:lpstr>'x-617'!TABLE_SERIES_NUMBER_1</vt:lpstr>
      <vt:lpstr>'x-701'!TABLE_SERIES_NUMBER_1</vt:lpstr>
      <vt:lpstr>'x-702'!TABLE_SERIES_NUMBER_1</vt:lpstr>
      <vt:lpstr>'x-703'!TABLE_SERIES_NUMBER_1</vt:lpstr>
      <vt:lpstr>'x-704'!TABLE_SERIES_NUMBER_1</vt:lpstr>
      <vt:lpstr>'x-705'!TABLE_SERIES_NUMBER_1</vt:lpstr>
      <vt:lpstr>'x-706'!TABLE_SERIES_NUMBER_1</vt:lpstr>
      <vt:lpstr>'x-707'!TABLE_SERIES_NUMBER_1</vt:lpstr>
      <vt:lpstr>'x-708'!TABLE_SERIES_NUMBER_1</vt:lpstr>
      <vt:lpstr>'x-709'!TABLE_SERIES_NUMBER_1</vt:lpstr>
      <vt:lpstr>'x-710'!TABLE_SERIES_NUMBER_1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'x-721'!TABLE_SERIES_NUMBER_1</vt:lpstr>
      <vt:lpstr>'x-725'!TABLE_SERIES_NUMBER_1</vt:lpstr>
      <vt:lpstr>'x-726'!TABLE_SERIES_NUMBER_1</vt:lpstr>
      <vt:lpstr>'x-727'!TABLE_SERIES_NUMBER_1</vt:lpstr>
      <vt:lpstr>'x-728'!TABLE_SERIES_NUMBER_1</vt:lpstr>
      <vt:lpstr>'x-729'!TABLE_SERIES_NUMBER_1</vt:lpstr>
      <vt:lpstr>'x-730'!TABLE_SERIES_NUMBER_1</vt:lpstr>
      <vt:lpstr>'x-731'!TABLE_SERIES_NUMBER_1</vt:lpstr>
      <vt:lpstr>'x-732'!TABLE_SERIES_NUMBER_1</vt:lpstr>
      <vt:lpstr>'x-733'!TABLE_SERIES_NUMBER_1</vt:lpstr>
      <vt:lpstr>'x-734'!TABLE_SERIES_NUMBER_1</vt:lpstr>
      <vt:lpstr>'x-735'!TABLE_SERIES_NUMBER_1</vt:lpstr>
      <vt:lpstr>'x-736'!TABLE_SERIES_NUMBER_1</vt:lpstr>
      <vt:lpstr>'x-801'!TABLE_SERIES_NUMBER_1</vt:lpstr>
      <vt:lpstr>'x-802'!TABLE_SERIES_NUMBER_1</vt:lpstr>
      <vt:lpstr>'x-803'!TABLE_SERIES_NUMBER_1</vt:lpstr>
      <vt:lpstr>'x-804'!TABLE_SERIES_NUMBER_1</vt:lpstr>
      <vt:lpstr>'x-805'!TABLE_SERIES_NUMBER_1</vt:lpstr>
      <vt:lpstr>'x-806'!TABLE_SERIES_NUMBER_1</vt:lpstr>
      <vt:lpstr>'x-807'!TABLE_SERIES_NUMBER_1</vt:lpstr>
      <vt:lpstr>'x-808'!TABLE_SERIES_NUMBER_1</vt:lpstr>
      <vt:lpstr>'x-810'!TABLE_SERIES_NUMBER_1</vt:lpstr>
      <vt:lpstr>'x-811'!TABLE_SERIES_NUMBER_1</vt:lpstr>
      <vt:lpstr>'x-812'!TABLE_SERIES_NUMBER_1</vt:lpstr>
      <vt:lpstr>'x-813'!TABLE_SERIES_NUMBER_1</vt:lpstr>
      <vt:lpstr>'x-814'!TABLE_SERIES_NUMBER_1</vt:lpstr>
      <vt:lpstr>'x-815'!TABLE_SERIES_NUMBER_1</vt:lpstr>
      <vt:lpstr>'x-816'!TABLE_SERIES_NUMBER_1</vt:lpstr>
      <vt:lpstr>'x-305'!TABLE_SERIES_NUMBER_2</vt:lpstr>
      <vt:lpstr>'x-409'!TABLE_SERIES_NUMBER_2</vt:lpstr>
      <vt:lpstr>'x-413'!TABLE_SERIES_NUMBER_2</vt:lpstr>
      <vt:lpstr>'x-607'!TABLE_SERIES_NUMBER_2</vt:lpstr>
      <vt:lpstr>'x-730'!TABLE_SERIES_NUMBER_2</vt:lpstr>
      <vt:lpstr>'x-733'!TABLE_SERIES_NUMBER_2</vt:lpstr>
      <vt:lpstr>'x-730'!TABLE_SERIES_NUMBER_3</vt:lpstr>
      <vt:lpstr>'x-733'!TABLE_SERIES_NUMBER_3</vt:lpstr>
      <vt:lpstr>'x-730'!TABLE_SERIES_NUMBER_4</vt:lpstr>
      <vt:lpstr>'x-733'!TABLE_SERIES_NUMBER_4</vt:lpstr>
      <vt:lpstr>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 GB Consolidated Factors 2025-02.xlsm</dc:title>
  <dc:subject/>
  <dc:creator>Brian Allan</dc:creator>
  <cp:keywords/>
  <dc:description/>
  <cp:lastModifiedBy>Colley, Peter - GAD</cp:lastModifiedBy>
  <cp:revision/>
  <dcterms:created xsi:type="dcterms:W3CDTF">2007-01-30T12:07:56Z</dcterms:created>
  <dcterms:modified xsi:type="dcterms:W3CDTF">2026-03-16T14:54:52Z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8ae46cf6-b823-48d6-8400-59242cfd0056</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