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codeName="ThisWorkbook"/>
  <mc:AlternateContent xmlns:mc="http://schemas.openxmlformats.org/markup-compatibility/2006">
    <mc:Choice Requires="x15">
      <x15ac:absPath xmlns:x15ac="http://schemas.microsoft.com/office/spreadsheetml/2010/11/ac" url="C:\Users\PColley2\Downloads\"/>
    </mc:Choice>
  </mc:AlternateContent>
  <xr:revisionPtr revIDLastSave="0" documentId="13_ncr:1_{530144BC-5969-48FB-A383-FA567D6A4B72}" xr6:coauthVersionLast="47" xr6:coauthVersionMax="47" xr10:uidLastSave="{00000000-0000-0000-0000-000000000000}"/>
  <bookViews>
    <workbookView xWindow="-96" yWindow="0" windowWidth="15552" windowHeight="16656" activeTab="2" xr2:uid="{7DD00B2F-69E2-480A-BE47-F1731112D8E8}"/>
  </bookViews>
  <sheets>
    <sheet name="Cover" sheetId="1" r:id="rId1"/>
    <sheet name="Purpose of spreadsheet" sheetId="77" r:id="rId2"/>
    <sheet name="Version Control" sheetId="78" r:id="rId3"/>
    <sheet name="Summary - PCSPS_NI" sheetId="85" state="hidden" r:id="rId4"/>
    <sheet name="AnnGenHiddenLists" sheetId="103" state="hidden" r:id="rId5"/>
    <sheet name="Factor List" sheetId="55" r:id="rId6"/>
    <sheet name="x-Series Number" sheetId="102" state="hidden" r:id="rId7"/>
    <sheet name="Assumptions" sheetId="279" r:id="rId8"/>
    <sheet name="x-001" sheetId="136" r:id="rId9"/>
    <sheet name="x-201" sheetId="120" r:id="rId10"/>
    <sheet name="x-202" sheetId="121" r:id="rId11"/>
    <sheet name="x-203" sheetId="122" r:id="rId12"/>
    <sheet name="x-204" sheetId="123" r:id="rId13"/>
    <sheet name="x-206" sheetId="125" r:id="rId14"/>
    <sheet name="x-207" sheetId="126" r:id="rId15"/>
    <sheet name="x-208" sheetId="127" r:id="rId16"/>
    <sheet name="x-210" sheetId="129" r:id="rId17"/>
    <sheet name="x-211" sheetId="130" r:id="rId18"/>
    <sheet name="x-214" sheetId="212" r:id="rId19"/>
    <sheet name="x-215" sheetId="213" r:id="rId20"/>
    <sheet name="x-216" sheetId="214" r:id="rId21"/>
    <sheet name="x-217" sheetId="215" r:id="rId22"/>
    <sheet name="x-301" sheetId="131" r:id="rId23"/>
    <sheet name="x-302" sheetId="132" r:id="rId24"/>
    <sheet name="x-303" sheetId="133" r:id="rId25"/>
    <sheet name="x-304" sheetId="134" r:id="rId26"/>
    <sheet name="x-305" sheetId="138" r:id="rId27"/>
    <sheet name="x-306" sheetId="139" r:id="rId28"/>
    <sheet name="x-307" sheetId="140" r:id="rId29"/>
    <sheet name="x-308" sheetId="141" r:id="rId30"/>
    <sheet name="x-401" sheetId="179" r:id="rId31"/>
    <sheet name="x-402" sheetId="180" r:id="rId32"/>
    <sheet name="x-403" sheetId="181" r:id="rId33"/>
    <sheet name="x-404" sheetId="182" r:id="rId34"/>
    <sheet name="x-405" sheetId="183" r:id="rId35"/>
    <sheet name="x-406" sheetId="184" r:id="rId36"/>
    <sheet name="x-407" sheetId="185" r:id="rId37"/>
    <sheet name="x-408" sheetId="186" r:id="rId38"/>
    <sheet name="x-409" sheetId="187" r:id="rId39"/>
    <sheet name="x-410" sheetId="188" r:id="rId40"/>
    <sheet name="x-411" sheetId="189" r:id="rId41"/>
    <sheet name="x-412" sheetId="190" r:id="rId42"/>
    <sheet name="x-413" sheetId="191" r:id="rId43"/>
    <sheet name="x-416" sheetId="194" r:id="rId44"/>
    <sheet name="x-417" sheetId="195" r:id="rId45"/>
    <sheet name="x-418" sheetId="196" r:id="rId46"/>
    <sheet name="x-419" sheetId="197" r:id="rId47"/>
    <sheet name="x-420" sheetId="198" r:id="rId48"/>
    <sheet name="x-421" sheetId="192" r:id="rId49"/>
    <sheet name="x-422" sheetId="266" r:id="rId50"/>
    <sheet name="x-423" sheetId="267" r:id="rId51"/>
    <sheet name="x-424" sheetId="193" r:id="rId52"/>
    <sheet name="x-501" sheetId="142" r:id="rId53"/>
    <sheet name="x-502" sheetId="143" r:id="rId54"/>
    <sheet name="x-503" sheetId="144" r:id="rId55"/>
    <sheet name="x-504" sheetId="280" r:id="rId56"/>
    <sheet name="x-601" sheetId="221" r:id="rId57"/>
    <sheet name="x-603" sheetId="230" r:id="rId58"/>
    <sheet name="x-604" sheetId="231" r:id="rId59"/>
    <sheet name="x-605" sheetId="222" r:id="rId60"/>
    <sheet name="x-606" sheetId="223" r:id="rId61"/>
    <sheet name="x-607" sheetId="224" r:id="rId62"/>
    <sheet name="x-608" sheetId="225" r:id="rId63"/>
    <sheet name="x-610" sheetId="226" r:id="rId64"/>
    <sheet name="x-611" sheetId="227" r:id="rId65"/>
    <sheet name="x-612" sheetId="228" r:id="rId66"/>
    <sheet name="x-613" sheetId="229" r:id="rId67"/>
    <sheet name="x-701" sheetId="163" r:id="rId68"/>
    <sheet name="x-702" sheetId="164" r:id="rId69"/>
    <sheet name="x-703" sheetId="165" r:id="rId70"/>
    <sheet name="x-704" sheetId="166" r:id="rId71"/>
    <sheet name="x-705" sheetId="167" r:id="rId72"/>
    <sheet name="x-706" sheetId="168" r:id="rId73"/>
    <sheet name="x-707" sheetId="169" r:id="rId74"/>
    <sheet name="x-708" sheetId="170" r:id="rId75"/>
    <sheet name="x-709" sheetId="171" r:id="rId76"/>
    <sheet name="x-710" sheetId="172" r:id="rId77"/>
    <sheet name="x-711" sheetId="173" r:id="rId78"/>
    <sheet name="x-717" sheetId="207" r:id="rId79"/>
    <sheet name="x-718" sheetId="208" r:id="rId80"/>
    <sheet name="x-719" sheetId="209" r:id="rId81"/>
    <sheet name="x-720" sheetId="210" r:id="rId82"/>
    <sheet name="x-721" sheetId="268" r:id="rId83"/>
    <sheet name="x-722" sheetId="248" r:id="rId84"/>
    <sheet name="x-723" sheetId="249" r:id="rId85"/>
    <sheet name="x-724" sheetId="250" r:id="rId86"/>
    <sheet name="x-725" sheetId="251" r:id="rId87"/>
    <sheet name="x-726" sheetId="252" r:id="rId88"/>
    <sheet name="x-727" sheetId="253" r:id="rId89"/>
    <sheet name="x-728" sheetId="254" r:id="rId90"/>
    <sheet name="x-729" sheetId="255" r:id="rId91"/>
    <sheet name="x-811" sheetId="274" r:id="rId92"/>
    <sheet name="x-812" sheetId="275" r:id="rId93"/>
    <sheet name="x-813" sheetId="276" r:id="rId94"/>
    <sheet name="x-814" sheetId="277" r:id="rId95"/>
    <sheet name="x-815" sheetId="281" r:id="rId96"/>
  </sheets>
  <externalReferences>
    <externalReference r:id="rId97"/>
    <externalReference r:id="rId98"/>
    <externalReference r:id="rId99"/>
  </externalReferences>
  <definedNames>
    <definedName name="_xlnm._FilterDatabase" localSheetId="5" hidden="1">'Factor List'!$A$7:$W$103</definedName>
    <definedName name="age_rng">#REF!</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 localSheetId="55">'[1]Factor List'!#REF!</definedName>
    <definedName name="FACTOR_LIST_FACTOR_STATUS">'Factor List'!#REF!</definedName>
    <definedName name="FACTOR_LIST_FACTOR_TYPE">'Factor List'!$D$7</definedName>
    <definedName name="FACTOR_LIST_GENDER">'Factor List'!$F$7</definedName>
    <definedName name="FACTOR_LIST_HEADINGS">'Factor List'!$B$7:$Q$7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List'!#REF!</definedName>
    <definedName name="FACTOR_LIST_TABLE_ID">'Factor List'!#REF!</definedName>
    <definedName name="FACTOR_LIST_TIMESTAMP">'Factor List'!$Q$7</definedName>
    <definedName name="FACTOR_LIST_USER_ID">'Factor List'!#REF!</definedName>
    <definedName name="factor_table">#REF!</definedName>
    <definedName name="_xlnm.Print_Area" localSheetId="3">'Summary - PCSPS_NI'!$A$1:$K$224</definedName>
    <definedName name="_xlnm.Print_Area" localSheetId="8">'x-001'!$A$27:$N$49</definedName>
    <definedName name="_xlnm.Print_Area" localSheetId="9">'x-201'!$A$26:$J$48</definedName>
    <definedName name="_xlnm.Print_Area" localSheetId="10">'x-202'!$A$26:$J$48</definedName>
    <definedName name="_xlnm.Print_Area" localSheetId="11">'x-203'!$A$26:$J$48</definedName>
    <definedName name="_xlnm.Print_Area" localSheetId="12">'x-204'!$A$26:$J$48</definedName>
    <definedName name="_xlnm.Print_Area" localSheetId="13">'x-206'!$A$26:$J$48</definedName>
    <definedName name="_xlnm.Print_Area" localSheetId="14">'x-207'!$A$26:$J$48</definedName>
    <definedName name="_xlnm.Print_Area" localSheetId="15">'x-208'!$A$26:$J$48</definedName>
    <definedName name="_xlnm.Print_Area" localSheetId="16">'x-210'!$A$26:$N$48</definedName>
    <definedName name="_xlnm.Print_Area" localSheetId="17">'x-211'!$A$26:$N$48</definedName>
    <definedName name="_xlnm.Print_Area" localSheetId="18">'x-214'!$A$26:$J$48</definedName>
    <definedName name="_xlnm.Print_Area" localSheetId="19">'x-215'!$A$26:$J$48</definedName>
    <definedName name="_xlnm.Print_Area" localSheetId="20">'x-216'!$A$26:$J$48</definedName>
    <definedName name="_xlnm.Print_Area" localSheetId="21">'x-217'!$A$26:$J$48</definedName>
    <definedName name="_xlnm.Print_Area" localSheetId="22">'x-301'!$A$26:$N$48</definedName>
    <definedName name="_xlnm.Print_Area" localSheetId="23">'x-302'!$A$26:$N$48</definedName>
    <definedName name="_xlnm.Print_Area" localSheetId="24">'x-303'!$A$26:$N$48</definedName>
    <definedName name="_xlnm.Print_Area" localSheetId="25">'x-304'!$A$26:$N$48</definedName>
    <definedName name="_xlnm.Print_Area" localSheetId="26">'x-305'!$A$26:$N$48</definedName>
    <definedName name="_xlnm.Print_Area" localSheetId="27">'x-306'!$A$26:$N$48</definedName>
    <definedName name="_xlnm.Print_Area" localSheetId="28">'x-307'!$A$26:$N$48</definedName>
    <definedName name="_xlnm.Print_Area" localSheetId="29">'x-308'!$A$26:$N$48</definedName>
    <definedName name="_xlnm.Print_Area" localSheetId="30">'x-401'!$A$26:$N$48</definedName>
    <definedName name="_xlnm.Print_Area" localSheetId="31">'x-402'!$A$26:$N$48</definedName>
    <definedName name="_xlnm.Print_Area" localSheetId="32">'x-403'!$A$26:$N$48</definedName>
    <definedName name="_xlnm.Print_Area" localSheetId="33">'x-404'!$A$26:$N$48</definedName>
    <definedName name="_xlnm.Print_Area" localSheetId="34">'x-405'!$A$26:$N$48</definedName>
    <definedName name="_xlnm.Print_Area" localSheetId="35">'x-406'!$A$26:$N$48</definedName>
    <definedName name="_xlnm.Print_Area" localSheetId="36">'x-407'!$A$26:$N$48</definedName>
    <definedName name="_xlnm.Print_Area" localSheetId="37">'x-408'!$A$26:$N$48</definedName>
    <definedName name="_xlnm.Print_Area" localSheetId="38">'x-409'!$A$26:$N$48</definedName>
    <definedName name="_xlnm.Print_Area" localSheetId="39">'x-410'!$A$26:$N$48</definedName>
    <definedName name="_xlnm.Print_Area" localSheetId="40">'x-411'!$A$26:$N$48</definedName>
    <definedName name="_xlnm.Print_Area" localSheetId="41">'x-412'!$A$26:$N$48</definedName>
    <definedName name="_xlnm.Print_Area" localSheetId="42">'x-413'!$A$26:$N$48</definedName>
    <definedName name="_xlnm.Print_Area" localSheetId="43">'x-416'!$A$26:$N$48</definedName>
    <definedName name="_xlnm.Print_Area" localSheetId="44">'x-417'!$A$26:$N$48</definedName>
    <definedName name="_xlnm.Print_Area" localSheetId="45">'x-418'!$A$26:$I$48</definedName>
    <definedName name="_xlnm.Print_Area" localSheetId="46">'x-419'!$A$26:$I$48</definedName>
    <definedName name="_xlnm.Print_Area" localSheetId="47">'x-420'!$A$26:$N$46</definedName>
    <definedName name="_xlnm.Print_Area" localSheetId="48">'x-421'!$A$26:$Q$38</definedName>
    <definedName name="_xlnm.Print_Area" localSheetId="49">'x-422'!$A$26:$Q$38</definedName>
    <definedName name="_xlnm.Print_Area" localSheetId="50">'x-423'!$A$26:$Q$29</definedName>
    <definedName name="_xlnm.Print_Area" localSheetId="51">'x-424'!$A$26:$Q$29</definedName>
    <definedName name="_xlnm.Print_Area" localSheetId="52">'x-501'!$A$26:$N$43</definedName>
    <definedName name="_xlnm.Print_Area" localSheetId="53">'x-502'!$A$26:$N$48</definedName>
    <definedName name="_xlnm.Print_Area" localSheetId="54">'x-503'!$A$26:$M$41</definedName>
    <definedName name="_xlnm.Print_Area" localSheetId="55">'x-504'!$A$26:$K$48</definedName>
    <definedName name="_xlnm.Print_Area" localSheetId="56">'x-601'!$A$26:$N$48</definedName>
    <definedName name="_xlnm.Print_Area" localSheetId="57">'x-603'!$A$26:$C$47</definedName>
    <definedName name="_xlnm.Print_Area" localSheetId="58">'x-604'!$A$26:$N$48</definedName>
    <definedName name="_xlnm.Print_Area" localSheetId="59">'x-605'!$A$26:$N$48</definedName>
    <definedName name="_xlnm.Print_Area" localSheetId="60">'x-606'!$A$26:$N$48</definedName>
    <definedName name="_xlnm.Print_Area" localSheetId="61">'x-607'!$A$26:$N$48</definedName>
    <definedName name="_xlnm.Print_Area" localSheetId="62">'x-608'!$A$26:$N$48</definedName>
    <definedName name="_xlnm.Print_Area" localSheetId="63">'x-610'!$A$26:$N$47</definedName>
    <definedName name="_xlnm.Print_Area" localSheetId="64">'x-611'!$A$26:$N$48</definedName>
    <definedName name="_xlnm.Print_Area" localSheetId="65">'x-612'!$A$26:$N$48</definedName>
    <definedName name="_xlnm.Print_Area" localSheetId="66">'x-613'!$A$26:$N$48</definedName>
    <definedName name="_xlnm.Print_Area" localSheetId="67">'x-701'!$A$26:$N$48</definedName>
    <definedName name="_xlnm.Print_Area" localSheetId="68">'x-702'!$A$26:$N$48</definedName>
    <definedName name="_xlnm.Print_Area" localSheetId="69">'x-703'!$A$26:$N$48</definedName>
    <definedName name="_xlnm.Print_Area" localSheetId="70">'x-704'!$A$26:$N$48</definedName>
    <definedName name="_xlnm.Print_Area" localSheetId="71">'x-705'!$A$26:$N$48</definedName>
    <definedName name="_xlnm.Print_Area" localSheetId="72">'x-706'!$A$26:$N$48</definedName>
    <definedName name="_xlnm.Print_Area" localSheetId="73">'x-707'!$A$26:$N$48</definedName>
    <definedName name="_xlnm.Print_Area" localSheetId="74">'x-708'!$A$26:$N$48</definedName>
    <definedName name="_xlnm.Print_Area" localSheetId="75">'x-709'!$A$26:$N$48</definedName>
    <definedName name="_xlnm.Print_Area" localSheetId="76">'x-710'!$A$26:$N$48</definedName>
    <definedName name="_xlnm.Print_Area" localSheetId="77">'x-711'!$A$26:$N$48</definedName>
    <definedName name="_xlnm.Print_Area" localSheetId="78">'x-717'!$A$26:$N$48</definedName>
    <definedName name="_xlnm.Print_Area" localSheetId="79">'x-718'!$A$26:$N$48</definedName>
    <definedName name="_xlnm.Print_Area" localSheetId="80">'x-719'!$A$26:$N$48</definedName>
    <definedName name="_xlnm.Print_Area" localSheetId="81">'x-720'!$A$26:$N$48</definedName>
    <definedName name="_xlnm.Print_Area" localSheetId="82">'x-721'!$A$26:$N$48</definedName>
    <definedName name="_xlnm.Print_Area" localSheetId="83">'x-722'!$A$26:$N$48</definedName>
    <definedName name="_xlnm.Print_Area" localSheetId="84">'x-723'!$A$26:$N$48</definedName>
    <definedName name="_xlnm.Print_Area" localSheetId="85">'x-724'!$A$26:$N$48</definedName>
    <definedName name="_xlnm.Print_Area" localSheetId="86">'x-725'!$A$26:$N$48</definedName>
    <definedName name="_xlnm.Print_Area" localSheetId="87">'x-726'!$A$26:$N$48</definedName>
    <definedName name="_xlnm.Print_Area" localSheetId="88">'x-727'!$A$26:$N$48</definedName>
    <definedName name="_xlnm.Print_Area" localSheetId="89">'x-728'!$A$26:$N$48</definedName>
    <definedName name="_xlnm.Print_Area" localSheetId="90">'x-729'!$A$26:$I$48</definedName>
    <definedName name="_xlnm.Print_Area" localSheetId="91">'x-811'!$A$26:$I$47</definedName>
    <definedName name="_xlnm.Print_Area" localSheetId="92">'x-812'!$A$26:$I$76</definedName>
    <definedName name="_xlnm.Print_Area" localSheetId="93">'x-813'!$A$26:$I$46</definedName>
    <definedName name="_xlnm.Print_Area" localSheetId="94">'x-814'!$A$26:$I$76</definedName>
    <definedName name="_xlnm.Print_Area" localSheetId="95">'x-815'!$A$26:$I$37</definedName>
    <definedName name="_xlnm.Print_Area" localSheetId="6">'x-Series Number'!$A$25:$N$47</definedName>
    <definedName name="TABLE_AGE_DEF">'x-Series Number'!$B$12</definedName>
    <definedName name="TABLE_AGE_DEF_1" localSheetId="8">'x-001'!$B$12</definedName>
    <definedName name="TABLE_AGE_DEF_1" localSheetId="9">'x-201'!$B$12</definedName>
    <definedName name="TABLE_AGE_DEF_1" localSheetId="10">'x-202'!$B$12</definedName>
    <definedName name="TABLE_AGE_DEF_1" localSheetId="11">'x-203'!$B$12</definedName>
    <definedName name="TABLE_AGE_DEF_1" localSheetId="12">'x-204'!$B$12</definedName>
    <definedName name="TABLE_AGE_DEF_1" localSheetId="13">'x-206'!$B$12</definedName>
    <definedName name="TABLE_AGE_DEF_1" localSheetId="14">'x-207'!$B$12</definedName>
    <definedName name="TABLE_AGE_DEF_1" localSheetId="15">'x-208'!$B$12</definedName>
    <definedName name="TABLE_AGE_DEF_1" localSheetId="16">'x-210'!$B$12</definedName>
    <definedName name="TABLE_AGE_DEF_1" localSheetId="17">'x-211'!$B$12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'x-301'!$B$12</definedName>
    <definedName name="TABLE_AGE_DEF_1" localSheetId="23">'x-302'!$B$12</definedName>
    <definedName name="TABLE_AGE_DEF_1" localSheetId="24">'x-303'!$B$12</definedName>
    <definedName name="TABLE_AGE_DEF_1" localSheetId="25">'x-304'!$B$12</definedName>
    <definedName name="TABLE_AGE_DEF_1" localSheetId="26">'x-305'!$B$12</definedName>
    <definedName name="TABLE_AGE_DEF_1" localSheetId="27">'x-306'!$B$12</definedName>
    <definedName name="TABLE_AGE_DEF_1" localSheetId="28">'x-307'!$B$12</definedName>
    <definedName name="TABLE_AGE_DEF_1" localSheetId="29">'x-308'!$B$12</definedName>
    <definedName name="TABLE_AGE_DEF_1" localSheetId="30">'x-401'!$B$12</definedName>
    <definedName name="TABLE_AGE_DEF_1" localSheetId="31">'x-402'!$B$12</definedName>
    <definedName name="TABLE_AGE_DEF_1" localSheetId="32">'x-403'!$B$12</definedName>
    <definedName name="TABLE_AGE_DEF_1" localSheetId="33">'x-404'!$B$12</definedName>
    <definedName name="TABLE_AGE_DEF_1" localSheetId="34">'x-405'!$B$12</definedName>
    <definedName name="TABLE_AGE_DEF_1" localSheetId="35">'x-406'!$B$12</definedName>
    <definedName name="TABLE_AGE_DEF_1" localSheetId="36">'x-407'!$B$12</definedName>
    <definedName name="TABLE_AGE_DEF_1" localSheetId="37">'x-408'!$B$12</definedName>
    <definedName name="TABLE_AGE_DEF_1" localSheetId="38">'x-409'!$B$12</definedName>
    <definedName name="TABLE_AGE_DEF_1" localSheetId="39">'x-410'!$B$12</definedName>
    <definedName name="TABLE_AGE_DEF_1" localSheetId="40">'x-411'!$B$12</definedName>
    <definedName name="TABLE_AGE_DEF_1" localSheetId="41">'x-412'!$B$12</definedName>
    <definedName name="TABLE_AGE_DEF_1" localSheetId="42">'x-413'!$B$12</definedName>
    <definedName name="TABLE_AGE_DEF_1" localSheetId="43">'x-416'!$B$12</definedName>
    <definedName name="TABLE_AGE_DEF_1" localSheetId="44">'x-417'!$B$12</definedName>
    <definedName name="TABLE_AGE_DEF_1" localSheetId="45">'x-418'!$B$12</definedName>
    <definedName name="TABLE_AGE_DEF_1" localSheetId="46">'x-419'!$B$12</definedName>
    <definedName name="TABLE_AGE_DEF_1" localSheetId="47">'x-420'!$B$12</definedName>
    <definedName name="TABLE_AGE_DEF_1" localSheetId="48">'x-421'!$B$12</definedName>
    <definedName name="TABLE_AGE_DEF_1" localSheetId="49">'x-422'!$B$12</definedName>
    <definedName name="TABLE_AGE_DEF_1" localSheetId="50">'x-423'!$B$12</definedName>
    <definedName name="TABLE_AGE_DEF_1" localSheetId="51">'x-424'!$B$12</definedName>
    <definedName name="TABLE_AGE_DEF_1" localSheetId="52">'x-501'!$B$12</definedName>
    <definedName name="TABLE_AGE_DEF_1" localSheetId="53">'x-502'!$B$12</definedName>
    <definedName name="TABLE_AGE_DEF_1" localSheetId="54">'x-503'!$B$12</definedName>
    <definedName name="TABLE_AGE_DEF_1" localSheetId="55">'x-504'!$B$12</definedName>
    <definedName name="TABLE_AGE_DEF_1" localSheetId="56">'x-601'!$B$12</definedName>
    <definedName name="TABLE_AGE_DEF_1" localSheetId="57">'x-603'!$B$12</definedName>
    <definedName name="TABLE_AGE_DEF_1" localSheetId="58">'x-604'!$B$12</definedName>
    <definedName name="TABLE_AGE_DEF_1" localSheetId="59">'x-605'!$B$12</definedName>
    <definedName name="TABLE_AGE_DEF_1" localSheetId="60">'x-606'!$B$12</definedName>
    <definedName name="TABLE_AGE_DEF_1" localSheetId="61">'x-607'!$B$12</definedName>
    <definedName name="TABLE_AGE_DEF_1" localSheetId="62">'x-608'!$B$12</definedName>
    <definedName name="TABLE_AGE_DEF_1" localSheetId="63">'x-610'!$B$12</definedName>
    <definedName name="TABLE_AGE_DEF_1" localSheetId="64">'x-611'!$B$12</definedName>
    <definedName name="TABLE_AGE_DEF_1" localSheetId="65">'x-612'!$B$12</definedName>
    <definedName name="TABLE_AGE_DEF_1" localSheetId="66">'x-613'!$B$12</definedName>
    <definedName name="TABLE_AGE_DEF_1" localSheetId="67">'x-701'!$B$12</definedName>
    <definedName name="TABLE_AGE_DEF_1" localSheetId="68">'x-702'!$B$12</definedName>
    <definedName name="TABLE_AGE_DEF_1" localSheetId="69">'x-703'!$B$12</definedName>
    <definedName name="TABLE_AGE_DEF_1" localSheetId="70">'x-704'!$B$12</definedName>
    <definedName name="TABLE_AGE_DEF_1" localSheetId="71">'x-705'!$B$12</definedName>
    <definedName name="TABLE_AGE_DEF_1" localSheetId="72">'x-706'!$B$12</definedName>
    <definedName name="TABLE_AGE_DEF_1" localSheetId="73">'x-707'!$B$12</definedName>
    <definedName name="TABLE_AGE_DEF_1" localSheetId="74">'x-708'!$B$12</definedName>
    <definedName name="TABLE_AGE_DEF_1" localSheetId="75">'x-709'!$B$12</definedName>
    <definedName name="TABLE_AGE_DEF_1" localSheetId="76">'x-710'!$B$12</definedName>
    <definedName name="TABLE_AGE_DEF_1" localSheetId="77">'x-711'!$B$12</definedName>
    <definedName name="TABLE_AGE_DEF_1" localSheetId="78">'x-717'!$B$12</definedName>
    <definedName name="TABLE_AGE_DEF_1" localSheetId="79">'x-718'!$B$12</definedName>
    <definedName name="TABLE_AGE_DEF_1" localSheetId="80">'x-719'!$B$12</definedName>
    <definedName name="TABLE_AGE_DEF_1" localSheetId="81">'x-720'!$B$12</definedName>
    <definedName name="TABLE_AGE_DEF_1" localSheetId="82">'x-721'!$B$12</definedName>
    <definedName name="TABLE_AGE_DEF_1" localSheetId="83">'x-722'!$B$12</definedName>
    <definedName name="TABLE_AGE_DEF_1" localSheetId="84">'x-723'!$B$12</definedName>
    <definedName name="TABLE_AGE_DEF_1" localSheetId="85">'x-724'!$B$12</definedName>
    <definedName name="TABLE_AGE_DEF_1" localSheetId="86">'x-725'!$B$12</definedName>
    <definedName name="TABLE_AGE_DEF_1" localSheetId="87">'x-726'!$B$12</definedName>
    <definedName name="TABLE_AGE_DEF_1" localSheetId="88">'x-727'!$B$12</definedName>
    <definedName name="TABLE_AGE_DEF_1" localSheetId="89">'x-728'!$B$12</definedName>
    <definedName name="TABLE_AGE_DEF_1" localSheetId="90">'x-729'!$B$12</definedName>
    <definedName name="TABLE_AGE_DEF_1" localSheetId="91">'x-811'!$B$12</definedName>
    <definedName name="TABLE_AGE_DEF_1" localSheetId="92">'x-812'!$B$12</definedName>
    <definedName name="TABLE_AGE_DEF_1" localSheetId="93">'x-813'!$B$12</definedName>
    <definedName name="TABLE_AGE_DEF_1" localSheetId="94">'x-814'!$B$12</definedName>
    <definedName name="TABLE_AGE_DEF_1" localSheetId="95">'x-815'!$B$12</definedName>
    <definedName name="TABLE_AGE_DEF_2" localSheetId="8">'x-001'!$E$12</definedName>
    <definedName name="TABLE_AGE_DEF_2" localSheetId="37">'x-408'!$K$12</definedName>
    <definedName name="TABLE_AGE_DEF_2" localSheetId="41">'x-412'!$K$12</definedName>
    <definedName name="TABLE_AGE_DEF_2" localSheetId="63">'x-610'!$I$12</definedName>
    <definedName name="TABLE_AGE_DEF_2" localSheetId="64">'x-611'!$G$12</definedName>
    <definedName name="TABLE_AGE_DEF_2" localSheetId="78">'x-717'!$Q$12</definedName>
    <definedName name="TABLE_AGE_DEF_2" localSheetId="79">'x-718'!$Q$12</definedName>
    <definedName name="TABLE_AGE_DEF_2" localSheetId="80">'x-719'!$Q$12</definedName>
    <definedName name="TABLE_AGE_DEF_2" localSheetId="89">'x-728'!$P$12</definedName>
    <definedName name="TABLE_AGE_DEF_3" localSheetId="78">'x-717'!$AF$12</definedName>
    <definedName name="TABLE_AGE_DEF_3" localSheetId="79">'x-718'!$AF$12</definedName>
    <definedName name="TABLE_AGE_DEF_4" localSheetId="78">'x-717'!$AU$12</definedName>
    <definedName name="TABLE_AREA" localSheetId="8">'x-001'!$A$27:$B$66</definedName>
    <definedName name="TABLE_AREA">'x-Series Number'!$A$25:$B$64</definedName>
    <definedName name="TABLE_AREA_1" localSheetId="8">'x-001'!$A$27:$B$78</definedName>
    <definedName name="TABLE_AREA_1" localSheetId="9">'x-201'!$A$26:$E$85</definedName>
    <definedName name="TABLE_AREA_1" localSheetId="10">'x-202'!$A$26:$E$85</definedName>
    <definedName name="TABLE_AREA_1" localSheetId="11">'x-203'!$A$26:$E$85</definedName>
    <definedName name="TABLE_AREA_1" localSheetId="12">'x-204'!$A$26:$E$85</definedName>
    <definedName name="TABLE_AREA_1" localSheetId="13">'x-206'!$A$26:$I$85</definedName>
    <definedName name="TABLE_AREA_1" localSheetId="14">'x-207'!$A$26:$I$85</definedName>
    <definedName name="TABLE_AREA_1" localSheetId="15">'x-208'!$A$26:$E$85</definedName>
    <definedName name="TABLE_AREA_1" localSheetId="16">'x-210'!$A$26:$G$85</definedName>
    <definedName name="TABLE_AREA_1" localSheetId="17">'x-211'!$A$26:$G$85</definedName>
    <definedName name="TABLE_AREA_1" localSheetId="18">'x-214'!$A$26:$E$85</definedName>
    <definedName name="TABLE_AREA_1" localSheetId="19">'x-215'!$A$26:$E$85</definedName>
    <definedName name="TABLE_AREA_1" localSheetId="20">'x-216'!$A$26:$E$85</definedName>
    <definedName name="TABLE_AREA_1" localSheetId="21">'x-217'!$A$26:$E$85</definedName>
    <definedName name="TABLE_AREA_1" localSheetId="22">'x-301'!$A$26:$I$70</definedName>
    <definedName name="TABLE_AREA_1" localSheetId="23">'x-302'!$A$26:$I$105</definedName>
    <definedName name="TABLE_AREA_1" localSheetId="24">'x-303'!$A$26:$K$75</definedName>
    <definedName name="TABLE_AREA_1" localSheetId="25">'x-304'!$A$26:$K$105</definedName>
    <definedName name="TABLE_AREA_1" localSheetId="26">'x-305'!$A$26:$E$108</definedName>
    <definedName name="TABLE_AREA_1" localSheetId="27">'x-306'!$A$26:$E$108</definedName>
    <definedName name="TABLE_AREA_1" localSheetId="28">'x-307'!$A$26:$E$108</definedName>
    <definedName name="TABLE_AREA_1" localSheetId="29">'x-308'!$A$26:$C$108</definedName>
    <definedName name="TABLE_AREA_1" localSheetId="30">'x-401'!$A$26:$M$38</definedName>
    <definedName name="TABLE_AREA_1" localSheetId="31">'x-402'!$A$26:$N$38</definedName>
    <definedName name="TABLE_AREA_1" localSheetId="32">'x-403'!$A$26:$O$38</definedName>
    <definedName name="TABLE_AREA_1" localSheetId="33">'x-404'!$A$26:$P$38</definedName>
    <definedName name="TABLE_AREA_1" localSheetId="34">'x-405'!$A$26:$L$38</definedName>
    <definedName name="TABLE_AREA_1" localSheetId="35">'x-406'!$A$26:$L$38</definedName>
    <definedName name="TABLE_AREA_1" localSheetId="36">'x-407'!$A$26:$G$38</definedName>
    <definedName name="TABLE_AREA_1" localSheetId="37">'x-408'!$A$26:$G$38</definedName>
    <definedName name="TABLE_AREA_1" localSheetId="38">'x-409'!$A$26:$Q$38</definedName>
    <definedName name="TABLE_AREA_1" localSheetId="39">'x-410'!$A$26:$Q$38</definedName>
    <definedName name="TABLE_AREA_1" localSheetId="40">'x-411'!$A$26:$G$38</definedName>
    <definedName name="TABLE_AREA_1" localSheetId="41">'x-412'!$A$26:$G$38</definedName>
    <definedName name="TABLE_AREA_1" localSheetId="42">'x-413'!$A$26:$M$38</definedName>
    <definedName name="TABLE_AREA_1" localSheetId="43">'x-416'!$A$26:$Q$38</definedName>
    <definedName name="TABLE_AREA_1" localSheetId="44">'x-417'!$A$26:$Q$38</definedName>
    <definedName name="TABLE_AREA_1" localSheetId="45">'x-418'!$A$26:$Q$38</definedName>
    <definedName name="TABLE_AREA_1" localSheetId="46">'x-419'!$A$26:$Q$38</definedName>
    <definedName name="TABLE_AREA_1" localSheetId="47">'x-420'!$A$26:$B$28</definedName>
    <definedName name="TABLE_AREA_1" localSheetId="48">'x-421'!$A$26:$Q$38</definedName>
    <definedName name="TABLE_AREA_1" localSheetId="49">'x-422'!$A$26:$Q$38</definedName>
    <definedName name="TABLE_AREA_1" localSheetId="50">'x-423'!$A$26:$Q$38</definedName>
    <definedName name="TABLE_AREA_1" localSheetId="51">'x-424'!$A$26:$Q$38</definedName>
    <definedName name="TABLE_AREA_1" localSheetId="52">'x-501'!$A$26:$C$62</definedName>
    <definedName name="TABLE_AREA_1" localSheetId="53">'x-502'!$A$26:$C$62</definedName>
    <definedName name="TABLE_AREA_1" localSheetId="54">'x-503'!$A$26:$E$123</definedName>
    <definedName name="TABLE_AREA_1" localSheetId="55">'x-504'!$A$26:$B$27</definedName>
    <definedName name="TABLE_AREA_1" localSheetId="56">'x-601'!$A$26:$I$85</definedName>
    <definedName name="TABLE_AREA_1" localSheetId="57">'x-603'!$A$26:$I$77</definedName>
    <definedName name="TABLE_AREA_1" localSheetId="58">'x-604'!$A$26:$B$42</definedName>
    <definedName name="TABLE_AREA_1" localSheetId="59">'x-605'!$A$26:$C$52</definedName>
    <definedName name="TABLE_AREA_1" localSheetId="60">'x-606'!$A$26:$C$87</definedName>
    <definedName name="TABLE_AREA_1" localSheetId="61">'x-607'!$A$26:$I$85</definedName>
    <definedName name="TABLE_AREA_1" localSheetId="62">'x-608'!$A$26:$C$85</definedName>
    <definedName name="TABLE_AREA_1" localSheetId="63">'x-610'!$A$26:$E$72</definedName>
    <definedName name="TABLE_AREA_1" localSheetId="64">'x-611'!$A$26:$C$42</definedName>
    <definedName name="TABLE_AREA_1" localSheetId="65">'x-612'!$A$26:$C$52</definedName>
    <definedName name="TABLE_AREA_1" localSheetId="66">'x-613'!$A$26:$C$82</definedName>
    <definedName name="TABLE_AREA_1" localSheetId="67">'x-701'!$A$26:$D$86</definedName>
    <definedName name="TABLE_AREA_1" localSheetId="68">'x-702'!$A$26:$D$86</definedName>
    <definedName name="TABLE_AREA_1" localSheetId="69">'x-703'!$A$26:$D$86</definedName>
    <definedName name="TABLE_AREA_1" localSheetId="70">'x-704'!$A$26:$D$86</definedName>
    <definedName name="TABLE_AREA_1" localSheetId="71">'x-705'!$A$26:$D$86</definedName>
    <definedName name="TABLE_AREA_1" localSheetId="72">'x-706'!$A$26:$D$86</definedName>
    <definedName name="TABLE_AREA_1" localSheetId="73">'x-707'!$A$26:$D$86</definedName>
    <definedName name="TABLE_AREA_1" localSheetId="74">'x-708'!$A$26:$D$86</definedName>
    <definedName name="TABLE_AREA_1" localSheetId="75">'x-709'!$A$26:$B$86</definedName>
    <definedName name="TABLE_AREA_1" localSheetId="76">'x-710'!$A$26:$B$86</definedName>
    <definedName name="TABLE_AREA_1" localSheetId="77">'x-711'!$A$26:$D$86</definedName>
    <definedName name="TABLE_AREA_1" localSheetId="78">'x-717'!$A$26:$M$71</definedName>
    <definedName name="TABLE_AREA_1" localSheetId="79">'x-718'!$A$26:$M$71</definedName>
    <definedName name="TABLE_AREA_1" localSheetId="80">'x-719'!$A$26:$M$71</definedName>
    <definedName name="TABLE_AREA_1" localSheetId="81">'x-720'!$A$26:$M$78</definedName>
    <definedName name="TABLE_AREA_1" localSheetId="82">'x-721'!$A$26:$B$77</definedName>
    <definedName name="TABLE_AREA_1" localSheetId="83">'x-722'!$A$26:$L$38</definedName>
    <definedName name="TABLE_AREA_1" localSheetId="84">'x-723'!$A$26:$M$38</definedName>
    <definedName name="TABLE_AREA_1" localSheetId="85">'x-724'!$A$26:$N$38</definedName>
    <definedName name="TABLE_AREA_1" localSheetId="86">'x-725'!$A$26:$O$38</definedName>
    <definedName name="TABLE_AREA_1" localSheetId="87">'x-726'!$A$26:$L$38</definedName>
    <definedName name="TABLE_AREA_1" localSheetId="88">'x-727'!$A$26:$Q$38</definedName>
    <definedName name="TABLE_AREA_1" localSheetId="89">'x-728'!$A$26:$L$38</definedName>
    <definedName name="TABLE_AREA_1" localSheetId="90">'x-729'!$A$26:$G$38</definedName>
    <definedName name="TABLE_AREA_1" localSheetId="91">'x-811'!$A$26:$B$37</definedName>
    <definedName name="TABLE_AREA_1" localSheetId="92">'x-812'!$A$26:$B$66</definedName>
    <definedName name="TABLE_AREA_1" localSheetId="93">'x-813'!$A$26:$B$36</definedName>
    <definedName name="TABLE_AREA_1" localSheetId="94">'x-814'!$A$26:$B$66</definedName>
    <definedName name="TABLE_AREA_1" localSheetId="95">'x-815'!$A$26:$B$27</definedName>
    <definedName name="TABLE_AREA_2" localSheetId="37">'x-408'!$J$26:$P$38</definedName>
    <definedName name="TABLE_AREA_2" localSheetId="41">'x-412'!$J$26:$P$38</definedName>
    <definedName name="TABLE_AREA_2" localSheetId="63">'x-610'!$H$26:$L$72</definedName>
    <definedName name="TABLE_AREA_2" localSheetId="64">'x-611'!$F$26:$H$42</definedName>
    <definedName name="TABLE_AREA_2" localSheetId="78">'x-717'!$P$26:$AB$71</definedName>
    <definedName name="TABLE_AREA_2" localSheetId="79">'x-718'!$P$26:$AB$72</definedName>
    <definedName name="TABLE_AREA_2" localSheetId="80">'x-719'!$P$26:$Q$71</definedName>
    <definedName name="TABLE_AREA_2" localSheetId="89">'x-728'!$O$26:$P$27</definedName>
    <definedName name="TABLE_AREA_3" localSheetId="78">'x-717'!$AE$26:$AQ$72</definedName>
    <definedName name="TABLE_AREA_3" localSheetId="79">'x-718'!$AE$26:$AF$72</definedName>
    <definedName name="TABLE_AREA_4" localSheetId="78">'x-717'!$AT$26:$AU$73</definedName>
    <definedName name="TABLE_ASSUMPTION_SET_1" localSheetId="8">'x-001'!$B$21</definedName>
    <definedName name="TABLE_ASSUMPTION_SET_1" localSheetId="9">'x-201'!$B$21</definedName>
    <definedName name="TABLE_ASSUMPTION_SET_1" localSheetId="10">'x-202'!$B$21</definedName>
    <definedName name="TABLE_ASSUMPTION_SET_1" localSheetId="11">'x-203'!$B$21</definedName>
    <definedName name="TABLE_ASSUMPTION_SET_1" localSheetId="12">'x-204'!$B$21</definedName>
    <definedName name="TABLE_ASSUMPTION_SET_1" localSheetId="13">'x-206'!$B$21</definedName>
    <definedName name="TABLE_ASSUMPTION_SET_1" localSheetId="14">'x-207'!$B$21</definedName>
    <definedName name="TABLE_ASSUMPTION_SET_1" localSheetId="15">'x-208'!$B$21</definedName>
    <definedName name="TABLE_ASSUMPTION_SET_1" localSheetId="16">'x-210'!$B$21</definedName>
    <definedName name="TABLE_ASSUMPTION_SET_1" localSheetId="17">'x-211'!$B$21</definedName>
    <definedName name="TABLE_ASSUMPTION_SET_1" localSheetId="18">'x-214'!$B$21</definedName>
    <definedName name="TABLE_ASSUMPTION_SET_1" localSheetId="19">'x-215'!$B$21</definedName>
    <definedName name="TABLE_ASSUMPTION_SET_1" localSheetId="20">'x-216'!$B$21</definedName>
    <definedName name="TABLE_ASSUMPTION_SET_1" localSheetId="21">'x-217'!$B$21</definedName>
    <definedName name="TABLE_ASSUMPTION_SET_1" localSheetId="22">'x-301'!$B$21</definedName>
    <definedName name="TABLE_ASSUMPTION_SET_1" localSheetId="23">'x-302'!$B$21</definedName>
    <definedName name="TABLE_ASSUMPTION_SET_1" localSheetId="24">'x-303'!$B$21</definedName>
    <definedName name="TABLE_ASSUMPTION_SET_1" localSheetId="25">'x-304'!$B$21</definedName>
    <definedName name="TABLE_ASSUMPTION_SET_1" localSheetId="26">'x-305'!$B$21</definedName>
    <definedName name="TABLE_ASSUMPTION_SET_1" localSheetId="27">'x-306'!$B$21</definedName>
    <definedName name="TABLE_ASSUMPTION_SET_1" localSheetId="28">'x-307'!$B$21</definedName>
    <definedName name="TABLE_ASSUMPTION_SET_1" localSheetId="29">'x-308'!$B$21</definedName>
    <definedName name="TABLE_ASSUMPTION_SET_1" localSheetId="30">'x-401'!$B$21</definedName>
    <definedName name="TABLE_ASSUMPTION_SET_1" localSheetId="31">'x-402'!$B$21</definedName>
    <definedName name="TABLE_ASSUMPTION_SET_1" localSheetId="32">'x-403'!$B$21</definedName>
    <definedName name="TABLE_ASSUMPTION_SET_1" localSheetId="33">'x-404'!$B$21</definedName>
    <definedName name="TABLE_ASSUMPTION_SET_1" localSheetId="34">'x-405'!$B$21</definedName>
    <definedName name="TABLE_ASSUMPTION_SET_1" localSheetId="35">'x-406'!$B$21</definedName>
    <definedName name="TABLE_ASSUMPTION_SET_1" localSheetId="36">'x-407'!$B$21</definedName>
    <definedName name="TABLE_ASSUMPTION_SET_1" localSheetId="37">'x-408'!$B$21</definedName>
    <definedName name="TABLE_ASSUMPTION_SET_1" localSheetId="38">'x-409'!$B$21</definedName>
    <definedName name="TABLE_ASSUMPTION_SET_1" localSheetId="39">'x-410'!$B$21</definedName>
    <definedName name="TABLE_ASSUMPTION_SET_1" localSheetId="40">'x-411'!$B$21</definedName>
    <definedName name="TABLE_ASSUMPTION_SET_1" localSheetId="41">'x-412'!$B$21</definedName>
    <definedName name="TABLE_ASSUMPTION_SET_1" localSheetId="42">'x-413'!$B$21</definedName>
    <definedName name="TABLE_ASSUMPTION_SET_1" localSheetId="43">'x-416'!$B$21</definedName>
    <definedName name="TABLE_ASSUMPTION_SET_1" localSheetId="44">'x-417'!$B$21</definedName>
    <definedName name="TABLE_ASSUMPTION_SET_1" localSheetId="45">'x-418'!$B$21</definedName>
    <definedName name="TABLE_ASSUMPTION_SET_1" localSheetId="46">'x-419'!$B$21</definedName>
    <definedName name="TABLE_ASSUMPTION_SET_1" localSheetId="47">'x-420'!$B$21</definedName>
    <definedName name="TABLE_ASSUMPTION_SET_1" localSheetId="48">'x-421'!$B$21</definedName>
    <definedName name="TABLE_ASSUMPTION_SET_1" localSheetId="49">'x-422'!$B$21</definedName>
    <definedName name="TABLE_ASSUMPTION_SET_1" localSheetId="50">'x-423'!$B$21</definedName>
    <definedName name="TABLE_ASSUMPTION_SET_1" localSheetId="51">'x-424'!$B$21</definedName>
    <definedName name="TABLE_ASSUMPTION_SET_1" localSheetId="52">'x-501'!$B$21</definedName>
    <definedName name="TABLE_ASSUMPTION_SET_1" localSheetId="53">'x-502'!$B$21</definedName>
    <definedName name="TABLE_ASSUMPTION_SET_1" localSheetId="54">'x-503'!$B$21</definedName>
    <definedName name="TABLE_ASSUMPTION_SET_1" localSheetId="55">'x-504'!$B$21</definedName>
    <definedName name="TABLE_ASSUMPTION_SET_1" localSheetId="56">'x-601'!$B$21</definedName>
    <definedName name="TABLE_ASSUMPTION_SET_1" localSheetId="57">'x-603'!$B$21</definedName>
    <definedName name="TABLE_ASSUMPTION_SET_1" localSheetId="58">'x-604'!$B$21</definedName>
    <definedName name="TABLE_ASSUMPTION_SET_1" localSheetId="59">'x-605'!$B$21</definedName>
    <definedName name="TABLE_ASSUMPTION_SET_1" localSheetId="60">'x-606'!$B$21</definedName>
    <definedName name="TABLE_ASSUMPTION_SET_1" localSheetId="61">'x-607'!$B$21</definedName>
    <definedName name="TABLE_ASSUMPTION_SET_1" localSheetId="62">'x-608'!$B$21</definedName>
    <definedName name="TABLE_ASSUMPTION_SET_1" localSheetId="63">'x-610'!$B$21</definedName>
    <definedName name="TABLE_ASSUMPTION_SET_1" localSheetId="64">'x-611'!$B$21</definedName>
    <definedName name="TABLE_ASSUMPTION_SET_1" localSheetId="65">'x-612'!$B$21</definedName>
    <definedName name="TABLE_ASSUMPTION_SET_1" localSheetId="66">'x-613'!$B$21</definedName>
    <definedName name="TABLE_ASSUMPTION_SET_1" localSheetId="67">'x-701'!$B$21</definedName>
    <definedName name="TABLE_ASSUMPTION_SET_1" localSheetId="68">'x-702'!$B$21</definedName>
    <definedName name="TABLE_ASSUMPTION_SET_1" localSheetId="69">'x-703'!$B$21</definedName>
    <definedName name="TABLE_ASSUMPTION_SET_1" localSheetId="70">'x-704'!$B$21</definedName>
    <definedName name="TABLE_ASSUMPTION_SET_1" localSheetId="71">'x-705'!$B$21</definedName>
    <definedName name="TABLE_ASSUMPTION_SET_1" localSheetId="72">'x-706'!$B$21</definedName>
    <definedName name="TABLE_ASSUMPTION_SET_1" localSheetId="73">'x-707'!$B$21</definedName>
    <definedName name="TABLE_ASSUMPTION_SET_1" localSheetId="74">'x-708'!$B$21</definedName>
    <definedName name="TABLE_ASSUMPTION_SET_1" localSheetId="75">'x-709'!$B$21</definedName>
    <definedName name="TABLE_ASSUMPTION_SET_1" localSheetId="76">'x-710'!$B$21</definedName>
    <definedName name="TABLE_ASSUMPTION_SET_1" localSheetId="77">'x-711'!$B$21</definedName>
    <definedName name="TABLE_ASSUMPTION_SET_1" localSheetId="78">'x-717'!$B$21</definedName>
    <definedName name="TABLE_ASSUMPTION_SET_1" localSheetId="79">'x-718'!$B$21</definedName>
    <definedName name="TABLE_ASSUMPTION_SET_1" localSheetId="80">'x-719'!$B$21</definedName>
    <definedName name="TABLE_ASSUMPTION_SET_1" localSheetId="81">'x-720'!$B$21</definedName>
    <definedName name="TABLE_ASSUMPTION_SET_1" localSheetId="82">'x-721'!$B$21</definedName>
    <definedName name="TABLE_ASSUMPTION_SET_1" localSheetId="83">'x-722'!$B$21</definedName>
    <definedName name="TABLE_ASSUMPTION_SET_1" localSheetId="84">'x-723'!$B$21</definedName>
    <definedName name="TABLE_ASSUMPTION_SET_1" localSheetId="85">'x-724'!$B$21</definedName>
    <definedName name="TABLE_ASSUMPTION_SET_1" localSheetId="86">'x-725'!$B$21</definedName>
    <definedName name="TABLE_ASSUMPTION_SET_1" localSheetId="87">'x-726'!$B$21</definedName>
    <definedName name="TABLE_ASSUMPTION_SET_1" localSheetId="88">'x-727'!$B$21</definedName>
    <definedName name="TABLE_ASSUMPTION_SET_1" localSheetId="89">'x-728'!$B$21</definedName>
    <definedName name="TABLE_ASSUMPTION_SET_1" localSheetId="90">'x-729'!$B$21</definedName>
    <definedName name="TABLE_ASSUMPTION_SET_1" localSheetId="91">'x-811'!$B$21</definedName>
    <definedName name="TABLE_ASSUMPTION_SET_1" localSheetId="92">'x-812'!$B$21</definedName>
    <definedName name="TABLE_ASSUMPTION_SET_1" localSheetId="93">'x-813'!$B$21</definedName>
    <definedName name="TABLE_ASSUMPTION_SET_1" localSheetId="94">'x-814'!$B$21</definedName>
    <definedName name="TABLE_ASSUMPTION_SET_1" localSheetId="95">'x-815'!$B$21</definedName>
    <definedName name="TABLE_ASSUMPTION_SET_2" localSheetId="8">'x-001'!$E$21</definedName>
    <definedName name="TABLE_ASSUMPTION_SET_2" localSheetId="37">'x-408'!$K$21</definedName>
    <definedName name="TABLE_ASSUMPTION_SET_2" localSheetId="41">'x-412'!$K$21</definedName>
    <definedName name="TABLE_ASSUMPTION_SET_2" localSheetId="63">'x-610'!$I$21</definedName>
    <definedName name="TABLE_ASSUMPTION_SET_2" localSheetId="64">'x-611'!$G$21</definedName>
    <definedName name="TABLE_ASSUMPTION_SET_2" localSheetId="79">'x-718'!$Q$21</definedName>
    <definedName name="TABLE_ASSUMPTION_SET_2" localSheetId="80">'x-719'!$Q$21</definedName>
    <definedName name="TABLE_ASSUMPTION_SET_3" localSheetId="79">'x-718'!$AF$21</definedName>
    <definedName name="TABLE_CLIENT">'x-Series Number'!$B$7</definedName>
    <definedName name="TABLE_CLIENT_1" localSheetId="8">'x-001'!$B$7</definedName>
    <definedName name="TABLE_CLIENT_1" localSheetId="9">'x-201'!$B$7</definedName>
    <definedName name="TABLE_CLIENT_1" localSheetId="10">'x-202'!$B$7</definedName>
    <definedName name="TABLE_CLIENT_1" localSheetId="11">'x-203'!$B$7</definedName>
    <definedName name="TABLE_CLIENT_1" localSheetId="12">'x-204'!$B$7</definedName>
    <definedName name="TABLE_CLIENT_1" localSheetId="13">'x-206'!$B$7</definedName>
    <definedName name="TABLE_CLIENT_1" localSheetId="14">'x-207'!$B$7</definedName>
    <definedName name="TABLE_CLIENT_1" localSheetId="15">'x-208'!$B$7</definedName>
    <definedName name="TABLE_CLIENT_1" localSheetId="16">'x-210'!$B$7</definedName>
    <definedName name="TABLE_CLIENT_1" localSheetId="17">'x-211'!$B$7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'x-301'!$B$7</definedName>
    <definedName name="TABLE_CLIENT_1" localSheetId="23">'x-302'!$B$7</definedName>
    <definedName name="TABLE_CLIENT_1" localSheetId="24">'x-303'!$B$7</definedName>
    <definedName name="TABLE_CLIENT_1" localSheetId="25">'x-304'!$B$7</definedName>
    <definedName name="TABLE_CLIENT_1" localSheetId="26">'x-305'!$B$7</definedName>
    <definedName name="TABLE_CLIENT_1" localSheetId="27">'x-306'!$B$7</definedName>
    <definedName name="TABLE_CLIENT_1" localSheetId="28">'x-307'!$B$7</definedName>
    <definedName name="TABLE_CLIENT_1" localSheetId="29">'x-308'!$B$7</definedName>
    <definedName name="TABLE_CLIENT_1" localSheetId="30">'x-401'!$B$7</definedName>
    <definedName name="TABLE_CLIENT_1" localSheetId="31">'x-402'!$B$7</definedName>
    <definedName name="TABLE_CLIENT_1" localSheetId="32">'x-403'!$B$7</definedName>
    <definedName name="TABLE_CLIENT_1" localSheetId="33">'x-404'!$B$7</definedName>
    <definedName name="TABLE_CLIENT_1" localSheetId="34">'x-405'!$B$7</definedName>
    <definedName name="TABLE_CLIENT_1" localSheetId="35">'x-406'!$B$7</definedName>
    <definedName name="TABLE_CLIENT_1" localSheetId="36">'x-407'!$B$7</definedName>
    <definedName name="TABLE_CLIENT_1" localSheetId="37">'x-408'!$B$7</definedName>
    <definedName name="TABLE_CLIENT_1" localSheetId="38">'x-409'!$B$7</definedName>
    <definedName name="TABLE_CLIENT_1" localSheetId="39">'x-410'!$B$7</definedName>
    <definedName name="TABLE_CLIENT_1" localSheetId="40">'x-411'!$B$7</definedName>
    <definedName name="TABLE_CLIENT_1" localSheetId="41">'x-412'!$B$7</definedName>
    <definedName name="TABLE_CLIENT_1" localSheetId="42">'x-413'!$B$7</definedName>
    <definedName name="TABLE_CLIENT_1" localSheetId="43">'x-416'!$B$7</definedName>
    <definedName name="TABLE_CLIENT_1" localSheetId="44">'x-417'!$B$7</definedName>
    <definedName name="TABLE_CLIENT_1" localSheetId="45">'x-418'!$B$7</definedName>
    <definedName name="TABLE_CLIENT_1" localSheetId="46">'x-419'!$B$7</definedName>
    <definedName name="TABLE_CLIENT_1" localSheetId="47">'x-420'!$B$7</definedName>
    <definedName name="TABLE_CLIENT_1" localSheetId="48">'x-421'!$B$7</definedName>
    <definedName name="TABLE_CLIENT_1" localSheetId="49">'x-422'!$B$7</definedName>
    <definedName name="TABLE_CLIENT_1" localSheetId="50">'x-423'!$B$7</definedName>
    <definedName name="TABLE_CLIENT_1" localSheetId="51">'x-424'!$B$7</definedName>
    <definedName name="TABLE_CLIENT_1" localSheetId="52">'x-501'!$B$7</definedName>
    <definedName name="TABLE_CLIENT_1" localSheetId="53">'x-502'!$B$7</definedName>
    <definedName name="TABLE_CLIENT_1" localSheetId="54">'x-503'!$B$7</definedName>
    <definedName name="TABLE_CLIENT_1" localSheetId="55">'x-504'!$B$7</definedName>
    <definedName name="TABLE_CLIENT_1" localSheetId="56">'x-601'!$B$7</definedName>
    <definedName name="TABLE_CLIENT_1" localSheetId="57">'x-603'!$B$7</definedName>
    <definedName name="TABLE_CLIENT_1" localSheetId="58">'x-604'!$B$7</definedName>
    <definedName name="TABLE_CLIENT_1" localSheetId="59">'x-605'!$B$7</definedName>
    <definedName name="TABLE_CLIENT_1" localSheetId="60">'x-606'!$B$7</definedName>
    <definedName name="TABLE_CLIENT_1" localSheetId="61">'x-607'!$B$7</definedName>
    <definedName name="TABLE_CLIENT_1" localSheetId="62">'x-608'!$B$7</definedName>
    <definedName name="TABLE_CLIENT_1" localSheetId="63">'x-610'!$B$7</definedName>
    <definedName name="TABLE_CLIENT_1" localSheetId="64">'x-611'!$B$7</definedName>
    <definedName name="TABLE_CLIENT_1" localSheetId="65">'x-612'!$B$7</definedName>
    <definedName name="TABLE_CLIENT_1" localSheetId="66">'x-613'!$B$7</definedName>
    <definedName name="TABLE_CLIENT_1" localSheetId="67">'x-701'!$B$7</definedName>
    <definedName name="TABLE_CLIENT_1" localSheetId="68">'x-702'!$B$7</definedName>
    <definedName name="TABLE_CLIENT_1" localSheetId="69">'x-703'!$B$7</definedName>
    <definedName name="TABLE_CLIENT_1" localSheetId="70">'x-704'!$B$7</definedName>
    <definedName name="TABLE_CLIENT_1" localSheetId="71">'x-705'!$B$7</definedName>
    <definedName name="TABLE_CLIENT_1" localSheetId="72">'x-706'!$B$7</definedName>
    <definedName name="TABLE_CLIENT_1" localSheetId="73">'x-707'!$B$7</definedName>
    <definedName name="TABLE_CLIENT_1" localSheetId="74">'x-708'!$B$7</definedName>
    <definedName name="TABLE_CLIENT_1" localSheetId="75">'x-709'!$B$7</definedName>
    <definedName name="TABLE_CLIENT_1" localSheetId="76">'x-710'!$B$7</definedName>
    <definedName name="TABLE_CLIENT_1" localSheetId="77">'x-711'!$B$7</definedName>
    <definedName name="TABLE_CLIENT_1" localSheetId="78">'x-717'!$B$7</definedName>
    <definedName name="TABLE_CLIENT_1" localSheetId="79">'x-718'!$B$7</definedName>
    <definedName name="TABLE_CLIENT_1" localSheetId="80">'x-719'!$B$7</definedName>
    <definedName name="TABLE_CLIENT_1" localSheetId="81">'x-720'!$B$7</definedName>
    <definedName name="TABLE_CLIENT_1" localSheetId="82">'x-721'!$B$7</definedName>
    <definedName name="TABLE_CLIENT_1" localSheetId="83">'x-722'!$B$7</definedName>
    <definedName name="TABLE_CLIENT_1" localSheetId="84">'x-723'!$B$7</definedName>
    <definedName name="TABLE_CLIENT_1" localSheetId="85">'x-724'!$B$7</definedName>
    <definedName name="TABLE_CLIENT_1" localSheetId="86">'x-725'!$B$7</definedName>
    <definedName name="TABLE_CLIENT_1" localSheetId="87">'x-726'!$B$7</definedName>
    <definedName name="TABLE_CLIENT_1" localSheetId="88">'x-727'!$B$7</definedName>
    <definedName name="TABLE_CLIENT_1" localSheetId="89">'x-728'!$B$7</definedName>
    <definedName name="TABLE_CLIENT_1" localSheetId="90">'x-729'!$B$7</definedName>
    <definedName name="TABLE_CLIENT_1" localSheetId="91">'x-811'!$B$7</definedName>
    <definedName name="TABLE_CLIENT_1" localSheetId="92">'x-812'!$B$7</definedName>
    <definedName name="TABLE_CLIENT_1" localSheetId="93">'x-813'!$B$7</definedName>
    <definedName name="TABLE_CLIENT_1" localSheetId="94">'x-814'!$B$7</definedName>
    <definedName name="TABLE_CLIENT_1" localSheetId="95">'x-815'!$B$7</definedName>
    <definedName name="TABLE_CLIENT_2" localSheetId="8">'x-001'!$E$7</definedName>
    <definedName name="TABLE_CLIENT_2" localSheetId="37">'x-408'!$K$7</definedName>
    <definedName name="TABLE_CLIENT_2" localSheetId="41">'x-412'!$K$7</definedName>
    <definedName name="TABLE_CLIENT_2" localSheetId="63">'x-610'!$I$7</definedName>
    <definedName name="TABLE_CLIENT_2" localSheetId="64">'x-611'!$G$7</definedName>
    <definedName name="TABLE_CLIENT_2" localSheetId="78">'x-717'!$Q$7</definedName>
    <definedName name="TABLE_CLIENT_2" localSheetId="79">'x-718'!$Q$7</definedName>
    <definedName name="TABLE_CLIENT_2" localSheetId="80">'x-719'!$Q$7</definedName>
    <definedName name="TABLE_CLIENT_2" localSheetId="89">'x-728'!$P$7</definedName>
    <definedName name="TABLE_CLIENT_3" localSheetId="78">'x-717'!$AF$7</definedName>
    <definedName name="TABLE_CLIENT_3" localSheetId="79">'x-718'!$AF$7</definedName>
    <definedName name="TABLE_CLIENT_4" localSheetId="78">'x-717'!$AU$7</definedName>
    <definedName name="TABLE_DATE_IMPLEMENTED">'x-Series Number'!$B$19</definedName>
    <definedName name="TABLE_DATE_IMPLEMENTED_1" localSheetId="8">'x-001'!$B$19</definedName>
    <definedName name="TABLE_DATE_IMPLEMENTED_1" localSheetId="9">'x-201'!$B$19</definedName>
    <definedName name="TABLE_DATE_IMPLEMENTED_1" localSheetId="10">'x-202'!$B$19</definedName>
    <definedName name="TABLE_DATE_IMPLEMENTED_1" localSheetId="11">'x-203'!$B$19</definedName>
    <definedName name="TABLE_DATE_IMPLEMENTED_1" localSheetId="12">'x-204'!$B$19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'x-210'!$B$19</definedName>
    <definedName name="TABLE_DATE_IMPLEMENTED_1" localSheetId="17">'x-211'!$B$19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'x-301'!$B$19</definedName>
    <definedName name="TABLE_DATE_IMPLEMENTED_1" localSheetId="23">'x-302'!$B$19</definedName>
    <definedName name="TABLE_DATE_IMPLEMENTED_1" localSheetId="24">'x-303'!$B$19</definedName>
    <definedName name="TABLE_DATE_IMPLEMENTED_1" localSheetId="25">'x-304'!$B$19</definedName>
    <definedName name="TABLE_DATE_IMPLEMENTED_1" localSheetId="26">'x-305'!$B$19</definedName>
    <definedName name="TABLE_DATE_IMPLEMENTED_1" localSheetId="27">'x-306'!$B$19</definedName>
    <definedName name="TABLE_DATE_IMPLEMENTED_1" localSheetId="28">'x-307'!$B$19</definedName>
    <definedName name="TABLE_DATE_IMPLEMENTED_1" localSheetId="29">'x-308'!$B$19</definedName>
    <definedName name="TABLE_DATE_IMPLEMENTED_1" localSheetId="30">'x-401'!$B$19</definedName>
    <definedName name="TABLE_DATE_IMPLEMENTED_1" localSheetId="31">'x-402'!$B$19</definedName>
    <definedName name="TABLE_DATE_IMPLEMENTED_1" localSheetId="32">'x-403'!$B$19</definedName>
    <definedName name="TABLE_DATE_IMPLEMENTED_1" localSheetId="33">'x-404'!$B$19</definedName>
    <definedName name="TABLE_DATE_IMPLEMENTED_1" localSheetId="34">'x-405'!$B$19</definedName>
    <definedName name="TABLE_DATE_IMPLEMENTED_1" localSheetId="35">'x-406'!$B$19</definedName>
    <definedName name="TABLE_DATE_IMPLEMENTED_1" localSheetId="36">'x-407'!$B$19</definedName>
    <definedName name="TABLE_DATE_IMPLEMENTED_1" localSheetId="37">'x-408'!$B$19</definedName>
    <definedName name="TABLE_DATE_IMPLEMENTED_1" localSheetId="38">'x-409'!$B$19</definedName>
    <definedName name="TABLE_DATE_IMPLEMENTED_1" localSheetId="39">'x-410'!$B$19</definedName>
    <definedName name="TABLE_DATE_IMPLEMENTED_1" localSheetId="40">'x-411'!$B$19</definedName>
    <definedName name="TABLE_DATE_IMPLEMENTED_1" localSheetId="41">'x-412'!$B$19</definedName>
    <definedName name="TABLE_DATE_IMPLEMENTED_1" localSheetId="42">'x-413'!$B$19</definedName>
    <definedName name="TABLE_DATE_IMPLEMENTED_1" localSheetId="43">'x-416'!$B$19</definedName>
    <definedName name="TABLE_DATE_IMPLEMENTED_1" localSheetId="44">'x-417'!$B$19</definedName>
    <definedName name="TABLE_DATE_IMPLEMENTED_1" localSheetId="45">'x-418'!$B$19</definedName>
    <definedName name="TABLE_DATE_IMPLEMENTED_1" localSheetId="46">'x-419'!$B$19</definedName>
    <definedName name="TABLE_DATE_IMPLEMENTED_1" localSheetId="47">'x-420'!$B$19</definedName>
    <definedName name="TABLE_DATE_IMPLEMENTED_1" localSheetId="48">'x-421'!$B$19</definedName>
    <definedName name="TABLE_DATE_IMPLEMENTED_1" localSheetId="49">'x-422'!$B$19</definedName>
    <definedName name="TABLE_DATE_IMPLEMENTED_1" localSheetId="50">'x-423'!$B$19</definedName>
    <definedName name="TABLE_DATE_IMPLEMENTED_1" localSheetId="51">'x-424'!$B$19</definedName>
    <definedName name="TABLE_DATE_IMPLEMENTED_1" localSheetId="52">'x-501'!$B$19</definedName>
    <definedName name="TABLE_DATE_IMPLEMENTED_1" localSheetId="53">'x-502'!$B$19</definedName>
    <definedName name="TABLE_DATE_IMPLEMENTED_1" localSheetId="54">'x-503'!$B$19</definedName>
    <definedName name="TABLE_DATE_IMPLEMENTED_1" localSheetId="55">'x-504'!$B$19</definedName>
    <definedName name="TABLE_DATE_IMPLEMENTED_1" localSheetId="56">'x-601'!$B$19</definedName>
    <definedName name="TABLE_DATE_IMPLEMENTED_1" localSheetId="57">'x-603'!$B$19</definedName>
    <definedName name="TABLE_DATE_IMPLEMENTED_1" localSheetId="58">'x-604'!$B$19</definedName>
    <definedName name="TABLE_DATE_IMPLEMENTED_1" localSheetId="59">'x-605'!$B$19</definedName>
    <definedName name="TABLE_DATE_IMPLEMENTED_1" localSheetId="60">'x-606'!$B$19</definedName>
    <definedName name="TABLE_DATE_IMPLEMENTED_1" localSheetId="61">'x-607'!$B$19</definedName>
    <definedName name="TABLE_DATE_IMPLEMENTED_1" localSheetId="62">'x-608'!$B$19</definedName>
    <definedName name="TABLE_DATE_IMPLEMENTED_1" localSheetId="63">'x-610'!$B$19</definedName>
    <definedName name="TABLE_DATE_IMPLEMENTED_1" localSheetId="64">'x-611'!$B$19</definedName>
    <definedName name="TABLE_DATE_IMPLEMENTED_1" localSheetId="65">'x-612'!$B$19</definedName>
    <definedName name="TABLE_DATE_IMPLEMENTED_1" localSheetId="66">'x-613'!$B$19</definedName>
    <definedName name="TABLE_DATE_IMPLEMENTED_1" localSheetId="67">'x-701'!$B$19</definedName>
    <definedName name="TABLE_DATE_IMPLEMENTED_1" localSheetId="68">'x-702'!$B$19</definedName>
    <definedName name="TABLE_DATE_IMPLEMENTED_1" localSheetId="69">'x-703'!$B$19</definedName>
    <definedName name="TABLE_DATE_IMPLEMENTED_1" localSheetId="70">'x-704'!$B$19</definedName>
    <definedName name="TABLE_DATE_IMPLEMENTED_1" localSheetId="71">'x-705'!$B$19</definedName>
    <definedName name="TABLE_DATE_IMPLEMENTED_1" localSheetId="72">'x-706'!$B$19</definedName>
    <definedName name="TABLE_DATE_IMPLEMENTED_1" localSheetId="73">'x-707'!$B$19</definedName>
    <definedName name="TABLE_DATE_IMPLEMENTED_1" localSheetId="74">'x-708'!$B$19</definedName>
    <definedName name="TABLE_DATE_IMPLEMENTED_1" localSheetId="75">'x-709'!$B$19</definedName>
    <definedName name="TABLE_DATE_IMPLEMENTED_1" localSheetId="76">'x-710'!$B$19</definedName>
    <definedName name="TABLE_DATE_IMPLEMENTED_1" localSheetId="77">'x-711'!$B$19</definedName>
    <definedName name="TABLE_DATE_IMPLEMENTED_1" localSheetId="78">'x-717'!$B$19</definedName>
    <definedName name="TABLE_DATE_IMPLEMENTED_1" localSheetId="79">'x-718'!$B$19</definedName>
    <definedName name="TABLE_DATE_IMPLEMENTED_1" localSheetId="80">'x-719'!$B$19</definedName>
    <definedName name="TABLE_DATE_IMPLEMENTED_1" localSheetId="81">'x-720'!$B$19</definedName>
    <definedName name="TABLE_DATE_IMPLEMENTED_1" localSheetId="82">'x-721'!$B$19</definedName>
    <definedName name="TABLE_DATE_IMPLEMENTED_1" localSheetId="83">'x-722'!$B$19</definedName>
    <definedName name="TABLE_DATE_IMPLEMENTED_1" localSheetId="84">'x-723'!$B$19</definedName>
    <definedName name="TABLE_DATE_IMPLEMENTED_1" localSheetId="85">'x-724'!$B$19</definedName>
    <definedName name="TABLE_DATE_IMPLEMENTED_1" localSheetId="86">'x-725'!$B$19</definedName>
    <definedName name="TABLE_DATE_IMPLEMENTED_1" localSheetId="87">'x-726'!$B$19</definedName>
    <definedName name="TABLE_DATE_IMPLEMENTED_1" localSheetId="88">'x-727'!$B$19</definedName>
    <definedName name="TABLE_DATE_IMPLEMENTED_1" localSheetId="89">'x-728'!$B$19</definedName>
    <definedName name="TABLE_DATE_IMPLEMENTED_1" localSheetId="90">'x-729'!$B$19</definedName>
    <definedName name="TABLE_DATE_IMPLEMENTED_1" localSheetId="91">'x-811'!$B$19</definedName>
    <definedName name="TABLE_DATE_IMPLEMENTED_1" localSheetId="92">'x-812'!$B$19</definedName>
    <definedName name="TABLE_DATE_IMPLEMENTED_1" localSheetId="93">'x-813'!$B$19</definedName>
    <definedName name="TABLE_DATE_IMPLEMENTED_1" localSheetId="94">'x-814'!$B$19</definedName>
    <definedName name="TABLE_DATE_IMPLEMENTED_1" localSheetId="95">'x-815'!$B$19</definedName>
    <definedName name="TABLE_DATE_IMPLEMENTED_2" localSheetId="8">'x-001'!$E$19</definedName>
    <definedName name="TABLE_DATE_IMPLEMENTED_2" localSheetId="37">'x-408'!$K$19</definedName>
    <definedName name="TABLE_DATE_IMPLEMENTED_2" localSheetId="41">'x-412'!$K$19</definedName>
    <definedName name="TABLE_DATE_IMPLEMENTED_2" localSheetId="63">'x-610'!$I$19</definedName>
    <definedName name="TABLE_DATE_IMPLEMENTED_2" localSheetId="64">'x-611'!$G$19</definedName>
    <definedName name="TABLE_DATE_IMPLEMENTED_2" localSheetId="78">'x-717'!$Q$19</definedName>
    <definedName name="TABLE_DATE_IMPLEMENTED_2" localSheetId="79">'x-718'!$Q$19</definedName>
    <definedName name="TABLE_DATE_IMPLEMENTED_2" localSheetId="80">'x-719'!$Q$19</definedName>
    <definedName name="TABLE_DATE_IMPLEMENTED_2" localSheetId="89">'x-728'!$P$19</definedName>
    <definedName name="TABLE_DATE_IMPLEMENTED_3" localSheetId="78">'x-717'!$AF$19</definedName>
    <definedName name="TABLE_DATE_IMPLEMENTED_3" localSheetId="79">'x-718'!$AF$19</definedName>
    <definedName name="TABLE_DATE_IMPLEMENTED_4" localSheetId="78">'x-717'!$AU$19</definedName>
    <definedName name="TABLE_DATE_ISSUED">'x-Series Number'!$B$18</definedName>
    <definedName name="TABLE_DATE_ISSUED_1" localSheetId="8">'x-001'!$B$18</definedName>
    <definedName name="TABLE_DATE_ISSUED_1" localSheetId="9">'x-201'!$B$18</definedName>
    <definedName name="TABLE_DATE_ISSUED_1" localSheetId="10">'x-202'!$B$18</definedName>
    <definedName name="TABLE_DATE_ISSUED_1" localSheetId="11">'x-203'!$B$18</definedName>
    <definedName name="TABLE_DATE_ISSUED_1" localSheetId="12">'x-204'!$B$18</definedName>
    <definedName name="TABLE_DATE_ISSUED_1" localSheetId="13">'x-206'!$B$18</definedName>
    <definedName name="TABLE_DATE_ISSUED_1" localSheetId="14">'x-207'!$B$18</definedName>
    <definedName name="TABLE_DATE_ISSUED_1" localSheetId="15">'x-208'!$B$18</definedName>
    <definedName name="TABLE_DATE_ISSUED_1" localSheetId="16">'x-210'!$B$18</definedName>
    <definedName name="TABLE_DATE_ISSUED_1" localSheetId="17">'x-211'!$B$18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'x-301'!$B$18</definedName>
    <definedName name="TABLE_DATE_ISSUED_1" localSheetId="23">'x-302'!$B$18</definedName>
    <definedName name="TABLE_DATE_ISSUED_1" localSheetId="24">'x-303'!$B$18</definedName>
    <definedName name="TABLE_DATE_ISSUED_1" localSheetId="25">'x-304'!$B$18</definedName>
    <definedName name="TABLE_DATE_ISSUED_1" localSheetId="26">'x-305'!$B$18</definedName>
    <definedName name="TABLE_DATE_ISSUED_1" localSheetId="27">'x-306'!$B$18</definedName>
    <definedName name="TABLE_DATE_ISSUED_1" localSheetId="28">'x-307'!$B$18</definedName>
    <definedName name="TABLE_DATE_ISSUED_1" localSheetId="29">'x-308'!$B$18</definedName>
    <definedName name="TABLE_DATE_ISSUED_1" localSheetId="30">'x-401'!$B$18</definedName>
    <definedName name="TABLE_DATE_ISSUED_1" localSheetId="31">'x-402'!$B$18</definedName>
    <definedName name="TABLE_DATE_ISSUED_1" localSheetId="32">'x-403'!$B$18</definedName>
    <definedName name="TABLE_DATE_ISSUED_1" localSheetId="33">'x-404'!$B$18</definedName>
    <definedName name="TABLE_DATE_ISSUED_1" localSheetId="34">'x-405'!$B$18</definedName>
    <definedName name="TABLE_DATE_ISSUED_1" localSheetId="35">'x-406'!$B$18</definedName>
    <definedName name="TABLE_DATE_ISSUED_1" localSheetId="36">'x-407'!$B$18</definedName>
    <definedName name="TABLE_DATE_ISSUED_1" localSheetId="37">'x-408'!$B$18</definedName>
    <definedName name="TABLE_DATE_ISSUED_1" localSheetId="38">'x-409'!$B$18</definedName>
    <definedName name="TABLE_DATE_ISSUED_1" localSheetId="39">'x-410'!$B$18</definedName>
    <definedName name="TABLE_DATE_ISSUED_1" localSheetId="40">'x-411'!$B$18</definedName>
    <definedName name="TABLE_DATE_ISSUED_1" localSheetId="41">'x-412'!$B$18</definedName>
    <definedName name="TABLE_DATE_ISSUED_1" localSheetId="42">'x-413'!$B$18</definedName>
    <definedName name="TABLE_DATE_ISSUED_1" localSheetId="43">'x-416'!$B$18</definedName>
    <definedName name="TABLE_DATE_ISSUED_1" localSheetId="44">'x-417'!$B$18</definedName>
    <definedName name="TABLE_DATE_ISSUED_1" localSheetId="45">'x-418'!$B$18</definedName>
    <definedName name="TABLE_DATE_ISSUED_1" localSheetId="46">'x-419'!$B$18</definedName>
    <definedName name="TABLE_DATE_ISSUED_1" localSheetId="47">'x-420'!$B$18</definedName>
    <definedName name="TABLE_DATE_ISSUED_1" localSheetId="48">'x-421'!$B$18</definedName>
    <definedName name="TABLE_DATE_ISSUED_1" localSheetId="49">'x-422'!$B$18</definedName>
    <definedName name="TABLE_DATE_ISSUED_1" localSheetId="50">'x-423'!$B$18</definedName>
    <definedName name="TABLE_DATE_ISSUED_1" localSheetId="51">'x-424'!$B$18</definedName>
    <definedName name="TABLE_DATE_ISSUED_1" localSheetId="52">'x-501'!$B$18</definedName>
    <definedName name="TABLE_DATE_ISSUED_1" localSheetId="53">'x-502'!$B$18</definedName>
    <definedName name="TABLE_DATE_ISSUED_1" localSheetId="54">'x-503'!$B$18</definedName>
    <definedName name="TABLE_DATE_ISSUED_1" localSheetId="55">'x-504'!$B$18</definedName>
    <definedName name="TABLE_DATE_ISSUED_1" localSheetId="56">'x-601'!$B$18</definedName>
    <definedName name="TABLE_DATE_ISSUED_1" localSheetId="57">'x-603'!$B$18</definedName>
    <definedName name="TABLE_DATE_ISSUED_1" localSheetId="58">'x-604'!$B$18</definedName>
    <definedName name="TABLE_DATE_ISSUED_1" localSheetId="59">'x-605'!$B$18</definedName>
    <definedName name="TABLE_DATE_ISSUED_1" localSheetId="60">'x-606'!$B$18</definedName>
    <definedName name="TABLE_DATE_ISSUED_1" localSheetId="61">'x-607'!$B$18</definedName>
    <definedName name="TABLE_DATE_ISSUED_1" localSheetId="62">'x-608'!$B$18</definedName>
    <definedName name="TABLE_DATE_ISSUED_1" localSheetId="63">'x-610'!$B$18</definedName>
    <definedName name="TABLE_DATE_ISSUED_1" localSheetId="64">'x-611'!$B$18</definedName>
    <definedName name="TABLE_DATE_ISSUED_1" localSheetId="65">'x-612'!$B$18</definedName>
    <definedName name="TABLE_DATE_ISSUED_1" localSheetId="66">'x-613'!$B$18</definedName>
    <definedName name="TABLE_DATE_ISSUED_1" localSheetId="67">'x-701'!$B$18</definedName>
    <definedName name="TABLE_DATE_ISSUED_1" localSheetId="68">'x-702'!$B$18</definedName>
    <definedName name="TABLE_DATE_ISSUED_1" localSheetId="69">'x-703'!$B$18</definedName>
    <definedName name="TABLE_DATE_ISSUED_1" localSheetId="70">'x-704'!$B$18</definedName>
    <definedName name="TABLE_DATE_ISSUED_1" localSheetId="71">'x-705'!$B$18</definedName>
    <definedName name="TABLE_DATE_ISSUED_1" localSheetId="72">'x-706'!$B$18</definedName>
    <definedName name="TABLE_DATE_ISSUED_1" localSheetId="73">'x-707'!$B$18</definedName>
    <definedName name="TABLE_DATE_ISSUED_1" localSheetId="74">'x-708'!$B$18</definedName>
    <definedName name="TABLE_DATE_ISSUED_1" localSheetId="75">'x-709'!$B$18</definedName>
    <definedName name="TABLE_DATE_ISSUED_1" localSheetId="76">'x-710'!$B$18</definedName>
    <definedName name="TABLE_DATE_ISSUED_1" localSheetId="77">'x-711'!$B$18</definedName>
    <definedName name="TABLE_DATE_ISSUED_1" localSheetId="78">'x-717'!$B$18</definedName>
    <definedName name="TABLE_DATE_ISSUED_1" localSheetId="79">'x-718'!$B$18</definedName>
    <definedName name="TABLE_DATE_ISSUED_1" localSheetId="80">'x-719'!$B$18</definedName>
    <definedName name="TABLE_DATE_ISSUED_1" localSheetId="81">'x-720'!$B$18</definedName>
    <definedName name="TABLE_DATE_ISSUED_1" localSheetId="82">'x-721'!$B$18</definedName>
    <definedName name="TABLE_DATE_ISSUED_1" localSheetId="83">'x-722'!$B$18</definedName>
    <definedName name="TABLE_DATE_ISSUED_1" localSheetId="84">'x-723'!$B$18</definedName>
    <definedName name="TABLE_DATE_ISSUED_1" localSheetId="85">'x-724'!$B$18</definedName>
    <definedName name="TABLE_DATE_ISSUED_1" localSheetId="86">'x-725'!$B$18</definedName>
    <definedName name="TABLE_DATE_ISSUED_1" localSheetId="87">'x-726'!$B$18</definedName>
    <definedName name="TABLE_DATE_ISSUED_1" localSheetId="88">'x-727'!$B$18</definedName>
    <definedName name="TABLE_DATE_ISSUED_1" localSheetId="89">'x-728'!$B$18</definedName>
    <definedName name="TABLE_DATE_ISSUED_1" localSheetId="90">'x-729'!$B$18</definedName>
    <definedName name="TABLE_DATE_ISSUED_1" localSheetId="91">'x-811'!$B$18</definedName>
    <definedName name="TABLE_DATE_ISSUED_1" localSheetId="92">'x-812'!$B$18</definedName>
    <definedName name="TABLE_DATE_ISSUED_1" localSheetId="93">'x-813'!$B$18</definedName>
    <definedName name="TABLE_DATE_ISSUED_1" localSheetId="94">'x-814'!$B$18</definedName>
    <definedName name="TABLE_DATE_ISSUED_1" localSheetId="95">'x-815'!$B$18</definedName>
    <definedName name="TABLE_DATE_ISSUED_2" localSheetId="8">'x-001'!$E$18</definedName>
    <definedName name="TABLE_DATE_ISSUED_2" localSheetId="37">'x-408'!$K$18</definedName>
    <definedName name="TABLE_DATE_ISSUED_2" localSheetId="41">'x-412'!$K$18</definedName>
    <definedName name="TABLE_DATE_ISSUED_2" localSheetId="63">'x-610'!$I$18</definedName>
    <definedName name="TABLE_DATE_ISSUED_2" localSheetId="64">'x-611'!$G$18</definedName>
    <definedName name="TABLE_DATE_ISSUED_2" localSheetId="78">'x-717'!$Q$18</definedName>
    <definedName name="TABLE_DATE_ISSUED_2" localSheetId="79">'x-718'!$Q$18</definedName>
    <definedName name="TABLE_DATE_ISSUED_2" localSheetId="80">'x-719'!$Q$18</definedName>
    <definedName name="TABLE_DATE_ISSUED_2" localSheetId="89">'x-728'!$P$18</definedName>
    <definedName name="TABLE_DATE_ISSUED_3" localSheetId="78">'x-717'!$AF$18</definedName>
    <definedName name="TABLE_DATE_ISSUED_3" localSheetId="79">'x-718'!$AF$18</definedName>
    <definedName name="TABLE_DATE_ISSUED_4" localSheetId="78">'x-717'!$AU$18</definedName>
    <definedName name="TABLE_DESCRIPTION">'x-Series Number'!$B$10</definedName>
    <definedName name="TABLE_DESCRIPTION_1" localSheetId="8">'x-001'!$B$10</definedName>
    <definedName name="TABLE_DESCRIPTION_1" localSheetId="9">'x-201'!$B$10</definedName>
    <definedName name="TABLE_DESCRIPTION_1" localSheetId="10">'x-202'!$B$10</definedName>
    <definedName name="TABLE_DESCRIPTION_1" localSheetId="11">'x-203'!$B$10</definedName>
    <definedName name="TABLE_DESCRIPTION_1" localSheetId="12">'x-204'!$B$10</definedName>
    <definedName name="TABLE_DESCRIPTION_1" localSheetId="13">'x-206'!$B$10</definedName>
    <definedName name="TABLE_DESCRIPTION_1" localSheetId="14">'x-207'!$B$10</definedName>
    <definedName name="TABLE_DESCRIPTION_1" localSheetId="15">'x-208'!$B$10</definedName>
    <definedName name="TABLE_DESCRIPTION_1" localSheetId="16">'x-210'!$B$10</definedName>
    <definedName name="TABLE_DESCRIPTION_1" localSheetId="17">'x-211'!$B$10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'x-301'!$B$10</definedName>
    <definedName name="TABLE_DESCRIPTION_1" localSheetId="23">'x-302'!$B$10</definedName>
    <definedName name="TABLE_DESCRIPTION_1" localSheetId="24">'x-303'!$B$10</definedName>
    <definedName name="TABLE_DESCRIPTION_1" localSheetId="25">'x-304'!$B$10</definedName>
    <definedName name="TABLE_DESCRIPTION_1" localSheetId="26">'x-305'!$B$10</definedName>
    <definedName name="TABLE_DESCRIPTION_1" localSheetId="27">'x-306'!$B$10</definedName>
    <definedName name="TABLE_DESCRIPTION_1" localSheetId="28">'x-307'!$B$10</definedName>
    <definedName name="TABLE_DESCRIPTION_1" localSheetId="29">'x-308'!$B$10</definedName>
    <definedName name="TABLE_DESCRIPTION_1" localSheetId="30">'x-401'!$B$10</definedName>
    <definedName name="TABLE_DESCRIPTION_1" localSheetId="31">'x-402'!$B$10</definedName>
    <definedName name="TABLE_DESCRIPTION_1" localSheetId="32">'x-403'!$B$10</definedName>
    <definedName name="TABLE_DESCRIPTION_1" localSheetId="33">'x-404'!$B$10</definedName>
    <definedName name="TABLE_DESCRIPTION_1" localSheetId="34">'x-405'!$B$10</definedName>
    <definedName name="TABLE_DESCRIPTION_1" localSheetId="35">'x-406'!$B$10</definedName>
    <definedName name="TABLE_DESCRIPTION_1" localSheetId="36">'x-407'!$B$10</definedName>
    <definedName name="TABLE_DESCRIPTION_1" localSheetId="37">'x-408'!$B$10</definedName>
    <definedName name="TABLE_DESCRIPTION_1" localSheetId="38">'x-409'!$B$10</definedName>
    <definedName name="TABLE_DESCRIPTION_1" localSheetId="39">'x-410'!$B$10</definedName>
    <definedName name="TABLE_DESCRIPTION_1" localSheetId="40">'x-411'!$B$10</definedName>
    <definedName name="TABLE_DESCRIPTION_1" localSheetId="41">'x-412'!$B$10</definedName>
    <definedName name="TABLE_DESCRIPTION_1" localSheetId="42">'x-413'!$B$10</definedName>
    <definedName name="TABLE_DESCRIPTION_1" localSheetId="43">'x-416'!$B$10</definedName>
    <definedName name="TABLE_DESCRIPTION_1" localSheetId="44">'x-417'!$B$10</definedName>
    <definedName name="TABLE_DESCRIPTION_1" localSheetId="45">'x-418'!$B$10</definedName>
    <definedName name="TABLE_DESCRIPTION_1" localSheetId="46">'x-419'!$B$10</definedName>
    <definedName name="TABLE_DESCRIPTION_1" localSheetId="47">'x-420'!$B$10</definedName>
    <definedName name="TABLE_DESCRIPTION_1" localSheetId="48">'x-421'!$B$10</definedName>
    <definedName name="TABLE_DESCRIPTION_1" localSheetId="49">'x-422'!$B$10</definedName>
    <definedName name="TABLE_DESCRIPTION_1" localSheetId="50">'x-423'!$B$10</definedName>
    <definedName name="TABLE_DESCRIPTION_1" localSheetId="51">'x-424'!$B$10</definedName>
    <definedName name="TABLE_DESCRIPTION_1" localSheetId="52">'x-501'!$B$10</definedName>
    <definedName name="TABLE_DESCRIPTION_1" localSheetId="53">'x-502'!$B$10</definedName>
    <definedName name="TABLE_DESCRIPTION_1" localSheetId="54">'x-503'!$B$10</definedName>
    <definedName name="TABLE_DESCRIPTION_1" localSheetId="55">'x-504'!$B$10</definedName>
    <definedName name="TABLE_DESCRIPTION_1" localSheetId="56">'x-601'!$B$10</definedName>
    <definedName name="TABLE_DESCRIPTION_1" localSheetId="57">'x-603'!$B$10</definedName>
    <definedName name="TABLE_DESCRIPTION_1" localSheetId="58">'x-604'!$B$10</definedName>
    <definedName name="TABLE_DESCRIPTION_1" localSheetId="59">'x-605'!$B$10</definedName>
    <definedName name="TABLE_DESCRIPTION_1" localSheetId="60">'x-606'!$B$10</definedName>
    <definedName name="TABLE_DESCRIPTION_1" localSheetId="61">'x-607'!$B$10</definedName>
    <definedName name="TABLE_DESCRIPTION_1" localSheetId="62">'x-608'!$B$10</definedName>
    <definedName name="TABLE_DESCRIPTION_1" localSheetId="63">'x-610'!$B$10</definedName>
    <definedName name="TABLE_DESCRIPTION_1" localSheetId="64">'x-611'!$B$10</definedName>
    <definedName name="TABLE_DESCRIPTION_1" localSheetId="65">'x-612'!$B$10</definedName>
    <definedName name="TABLE_DESCRIPTION_1" localSheetId="66">'x-613'!$B$10</definedName>
    <definedName name="TABLE_DESCRIPTION_1" localSheetId="67">'x-701'!$B$10</definedName>
    <definedName name="TABLE_DESCRIPTION_1" localSheetId="68">'x-702'!$B$10</definedName>
    <definedName name="TABLE_DESCRIPTION_1" localSheetId="69">'x-703'!$B$10</definedName>
    <definedName name="TABLE_DESCRIPTION_1" localSheetId="70">'x-704'!$B$10</definedName>
    <definedName name="TABLE_DESCRIPTION_1" localSheetId="71">'x-705'!$B$10</definedName>
    <definedName name="TABLE_DESCRIPTION_1" localSheetId="72">'x-706'!$B$10</definedName>
    <definedName name="TABLE_DESCRIPTION_1" localSheetId="73">'x-707'!$B$10</definedName>
    <definedName name="TABLE_DESCRIPTION_1" localSheetId="74">'x-708'!$B$10</definedName>
    <definedName name="TABLE_DESCRIPTION_1" localSheetId="75">'x-709'!$B$10</definedName>
    <definedName name="TABLE_DESCRIPTION_1" localSheetId="76">'x-710'!$B$10</definedName>
    <definedName name="TABLE_DESCRIPTION_1" localSheetId="77">'x-711'!$B$10</definedName>
    <definedName name="TABLE_DESCRIPTION_1" localSheetId="78">'x-717'!$B$10</definedName>
    <definedName name="TABLE_DESCRIPTION_1" localSheetId="79">'x-718'!$B$10</definedName>
    <definedName name="TABLE_DESCRIPTION_1" localSheetId="80">'x-719'!$B$10</definedName>
    <definedName name="TABLE_DESCRIPTION_1" localSheetId="81">'x-720'!$B$10</definedName>
    <definedName name="TABLE_DESCRIPTION_1" localSheetId="82">'x-721'!$B$10</definedName>
    <definedName name="TABLE_DESCRIPTION_1" localSheetId="83">'x-722'!$B$10</definedName>
    <definedName name="TABLE_DESCRIPTION_1" localSheetId="84">'x-723'!$B$10</definedName>
    <definedName name="TABLE_DESCRIPTION_1" localSheetId="85">'x-724'!$B$10</definedName>
    <definedName name="TABLE_DESCRIPTION_1" localSheetId="86">'x-725'!$B$10</definedName>
    <definedName name="TABLE_DESCRIPTION_1" localSheetId="87">'x-726'!$B$10</definedName>
    <definedName name="TABLE_DESCRIPTION_1" localSheetId="88">'x-727'!$B$10</definedName>
    <definedName name="TABLE_DESCRIPTION_1" localSheetId="89">'x-728'!$B$10</definedName>
    <definedName name="TABLE_DESCRIPTION_1" localSheetId="90">'x-729'!$B$10</definedName>
    <definedName name="TABLE_DESCRIPTION_1" localSheetId="91">'x-811'!$B$10</definedName>
    <definedName name="TABLE_DESCRIPTION_1" localSheetId="92">'x-812'!$B$10</definedName>
    <definedName name="TABLE_DESCRIPTION_1" localSheetId="93">'x-813'!$B$10</definedName>
    <definedName name="TABLE_DESCRIPTION_1" localSheetId="94">'x-814'!$B$10</definedName>
    <definedName name="TABLE_DESCRIPTION_1" localSheetId="95">'x-815'!$B$10</definedName>
    <definedName name="TABLE_DESCRIPTION_2" localSheetId="8">'x-001'!$E$10</definedName>
    <definedName name="TABLE_DESCRIPTION_2" localSheetId="37">'x-408'!$K$10</definedName>
    <definedName name="TABLE_DESCRIPTION_2" localSheetId="41">'x-412'!$K$10</definedName>
    <definedName name="TABLE_DESCRIPTION_2" localSheetId="63">'x-610'!$I$10</definedName>
    <definedName name="TABLE_DESCRIPTION_2" localSheetId="64">'x-611'!$G$10</definedName>
    <definedName name="TABLE_DESCRIPTION_2" localSheetId="78">'x-717'!$Q$10</definedName>
    <definedName name="TABLE_DESCRIPTION_2" localSheetId="79">'x-718'!$Q$10</definedName>
    <definedName name="TABLE_DESCRIPTION_2" localSheetId="80">'x-719'!$Q$10</definedName>
    <definedName name="TABLE_DESCRIPTION_2" localSheetId="89">'x-728'!$P$10</definedName>
    <definedName name="TABLE_DESCRIPTION_3" localSheetId="78">'x-717'!$AF$10</definedName>
    <definedName name="TABLE_DESCRIPTION_3" localSheetId="79">'x-718'!$AF$10</definedName>
    <definedName name="TABLE_DESCRIPTION_4" localSheetId="78">'x-717'!$AU$10</definedName>
    <definedName name="TABLE_FACTOR_STATUS">'x-Series Number'!$B$20</definedName>
    <definedName name="TABLE_FACTOR_STATUS_1" localSheetId="8">'x-001'!$B$20</definedName>
    <definedName name="TABLE_FACTOR_STATUS_1" localSheetId="9">'x-201'!$B$20</definedName>
    <definedName name="TABLE_FACTOR_STATUS_1" localSheetId="10">'x-202'!$B$20</definedName>
    <definedName name="TABLE_FACTOR_STATUS_1" localSheetId="11">'x-203'!$B$20</definedName>
    <definedName name="TABLE_FACTOR_STATUS_1" localSheetId="12">'x-204'!$B$20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'x-210'!$B$20</definedName>
    <definedName name="TABLE_FACTOR_STATUS_1" localSheetId="17">'x-211'!$B$20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'x-301'!$B$20</definedName>
    <definedName name="TABLE_FACTOR_STATUS_1" localSheetId="23">'x-302'!$B$20</definedName>
    <definedName name="TABLE_FACTOR_STATUS_1" localSheetId="24">'x-303'!$B$20</definedName>
    <definedName name="TABLE_FACTOR_STATUS_1" localSheetId="25">'x-304'!$B$20</definedName>
    <definedName name="TABLE_FACTOR_STATUS_1" localSheetId="26">'x-305'!$B$20</definedName>
    <definedName name="TABLE_FACTOR_STATUS_1" localSheetId="27">'x-306'!$B$20</definedName>
    <definedName name="TABLE_FACTOR_STATUS_1" localSheetId="28">'x-307'!$B$20</definedName>
    <definedName name="TABLE_FACTOR_STATUS_1" localSheetId="29">'x-308'!$B$20</definedName>
    <definedName name="TABLE_FACTOR_STATUS_1" localSheetId="30">'x-401'!$B$20</definedName>
    <definedName name="TABLE_FACTOR_STATUS_1" localSheetId="31">'x-402'!$B$20</definedName>
    <definedName name="TABLE_FACTOR_STATUS_1" localSheetId="32">'x-403'!$B$20</definedName>
    <definedName name="TABLE_FACTOR_STATUS_1" localSheetId="33">'x-404'!$B$20</definedName>
    <definedName name="TABLE_FACTOR_STATUS_1" localSheetId="34">'x-405'!$B$20</definedName>
    <definedName name="TABLE_FACTOR_STATUS_1" localSheetId="35">'x-406'!$B$20</definedName>
    <definedName name="TABLE_FACTOR_STATUS_1" localSheetId="36">'x-407'!$B$20</definedName>
    <definedName name="TABLE_FACTOR_STATUS_1" localSheetId="37">'x-408'!$B$20</definedName>
    <definedName name="TABLE_FACTOR_STATUS_1" localSheetId="38">'x-409'!$B$20</definedName>
    <definedName name="TABLE_FACTOR_STATUS_1" localSheetId="39">'x-410'!$B$20</definedName>
    <definedName name="TABLE_FACTOR_STATUS_1" localSheetId="40">'x-411'!$B$20</definedName>
    <definedName name="TABLE_FACTOR_STATUS_1" localSheetId="41">'x-412'!$B$20</definedName>
    <definedName name="TABLE_FACTOR_STATUS_1" localSheetId="42">'x-413'!$B$20</definedName>
    <definedName name="TABLE_FACTOR_STATUS_1" localSheetId="43">'x-416'!$B$20</definedName>
    <definedName name="TABLE_FACTOR_STATUS_1" localSheetId="44">'x-417'!$B$20</definedName>
    <definedName name="TABLE_FACTOR_STATUS_1" localSheetId="45">'x-418'!$B$20</definedName>
    <definedName name="TABLE_FACTOR_STATUS_1" localSheetId="46">'x-419'!$B$20</definedName>
    <definedName name="TABLE_FACTOR_STATUS_1" localSheetId="47">'x-420'!$B$20</definedName>
    <definedName name="TABLE_FACTOR_STATUS_1" localSheetId="48">'x-421'!$B$20</definedName>
    <definedName name="TABLE_FACTOR_STATUS_1" localSheetId="49">'x-422'!$B$20</definedName>
    <definedName name="TABLE_FACTOR_STATUS_1" localSheetId="50">'x-423'!$B$20</definedName>
    <definedName name="TABLE_FACTOR_STATUS_1" localSheetId="51">'x-424'!$B$20</definedName>
    <definedName name="TABLE_FACTOR_STATUS_1" localSheetId="52">'x-501'!$B$20</definedName>
    <definedName name="TABLE_FACTOR_STATUS_1" localSheetId="53">'x-502'!$B$20</definedName>
    <definedName name="TABLE_FACTOR_STATUS_1" localSheetId="54">'x-503'!$B$20</definedName>
    <definedName name="TABLE_FACTOR_STATUS_1" localSheetId="55">'x-504'!$B$20</definedName>
    <definedName name="TABLE_FACTOR_STATUS_1" localSheetId="56">'x-601'!$B$20</definedName>
    <definedName name="TABLE_FACTOR_STATUS_1" localSheetId="57">'x-603'!$B$20</definedName>
    <definedName name="TABLE_FACTOR_STATUS_1" localSheetId="58">'x-604'!$B$20</definedName>
    <definedName name="TABLE_FACTOR_STATUS_1" localSheetId="59">'x-605'!$B$20</definedName>
    <definedName name="TABLE_FACTOR_STATUS_1" localSheetId="60">'x-606'!$B$20</definedName>
    <definedName name="TABLE_FACTOR_STATUS_1" localSheetId="61">'x-607'!$B$20</definedName>
    <definedName name="TABLE_FACTOR_STATUS_1" localSheetId="62">'x-608'!$B$20</definedName>
    <definedName name="TABLE_FACTOR_STATUS_1" localSheetId="63">'x-610'!$B$20</definedName>
    <definedName name="TABLE_FACTOR_STATUS_1" localSheetId="64">'x-611'!$B$20</definedName>
    <definedName name="TABLE_FACTOR_STATUS_1" localSheetId="65">'x-612'!$B$20</definedName>
    <definedName name="TABLE_FACTOR_STATUS_1" localSheetId="66">'x-613'!$B$20</definedName>
    <definedName name="TABLE_FACTOR_STATUS_1" localSheetId="67">'x-701'!$B$20</definedName>
    <definedName name="TABLE_FACTOR_STATUS_1" localSheetId="68">'x-702'!$B$20</definedName>
    <definedName name="TABLE_FACTOR_STATUS_1" localSheetId="69">'x-703'!$B$20</definedName>
    <definedName name="TABLE_FACTOR_STATUS_1" localSheetId="70">'x-704'!$B$20</definedName>
    <definedName name="TABLE_FACTOR_STATUS_1" localSheetId="71">'x-705'!$B$20</definedName>
    <definedName name="TABLE_FACTOR_STATUS_1" localSheetId="72">'x-706'!$B$20</definedName>
    <definedName name="TABLE_FACTOR_STATUS_1" localSheetId="73">'x-707'!$B$20</definedName>
    <definedName name="TABLE_FACTOR_STATUS_1" localSheetId="74">'x-708'!$B$20</definedName>
    <definedName name="TABLE_FACTOR_STATUS_1" localSheetId="75">'x-709'!$B$20</definedName>
    <definedName name="TABLE_FACTOR_STATUS_1" localSheetId="76">'x-710'!$B$20</definedName>
    <definedName name="TABLE_FACTOR_STATUS_1" localSheetId="77">'x-711'!$B$20</definedName>
    <definedName name="TABLE_FACTOR_STATUS_1" localSheetId="78">'x-717'!$B$20</definedName>
    <definedName name="TABLE_FACTOR_STATUS_1" localSheetId="79">'x-718'!$B$20</definedName>
    <definedName name="TABLE_FACTOR_STATUS_1" localSheetId="80">'x-719'!$B$20</definedName>
    <definedName name="TABLE_FACTOR_STATUS_1" localSheetId="81">'x-720'!$B$20</definedName>
    <definedName name="TABLE_FACTOR_STATUS_1" localSheetId="82">'x-721'!$B$20</definedName>
    <definedName name="TABLE_FACTOR_STATUS_1" localSheetId="83">'x-722'!$B$20</definedName>
    <definedName name="TABLE_FACTOR_STATUS_1" localSheetId="84">'x-723'!$B$20</definedName>
    <definedName name="TABLE_FACTOR_STATUS_1" localSheetId="85">'x-724'!$B$20</definedName>
    <definedName name="TABLE_FACTOR_STATUS_1" localSheetId="86">'x-725'!$B$20</definedName>
    <definedName name="TABLE_FACTOR_STATUS_1" localSheetId="87">'x-726'!$B$20</definedName>
    <definedName name="TABLE_FACTOR_STATUS_1" localSheetId="88">'x-727'!$B$20</definedName>
    <definedName name="TABLE_FACTOR_STATUS_1" localSheetId="89">'x-728'!$B$20</definedName>
    <definedName name="TABLE_FACTOR_STATUS_1" localSheetId="90">'x-729'!$B$20</definedName>
    <definedName name="TABLE_FACTOR_STATUS_1" localSheetId="91">'x-811'!$B$20</definedName>
    <definedName name="TABLE_FACTOR_STATUS_1" localSheetId="92">'x-812'!$B$20</definedName>
    <definedName name="TABLE_FACTOR_STATUS_1" localSheetId="93">'x-813'!$B$20</definedName>
    <definedName name="TABLE_FACTOR_STATUS_1" localSheetId="94">'x-814'!$B$20</definedName>
    <definedName name="TABLE_FACTOR_STATUS_1" localSheetId="95">'x-815'!$B$20</definedName>
    <definedName name="TABLE_FACTOR_STATUS_2" localSheetId="8">'x-001'!$E$20</definedName>
    <definedName name="TABLE_FACTOR_STATUS_2" localSheetId="37">'x-408'!$K$20</definedName>
    <definedName name="TABLE_FACTOR_STATUS_2" localSheetId="41">'x-412'!$K$20</definedName>
    <definedName name="TABLE_FACTOR_STATUS_2" localSheetId="63">'x-610'!$I$20</definedName>
    <definedName name="TABLE_FACTOR_STATUS_2" localSheetId="64">'x-611'!$G$20</definedName>
    <definedName name="TABLE_FACTOR_STATUS_2" localSheetId="78">'x-717'!$Q$20</definedName>
    <definedName name="TABLE_FACTOR_STATUS_2" localSheetId="79">'x-718'!$Q$20</definedName>
    <definedName name="TABLE_FACTOR_STATUS_2" localSheetId="80">'x-719'!$Q$20</definedName>
    <definedName name="TABLE_FACTOR_STATUS_2" localSheetId="89">'x-728'!$P$20</definedName>
    <definedName name="TABLE_FACTOR_STATUS_3" localSheetId="78">'x-717'!$AF$20</definedName>
    <definedName name="TABLE_FACTOR_STATUS_3" localSheetId="79">'x-718'!$AF$20</definedName>
    <definedName name="TABLE_FACTOR_STATUS_4" localSheetId="78">'x-717'!#REF!</definedName>
    <definedName name="TABLE_FACTOR_TYPE" localSheetId="7">'[2]x-Series Number'!$B$9</definedName>
    <definedName name="TABLE_FACTOR_TYPE" localSheetId="55">'[1]x-Series Number'!$B$9</definedName>
    <definedName name="TABLE_FACTOR_TYPE" localSheetId="95">'[3]x-Series Number'!$B$9</definedName>
    <definedName name="TABLE_FACTOR_TYPE">'x-Series Number'!$B$9</definedName>
    <definedName name="TABLE_FACTOR_TYPE_1" localSheetId="8">'x-001'!$B$9</definedName>
    <definedName name="TABLE_FACTOR_TYPE_1" localSheetId="9">'x-201'!$B$9</definedName>
    <definedName name="TABLE_FACTOR_TYPE_1" localSheetId="10">'x-202'!$B$9</definedName>
    <definedName name="TABLE_FACTOR_TYPE_1" localSheetId="11">'x-203'!$B$9</definedName>
    <definedName name="TABLE_FACTOR_TYPE_1" localSheetId="12">'x-204'!$B$9</definedName>
    <definedName name="TABLE_FACTOR_TYPE_1" localSheetId="13">'x-206'!$B$9</definedName>
    <definedName name="TABLE_FACTOR_TYPE_1" localSheetId="14">'x-207'!$B$9</definedName>
    <definedName name="TABLE_FACTOR_TYPE_1" localSheetId="15">'x-208'!$B$9</definedName>
    <definedName name="TABLE_FACTOR_TYPE_1" localSheetId="16">'x-210'!$B$9</definedName>
    <definedName name="TABLE_FACTOR_TYPE_1" localSheetId="17">'x-211'!$B$9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'x-301'!$B$9</definedName>
    <definedName name="TABLE_FACTOR_TYPE_1" localSheetId="23">'x-302'!$B$9</definedName>
    <definedName name="TABLE_FACTOR_TYPE_1" localSheetId="24">'x-303'!$B$9</definedName>
    <definedName name="TABLE_FACTOR_TYPE_1" localSheetId="25">'x-304'!$B$9</definedName>
    <definedName name="TABLE_FACTOR_TYPE_1" localSheetId="26">'x-305'!$B$9</definedName>
    <definedName name="TABLE_FACTOR_TYPE_1" localSheetId="27">'x-306'!$B$9</definedName>
    <definedName name="TABLE_FACTOR_TYPE_1" localSheetId="28">'x-307'!$B$9</definedName>
    <definedName name="TABLE_FACTOR_TYPE_1" localSheetId="29">'x-308'!$B$9</definedName>
    <definedName name="TABLE_FACTOR_TYPE_1" localSheetId="30">'x-401'!$B$9</definedName>
    <definedName name="TABLE_FACTOR_TYPE_1" localSheetId="31">'x-402'!$B$9</definedName>
    <definedName name="TABLE_FACTOR_TYPE_1" localSheetId="32">'x-403'!$B$9</definedName>
    <definedName name="TABLE_FACTOR_TYPE_1" localSheetId="33">'x-404'!$B$9</definedName>
    <definedName name="TABLE_FACTOR_TYPE_1" localSheetId="34">'x-405'!$B$9</definedName>
    <definedName name="TABLE_FACTOR_TYPE_1" localSheetId="35">'x-406'!$B$9</definedName>
    <definedName name="TABLE_FACTOR_TYPE_1" localSheetId="36">'x-407'!$B$9</definedName>
    <definedName name="TABLE_FACTOR_TYPE_1" localSheetId="37">'x-408'!$B$9</definedName>
    <definedName name="TABLE_FACTOR_TYPE_1" localSheetId="38">'x-409'!$B$9</definedName>
    <definedName name="TABLE_FACTOR_TYPE_1" localSheetId="39">'x-410'!$B$9</definedName>
    <definedName name="TABLE_FACTOR_TYPE_1" localSheetId="40">'x-411'!$B$9</definedName>
    <definedName name="TABLE_FACTOR_TYPE_1" localSheetId="41">'x-412'!$B$9</definedName>
    <definedName name="TABLE_FACTOR_TYPE_1" localSheetId="42">'x-413'!$B$9</definedName>
    <definedName name="TABLE_FACTOR_TYPE_1" localSheetId="43">'x-416'!$B$9</definedName>
    <definedName name="TABLE_FACTOR_TYPE_1" localSheetId="44">'x-417'!$B$9</definedName>
    <definedName name="TABLE_FACTOR_TYPE_1" localSheetId="45">'x-418'!$B$9</definedName>
    <definedName name="TABLE_FACTOR_TYPE_1" localSheetId="46">'x-419'!$B$9</definedName>
    <definedName name="TABLE_FACTOR_TYPE_1" localSheetId="47">'x-420'!$B$9</definedName>
    <definedName name="TABLE_FACTOR_TYPE_1" localSheetId="48">'x-421'!$B$9</definedName>
    <definedName name="TABLE_FACTOR_TYPE_1" localSheetId="49">'x-422'!$B$9</definedName>
    <definedName name="TABLE_FACTOR_TYPE_1" localSheetId="50">'x-423'!$B$9</definedName>
    <definedName name="TABLE_FACTOR_TYPE_1" localSheetId="51">'x-424'!$B$9</definedName>
    <definedName name="TABLE_FACTOR_TYPE_1" localSheetId="52">'x-501'!$B$9</definedName>
    <definedName name="TABLE_FACTOR_TYPE_1" localSheetId="53">'x-502'!$B$9</definedName>
    <definedName name="TABLE_FACTOR_TYPE_1" localSheetId="54">'x-503'!$B$9</definedName>
    <definedName name="TABLE_FACTOR_TYPE_1" localSheetId="55">'x-504'!$B$9</definedName>
    <definedName name="TABLE_FACTOR_TYPE_1" localSheetId="56">'x-601'!$B$9</definedName>
    <definedName name="TABLE_FACTOR_TYPE_1" localSheetId="57">'x-603'!$B$9</definedName>
    <definedName name="TABLE_FACTOR_TYPE_1" localSheetId="58">'x-604'!$B$9</definedName>
    <definedName name="TABLE_FACTOR_TYPE_1" localSheetId="59">'x-605'!$B$9</definedName>
    <definedName name="TABLE_FACTOR_TYPE_1" localSheetId="60">'x-606'!$B$9</definedName>
    <definedName name="TABLE_FACTOR_TYPE_1" localSheetId="61">'x-607'!$B$9</definedName>
    <definedName name="TABLE_FACTOR_TYPE_1" localSheetId="62">'x-608'!$B$9</definedName>
    <definedName name="TABLE_FACTOR_TYPE_1" localSheetId="63">'x-610'!$B$9</definedName>
    <definedName name="TABLE_FACTOR_TYPE_1" localSheetId="64">'x-611'!$B$9</definedName>
    <definedName name="TABLE_FACTOR_TYPE_1" localSheetId="65">'x-612'!$B$9</definedName>
    <definedName name="TABLE_FACTOR_TYPE_1" localSheetId="66">'x-613'!$B$9</definedName>
    <definedName name="TABLE_FACTOR_TYPE_1" localSheetId="67">'x-701'!$B$9</definedName>
    <definedName name="TABLE_FACTOR_TYPE_1" localSheetId="68">'x-702'!$B$9</definedName>
    <definedName name="TABLE_FACTOR_TYPE_1" localSheetId="69">'x-703'!$B$9</definedName>
    <definedName name="TABLE_FACTOR_TYPE_1" localSheetId="70">'x-704'!$B$9</definedName>
    <definedName name="TABLE_FACTOR_TYPE_1" localSheetId="71">'x-705'!$B$9</definedName>
    <definedName name="TABLE_FACTOR_TYPE_1" localSheetId="72">'x-706'!$B$9</definedName>
    <definedName name="TABLE_FACTOR_TYPE_1" localSheetId="73">'x-707'!$B$9</definedName>
    <definedName name="TABLE_FACTOR_TYPE_1" localSheetId="74">'x-708'!$B$9</definedName>
    <definedName name="TABLE_FACTOR_TYPE_1" localSheetId="75">'x-709'!$B$9</definedName>
    <definedName name="TABLE_FACTOR_TYPE_1" localSheetId="76">'x-710'!$B$9</definedName>
    <definedName name="TABLE_FACTOR_TYPE_1" localSheetId="77">'x-711'!$B$9</definedName>
    <definedName name="TABLE_FACTOR_TYPE_1" localSheetId="78">'x-717'!$B$9</definedName>
    <definedName name="TABLE_FACTOR_TYPE_1" localSheetId="79">'x-718'!$B$9</definedName>
    <definedName name="TABLE_FACTOR_TYPE_1" localSheetId="80">'x-719'!$B$9</definedName>
    <definedName name="TABLE_FACTOR_TYPE_1" localSheetId="81">'x-720'!$B$9</definedName>
    <definedName name="TABLE_FACTOR_TYPE_1" localSheetId="82">'x-721'!$B$9</definedName>
    <definedName name="TABLE_FACTOR_TYPE_1" localSheetId="83">'x-722'!$B$9</definedName>
    <definedName name="TABLE_FACTOR_TYPE_1" localSheetId="84">'x-723'!$B$9</definedName>
    <definedName name="TABLE_FACTOR_TYPE_1" localSheetId="85">'x-724'!$B$9</definedName>
    <definedName name="TABLE_FACTOR_TYPE_1" localSheetId="86">'x-725'!$B$9</definedName>
    <definedName name="TABLE_FACTOR_TYPE_1" localSheetId="87">'x-726'!$B$9</definedName>
    <definedName name="TABLE_FACTOR_TYPE_1" localSheetId="88">'x-727'!$B$9</definedName>
    <definedName name="TABLE_FACTOR_TYPE_1" localSheetId="89">'x-728'!$B$9</definedName>
    <definedName name="TABLE_FACTOR_TYPE_1" localSheetId="90">'x-729'!$B$9</definedName>
    <definedName name="TABLE_FACTOR_TYPE_1" localSheetId="91">'x-811'!$B$9</definedName>
    <definedName name="TABLE_FACTOR_TYPE_1" localSheetId="92">'x-812'!$B$9</definedName>
    <definedName name="TABLE_FACTOR_TYPE_1" localSheetId="93">'x-813'!$B$9</definedName>
    <definedName name="TABLE_FACTOR_TYPE_1" localSheetId="94">'x-814'!$B$9</definedName>
    <definedName name="TABLE_FACTOR_TYPE_1" localSheetId="95">'x-815'!$B$9</definedName>
    <definedName name="TABLE_FACTOR_TYPE_2" localSheetId="8">'x-001'!$E$9</definedName>
    <definedName name="TABLE_FACTOR_TYPE_2" localSheetId="37">'x-408'!$K$9</definedName>
    <definedName name="TABLE_FACTOR_TYPE_2" localSheetId="41">'x-412'!$K$9</definedName>
    <definedName name="TABLE_FACTOR_TYPE_2" localSheetId="63">'x-610'!$I$9</definedName>
    <definedName name="TABLE_FACTOR_TYPE_2" localSheetId="64">'x-611'!$G$9</definedName>
    <definedName name="TABLE_FACTOR_TYPE_2" localSheetId="78">'x-717'!$Q$9</definedName>
    <definedName name="TABLE_FACTOR_TYPE_2" localSheetId="79">'x-718'!$Q$9</definedName>
    <definedName name="TABLE_FACTOR_TYPE_2" localSheetId="80">'x-719'!$Q$9</definedName>
    <definedName name="TABLE_FACTOR_TYPE_2" localSheetId="89">'x-728'!$P$9</definedName>
    <definedName name="TABLE_FACTOR_TYPE_3" localSheetId="78">'x-717'!$AF$9</definedName>
    <definedName name="TABLE_FACTOR_TYPE_3" localSheetId="79">'x-718'!$AF$9</definedName>
    <definedName name="TABLE_FACTOR_TYPE_4" localSheetId="78">'x-717'!$AU$9</definedName>
    <definedName name="TABLE_GENDER">'x-Series Number'!$B$11</definedName>
    <definedName name="TABLE_GENDER_1" localSheetId="8">'x-001'!$B$11</definedName>
    <definedName name="TABLE_GENDER_1" localSheetId="9">'x-201'!$B$11</definedName>
    <definedName name="TABLE_GENDER_1" localSheetId="10">'x-202'!$B$11</definedName>
    <definedName name="TABLE_GENDER_1" localSheetId="11">'x-203'!$B$11</definedName>
    <definedName name="TABLE_GENDER_1" localSheetId="12">'x-204'!$B$11</definedName>
    <definedName name="TABLE_GENDER_1" localSheetId="13">'x-206'!$B$11</definedName>
    <definedName name="TABLE_GENDER_1" localSheetId="14">'x-207'!$B$11</definedName>
    <definedName name="TABLE_GENDER_1" localSheetId="15">'x-208'!$B$11</definedName>
    <definedName name="TABLE_GENDER_1" localSheetId="16">'x-210'!$B$11</definedName>
    <definedName name="TABLE_GENDER_1" localSheetId="17">'x-211'!$B$11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'x-301'!$B$11</definedName>
    <definedName name="TABLE_GENDER_1" localSheetId="23">'x-302'!$B$11</definedName>
    <definedName name="TABLE_GENDER_1" localSheetId="24">'x-303'!$B$11</definedName>
    <definedName name="TABLE_GENDER_1" localSheetId="25">'x-304'!$B$11</definedName>
    <definedName name="TABLE_GENDER_1" localSheetId="26">'x-305'!$B$11</definedName>
    <definedName name="TABLE_GENDER_1" localSheetId="27">'x-306'!$B$11</definedName>
    <definedName name="TABLE_GENDER_1" localSheetId="28">'x-307'!$B$11</definedName>
    <definedName name="TABLE_GENDER_1" localSheetId="29">'x-308'!$B$11</definedName>
    <definedName name="TABLE_GENDER_1" localSheetId="30">'x-401'!$B$11</definedName>
    <definedName name="TABLE_GENDER_1" localSheetId="31">'x-402'!$B$11</definedName>
    <definedName name="TABLE_GENDER_1" localSheetId="32">'x-403'!$B$11</definedName>
    <definedName name="TABLE_GENDER_1" localSheetId="33">'x-404'!$B$11</definedName>
    <definedName name="TABLE_GENDER_1" localSheetId="34">'x-405'!$B$11</definedName>
    <definedName name="TABLE_GENDER_1" localSheetId="35">'x-406'!$B$11</definedName>
    <definedName name="TABLE_GENDER_1" localSheetId="36">'x-407'!$B$11</definedName>
    <definedName name="TABLE_GENDER_1" localSheetId="37">'x-408'!$B$11</definedName>
    <definedName name="TABLE_GENDER_1" localSheetId="38">'x-409'!$B$11</definedName>
    <definedName name="TABLE_GENDER_1" localSheetId="39">'x-410'!$B$11</definedName>
    <definedName name="TABLE_GENDER_1" localSheetId="40">'x-411'!$B$11</definedName>
    <definedName name="TABLE_GENDER_1" localSheetId="41">'x-412'!$B$11</definedName>
    <definedName name="TABLE_GENDER_1" localSheetId="42">'x-413'!$B$11</definedName>
    <definedName name="TABLE_GENDER_1" localSheetId="43">'x-416'!$B$11</definedName>
    <definedName name="TABLE_GENDER_1" localSheetId="44">'x-417'!$B$11</definedName>
    <definedName name="TABLE_GENDER_1" localSheetId="45">'x-418'!$B$11</definedName>
    <definedName name="TABLE_GENDER_1" localSheetId="46">'x-419'!$B$11</definedName>
    <definedName name="TABLE_GENDER_1" localSheetId="47">'x-420'!$B$11</definedName>
    <definedName name="TABLE_GENDER_1" localSheetId="48">'x-421'!$B$11</definedName>
    <definedName name="TABLE_GENDER_1" localSheetId="49">'x-422'!$B$11</definedName>
    <definedName name="TABLE_GENDER_1" localSheetId="50">'x-423'!$B$11</definedName>
    <definedName name="TABLE_GENDER_1" localSheetId="51">'x-424'!$B$11</definedName>
    <definedName name="TABLE_GENDER_1" localSheetId="52">'x-501'!$B$11</definedName>
    <definedName name="TABLE_GENDER_1" localSheetId="53">'x-502'!$B$11</definedName>
    <definedName name="TABLE_GENDER_1" localSheetId="54">'x-503'!$B$11</definedName>
    <definedName name="TABLE_GENDER_1" localSheetId="55">'x-504'!$B$11</definedName>
    <definedName name="TABLE_GENDER_1" localSheetId="56">'x-601'!$B$11</definedName>
    <definedName name="TABLE_GENDER_1" localSheetId="57">'x-603'!$B$11</definedName>
    <definedName name="TABLE_GENDER_1" localSheetId="58">'x-604'!$B$11</definedName>
    <definedName name="TABLE_GENDER_1" localSheetId="59">'x-605'!$B$11</definedName>
    <definedName name="TABLE_GENDER_1" localSheetId="60">'x-606'!$B$11</definedName>
    <definedName name="TABLE_GENDER_1" localSheetId="61">'x-607'!$B$11</definedName>
    <definedName name="TABLE_GENDER_1" localSheetId="62">'x-608'!$B$11</definedName>
    <definedName name="TABLE_GENDER_1" localSheetId="63">'x-610'!$B$11</definedName>
    <definedName name="TABLE_GENDER_1" localSheetId="64">'x-611'!$B$11</definedName>
    <definedName name="TABLE_GENDER_1" localSheetId="65">'x-612'!$B$11</definedName>
    <definedName name="TABLE_GENDER_1" localSheetId="66">'x-613'!$B$11</definedName>
    <definedName name="TABLE_GENDER_1" localSheetId="67">'x-701'!$B$11</definedName>
    <definedName name="TABLE_GENDER_1" localSheetId="68">'x-702'!$B$11</definedName>
    <definedName name="TABLE_GENDER_1" localSheetId="69">'x-703'!$B$11</definedName>
    <definedName name="TABLE_GENDER_1" localSheetId="70">'x-704'!$B$11</definedName>
    <definedName name="TABLE_GENDER_1" localSheetId="71">'x-705'!$B$11</definedName>
    <definedName name="TABLE_GENDER_1" localSheetId="72">'x-706'!$B$11</definedName>
    <definedName name="TABLE_GENDER_1" localSheetId="73">'x-707'!$B$11</definedName>
    <definedName name="TABLE_GENDER_1" localSheetId="74">'x-708'!$B$11</definedName>
    <definedName name="TABLE_GENDER_1" localSheetId="75">'x-709'!$B$11</definedName>
    <definedName name="TABLE_GENDER_1" localSheetId="76">'x-710'!$B$11</definedName>
    <definedName name="TABLE_GENDER_1" localSheetId="77">'x-711'!$B$11</definedName>
    <definedName name="TABLE_GENDER_1" localSheetId="78">'x-717'!$B$11</definedName>
    <definedName name="TABLE_GENDER_1" localSheetId="79">'x-718'!$B$11</definedName>
    <definedName name="TABLE_GENDER_1" localSheetId="80">'x-719'!$B$11</definedName>
    <definedName name="TABLE_GENDER_1" localSheetId="81">'x-720'!$B$11</definedName>
    <definedName name="TABLE_GENDER_1" localSheetId="82">'x-721'!$B$11</definedName>
    <definedName name="TABLE_GENDER_1" localSheetId="83">'x-722'!$B$11</definedName>
    <definedName name="TABLE_GENDER_1" localSheetId="84">'x-723'!$B$11</definedName>
    <definedName name="TABLE_GENDER_1" localSheetId="85">'x-724'!$B$11</definedName>
    <definedName name="TABLE_GENDER_1" localSheetId="86">'x-725'!$B$11</definedName>
    <definedName name="TABLE_GENDER_1" localSheetId="87">'x-726'!$B$11</definedName>
    <definedName name="TABLE_GENDER_1" localSheetId="88">'x-727'!$B$11</definedName>
    <definedName name="TABLE_GENDER_1" localSheetId="89">'x-728'!$B$11</definedName>
    <definedName name="TABLE_GENDER_1" localSheetId="90">'x-729'!$B$11</definedName>
    <definedName name="TABLE_GENDER_1" localSheetId="91">'x-811'!$B$11</definedName>
    <definedName name="TABLE_GENDER_1" localSheetId="92">'x-812'!$B$11</definedName>
    <definedName name="TABLE_GENDER_1" localSheetId="93">'x-813'!$B$11</definedName>
    <definedName name="TABLE_GENDER_1" localSheetId="94">'x-814'!$B$11</definedName>
    <definedName name="TABLE_GENDER_1" localSheetId="95">'x-815'!$B$11</definedName>
    <definedName name="TABLE_GENDER_2" localSheetId="8">'x-001'!$E$11</definedName>
    <definedName name="TABLE_GENDER_2" localSheetId="37">'x-408'!$K$11</definedName>
    <definedName name="TABLE_GENDER_2" localSheetId="41">'x-412'!$K$11</definedName>
    <definedName name="TABLE_GENDER_2" localSheetId="63">'x-610'!$I$11</definedName>
    <definedName name="TABLE_GENDER_2" localSheetId="64">'x-611'!$G$11</definedName>
    <definedName name="TABLE_GENDER_2" localSheetId="78">'x-717'!$Q$11</definedName>
    <definedName name="TABLE_GENDER_2" localSheetId="79">'x-718'!$Q$11</definedName>
    <definedName name="TABLE_GENDER_2" localSheetId="80">'x-719'!$Q$11</definedName>
    <definedName name="TABLE_GENDER_2" localSheetId="89">'x-728'!$P$11</definedName>
    <definedName name="TABLE_GENDER_3" localSheetId="78">'x-717'!$AF$11</definedName>
    <definedName name="TABLE_GENDER_3" localSheetId="79">'x-718'!$AF$11</definedName>
    <definedName name="TABLE_GENDER_4" localSheetId="78">'x-717'!$AU$11</definedName>
    <definedName name="TABLE_INFO">'x-Series Number'!$A$6:$B$20</definedName>
    <definedName name="TABLE_INFO_1" localSheetId="8">'x-001'!$A$6:$B$21</definedName>
    <definedName name="TABLE_INFO_1" localSheetId="9">'x-201'!$A$6:$B$21</definedName>
    <definedName name="TABLE_INFO_1" localSheetId="10">'x-202'!$A$6:$B$21</definedName>
    <definedName name="TABLE_INFO_1" localSheetId="11">'x-203'!$A$6:$B$21</definedName>
    <definedName name="TABLE_INFO_1" localSheetId="12">'x-204'!$A$6:$B$21</definedName>
    <definedName name="TABLE_INFO_1" localSheetId="13">'x-206'!$A$6:$B$21</definedName>
    <definedName name="TABLE_INFO_1" localSheetId="14">'x-207'!$A$6:$B$21</definedName>
    <definedName name="TABLE_INFO_1" localSheetId="15">'x-208'!$A$6:$B$21</definedName>
    <definedName name="TABLE_INFO_1" localSheetId="16">'x-210'!$A$6:$B$21</definedName>
    <definedName name="TABLE_INFO_1" localSheetId="17">'x-211'!$A$6:$B$21</definedName>
    <definedName name="TABLE_INFO_1" localSheetId="18">'x-214'!$A$6:$B$21</definedName>
    <definedName name="TABLE_INFO_1" localSheetId="19">'x-215'!$A$6:$B$21</definedName>
    <definedName name="TABLE_INFO_1" localSheetId="20">'x-216'!$A$6:$B$21</definedName>
    <definedName name="TABLE_INFO_1" localSheetId="21">'x-217'!$A$6:$B$21</definedName>
    <definedName name="TABLE_INFO_1" localSheetId="22">'x-301'!$A$6:$B$21</definedName>
    <definedName name="TABLE_INFO_1" localSheetId="23">'x-302'!$A$6:$B$21</definedName>
    <definedName name="TABLE_INFO_1" localSheetId="24">'x-303'!$A$6:$B$21</definedName>
    <definedName name="TABLE_INFO_1" localSheetId="25">'x-304'!$A$6:$B$21</definedName>
    <definedName name="TABLE_INFO_1" localSheetId="26">'x-305'!$A$6:$B$21</definedName>
    <definedName name="TABLE_INFO_1" localSheetId="27">'x-306'!$A$6:$B$21</definedName>
    <definedName name="TABLE_INFO_1" localSheetId="28">'x-307'!$A$6:$B$21</definedName>
    <definedName name="TABLE_INFO_1" localSheetId="29">'x-308'!$A$6:$B$21</definedName>
    <definedName name="TABLE_INFO_1" localSheetId="30">'x-401'!$A$6:$B$21</definedName>
    <definedName name="TABLE_INFO_1" localSheetId="31">'x-402'!$A$6:$B$21</definedName>
    <definedName name="TABLE_INFO_1" localSheetId="32">'x-403'!$A$6:$B$21</definedName>
    <definedName name="TABLE_INFO_1" localSheetId="33">'x-404'!$A$6:$B$21</definedName>
    <definedName name="TABLE_INFO_1" localSheetId="34">'x-405'!$A$6:$B$21</definedName>
    <definedName name="TABLE_INFO_1" localSheetId="35">'x-406'!$A$6:$B$21</definedName>
    <definedName name="TABLE_INFO_1" localSheetId="36">'x-407'!$A$6:$B$21</definedName>
    <definedName name="TABLE_INFO_1" localSheetId="37">'x-408'!$A$6:$B$21</definedName>
    <definedName name="TABLE_INFO_1" localSheetId="38">'x-409'!$A$6:$B$21</definedName>
    <definedName name="TABLE_INFO_1" localSheetId="39">'x-410'!$A$6:$B$21</definedName>
    <definedName name="TABLE_INFO_1" localSheetId="40">'x-411'!$A$6:$B$21</definedName>
    <definedName name="TABLE_INFO_1" localSheetId="41">'x-412'!$A$6:$B$21</definedName>
    <definedName name="TABLE_INFO_1" localSheetId="42">'x-413'!$A$6:$B$21</definedName>
    <definedName name="TABLE_INFO_1" localSheetId="43">'x-416'!$A$6:$B$21</definedName>
    <definedName name="TABLE_INFO_1" localSheetId="44">'x-417'!$A$6:$B$21</definedName>
    <definedName name="TABLE_INFO_1" localSheetId="45">'x-418'!$A$6:$B$21</definedName>
    <definedName name="TABLE_INFO_1" localSheetId="46">'x-419'!$A$6:$B$21</definedName>
    <definedName name="TABLE_INFO_1" localSheetId="47">'x-420'!$A$6:$B$21</definedName>
    <definedName name="TABLE_INFO_1" localSheetId="48">'x-421'!$A$6:$B$21</definedName>
    <definedName name="TABLE_INFO_1" localSheetId="49">'x-422'!$A$6:$B$21</definedName>
    <definedName name="TABLE_INFO_1" localSheetId="50">'x-423'!$A$6:$B$21</definedName>
    <definedName name="TABLE_INFO_1" localSheetId="51">'x-424'!$A$6:$B$21</definedName>
    <definedName name="TABLE_INFO_1" localSheetId="52">'x-501'!$A$6:$B$21</definedName>
    <definedName name="TABLE_INFO_1" localSheetId="53">'x-502'!$A$6:$B$21</definedName>
    <definedName name="TABLE_INFO_1" localSheetId="54">'x-503'!$A$6:$B$21</definedName>
    <definedName name="TABLE_INFO_1" localSheetId="55">'x-504'!$A$6:$B$21</definedName>
    <definedName name="TABLE_INFO_1" localSheetId="56">'x-601'!$A$6:$B$21</definedName>
    <definedName name="TABLE_INFO_1" localSheetId="57">'x-603'!$A$6:$B$21</definedName>
    <definedName name="TABLE_INFO_1" localSheetId="58">'x-604'!$A$6:$B$21</definedName>
    <definedName name="TABLE_INFO_1" localSheetId="59">'x-605'!$A$6:$B$21</definedName>
    <definedName name="TABLE_INFO_1" localSheetId="60">'x-606'!$A$6:$B$21</definedName>
    <definedName name="TABLE_INFO_1" localSheetId="61">'x-607'!$A$6:$B$21</definedName>
    <definedName name="TABLE_INFO_1" localSheetId="62">'x-608'!$A$6:$B$21</definedName>
    <definedName name="TABLE_INFO_1" localSheetId="63">'x-610'!$A$6:$B$21</definedName>
    <definedName name="TABLE_INFO_1" localSheetId="64">'x-611'!$A$6:$B$21</definedName>
    <definedName name="TABLE_INFO_1" localSheetId="65">'x-612'!$A$6:$B$21</definedName>
    <definedName name="TABLE_INFO_1" localSheetId="66">'x-613'!$A$6:$B$21</definedName>
    <definedName name="TABLE_INFO_1" localSheetId="67">'x-701'!$A$6:$B$21</definedName>
    <definedName name="TABLE_INFO_1" localSheetId="68">'x-702'!$A$6:$B$21</definedName>
    <definedName name="TABLE_INFO_1" localSheetId="69">'x-703'!$A$6:$B$21</definedName>
    <definedName name="TABLE_INFO_1" localSheetId="70">'x-704'!$A$6:$B$21</definedName>
    <definedName name="TABLE_INFO_1" localSheetId="71">'x-705'!$A$6:$B$21</definedName>
    <definedName name="TABLE_INFO_1" localSheetId="72">'x-706'!$A$6:$B$21</definedName>
    <definedName name="TABLE_INFO_1" localSheetId="73">'x-707'!$A$6:$B$21</definedName>
    <definedName name="TABLE_INFO_1" localSheetId="74">'x-708'!$A$6:$B$21</definedName>
    <definedName name="TABLE_INFO_1" localSheetId="75">'x-709'!$A$6:$B$21</definedName>
    <definedName name="TABLE_INFO_1" localSheetId="76">'x-710'!$A$6:$B$21</definedName>
    <definedName name="TABLE_INFO_1" localSheetId="77">'x-711'!$A$6:$B$21</definedName>
    <definedName name="TABLE_INFO_1" localSheetId="78">'x-717'!$A$6:$B$21</definedName>
    <definedName name="TABLE_INFO_1" localSheetId="79">'x-718'!$A$6:$B$21</definedName>
    <definedName name="TABLE_INFO_1" localSheetId="80">'x-719'!$A$6:$B$21</definedName>
    <definedName name="TABLE_INFO_1" localSheetId="81">'x-720'!$A$6:$B$21</definedName>
    <definedName name="TABLE_INFO_1" localSheetId="82">'x-721'!$A$6:$B$21</definedName>
    <definedName name="TABLE_INFO_1" localSheetId="83">'x-722'!$A$6:$B$21</definedName>
    <definedName name="TABLE_INFO_1" localSheetId="84">'x-723'!$A$6:$B$21</definedName>
    <definedName name="TABLE_INFO_1" localSheetId="85">'x-724'!$A$6:$B$21</definedName>
    <definedName name="TABLE_INFO_1" localSheetId="86">'x-725'!$A$6:$B$21</definedName>
    <definedName name="TABLE_INFO_1" localSheetId="87">'x-726'!$A$6:$B$21</definedName>
    <definedName name="TABLE_INFO_1" localSheetId="88">'x-727'!$A$6:$B$21</definedName>
    <definedName name="TABLE_INFO_1" localSheetId="89">'x-728'!$A$6:$B$21</definedName>
    <definedName name="TABLE_INFO_1" localSheetId="90">'x-729'!$A$6:$B$21</definedName>
    <definedName name="TABLE_INFO_1" localSheetId="91">'x-811'!$A$6:$B$21</definedName>
    <definedName name="TABLE_INFO_1" localSheetId="92">'x-812'!$A$6:$B$21</definedName>
    <definedName name="TABLE_INFO_1" localSheetId="93">'x-813'!$A$6:$B$21</definedName>
    <definedName name="TABLE_INFO_1" localSheetId="94">'x-814'!$A$6:$B$21</definedName>
    <definedName name="TABLE_INFO_1" localSheetId="95">'x-815'!$A$6:$B$21</definedName>
    <definedName name="TABLE_INFO_2" localSheetId="8">'x-001'!$D$6:$E$21</definedName>
    <definedName name="TABLE_INFO_2" localSheetId="37">'x-408'!$J$6:$K$21</definedName>
    <definedName name="TABLE_INFO_2" localSheetId="41">'x-412'!$J$6:$K$21</definedName>
    <definedName name="TABLE_INFO_2" localSheetId="63">'x-610'!$H$6:$I$21</definedName>
    <definedName name="TABLE_INFO_2" localSheetId="64">'x-611'!$F$6:$G$21</definedName>
    <definedName name="TABLE_INFO_2" localSheetId="78">'x-717'!$P$6:$Q$21</definedName>
    <definedName name="TABLE_INFO_2" localSheetId="79">'x-718'!$P$6:$Q$21</definedName>
    <definedName name="TABLE_INFO_2" localSheetId="80">'x-719'!$P$6:$Q$21</definedName>
    <definedName name="TABLE_INFO_2" localSheetId="89">'x-728'!$O$6:$P$20</definedName>
    <definedName name="TABLE_INFO_3" localSheetId="78">'x-717'!$AE$6:$AQ$20</definedName>
    <definedName name="TABLE_INFO_3" localSheetId="79">'x-718'!$AE$6:$AF$21</definedName>
    <definedName name="TABLE_INFO_4" localSheetId="78">'x-717'!$AT$6:$AU$20</definedName>
    <definedName name="TABLE_REFERENCE">'x-Series Number'!$B$15</definedName>
    <definedName name="TABLE_REFERENCE_1" localSheetId="8">'x-001'!$B$15</definedName>
    <definedName name="TABLE_REFERENCE_1" localSheetId="9">'x-201'!$B$15</definedName>
    <definedName name="TABLE_REFERENCE_1" localSheetId="10">'x-202'!$B$15</definedName>
    <definedName name="TABLE_REFERENCE_1" localSheetId="11">'x-203'!$B$15</definedName>
    <definedName name="TABLE_REFERENCE_1" localSheetId="12">'x-204'!$B$15</definedName>
    <definedName name="TABLE_REFERENCE_1" localSheetId="13">'x-206'!$B$15</definedName>
    <definedName name="TABLE_REFERENCE_1" localSheetId="14">'x-207'!$B$15</definedName>
    <definedName name="TABLE_REFERENCE_1" localSheetId="15">'x-208'!$B$15</definedName>
    <definedName name="TABLE_REFERENCE_1" localSheetId="16">'x-210'!$B$15</definedName>
    <definedName name="TABLE_REFERENCE_1" localSheetId="17">'x-211'!$B$15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'x-301'!$B$15</definedName>
    <definedName name="TABLE_REFERENCE_1" localSheetId="23">'x-302'!$B$15</definedName>
    <definedName name="TABLE_REFERENCE_1" localSheetId="24">'x-303'!$B$15</definedName>
    <definedName name="TABLE_REFERENCE_1" localSheetId="25">'x-304'!$B$15</definedName>
    <definedName name="TABLE_REFERENCE_1" localSheetId="26">'x-305'!$B$15</definedName>
    <definedName name="TABLE_REFERENCE_1" localSheetId="27">'x-306'!$B$15</definedName>
    <definedName name="TABLE_REFERENCE_1" localSheetId="28">'x-307'!$B$15</definedName>
    <definedName name="TABLE_REFERENCE_1" localSheetId="29">'x-308'!$B$15</definedName>
    <definedName name="TABLE_REFERENCE_1" localSheetId="30">'x-401'!$B$15</definedName>
    <definedName name="TABLE_REFERENCE_1" localSheetId="31">'x-402'!$B$15</definedName>
    <definedName name="TABLE_REFERENCE_1" localSheetId="32">'x-403'!$B$15</definedName>
    <definedName name="TABLE_REFERENCE_1" localSheetId="33">'x-404'!$B$15</definedName>
    <definedName name="TABLE_REFERENCE_1" localSheetId="34">'x-405'!$B$15</definedName>
    <definedName name="TABLE_REFERENCE_1" localSheetId="35">'x-406'!$B$15</definedName>
    <definedName name="TABLE_REFERENCE_1" localSheetId="36">'x-407'!$B$15</definedName>
    <definedName name="TABLE_REFERENCE_1" localSheetId="37">'x-408'!$B$15</definedName>
    <definedName name="TABLE_REFERENCE_1" localSheetId="38">'x-409'!$B$15</definedName>
    <definedName name="TABLE_REFERENCE_1" localSheetId="39">'x-410'!$B$15</definedName>
    <definedName name="TABLE_REFERENCE_1" localSheetId="40">'x-411'!$B$15</definedName>
    <definedName name="TABLE_REFERENCE_1" localSheetId="41">'x-412'!$B$15</definedName>
    <definedName name="TABLE_REFERENCE_1" localSheetId="42">'x-413'!$B$15</definedName>
    <definedName name="TABLE_REFERENCE_1" localSheetId="43">'x-416'!$B$15</definedName>
    <definedName name="TABLE_REFERENCE_1" localSheetId="44">'x-417'!$B$15</definedName>
    <definedName name="TABLE_REFERENCE_1" localSheetId="45">'x-418'!$B$15</definedName>
    <definedName name="TABLE_REFERENCE_1" localSheetId="46">'x-419'!$B$15</definedName>
    <definedName name="TABLE_REFERENCE_1" localSheetId="47">'x-420'!$B$15</definedName>
    <definedName name="TABLE_REFERENCE_1" localSheetId="48">'x-421'!$B$15</definedName>
    <definedName name="TABLE_REFERENCE_1" localSheetId="49">'x-422'!$B$15</definedName>
    <definedName name="TABLE_REFERENCE_1" localSheetId="50">'x-423'!$B$15</definedName>
    <definedName name="TABLE_REFERENCE_1" localSheetId="51">'x-424'!$B$15</definedName>
    <definedName name="TABLE_REFERENCE_1" localSheetId="52">'x-501'!$B$15</definedName>
    <definedName name="TABLE_REFERENCE_1" localSheetId="53">'x-502'!$B$15</definedName>
    <definedName name="TABLE_REFERENCE_1" localSheetId="54">'x-503'!$B$15</definedName>
    <definedName name="TABLE_REFERENCE_1" localSheetId="55">'x-504'!$B$15</definedName>
    <definedName name="TABLE_REFERENCE_1" localSheetId="56">'x-601'!$B$15</definedName>
    <definedName name="TABLE_REFERENCE_1" localSheetId="57">'x-603'!$B$15</definedName>
    <definedName name="TABLE_REFERENCE_1" localSheetId="58">'x-604'!$B$15</definedName>
    <definedName name="TABLE_REFERENCE_1" localSheetId="59">'x-605'!$B$15</definedName>
    <definedName name="TABLE_REFERENCE_1" localSheetId="60">'x-606'!$B$15</definedName>
    <definedName name="TABLE_REFERENCE_1" localSheetId="61">'x-607'!$B$15</definedName>
    <definedName name="TABLE_REFERENCE_1" localSheetId="62">'x-608'!$B$15</definedName>
    <definedName name="TABLE_REFERENCE_1" localSheetId="63">'x-610'!$B$15</definedName>
    <definedName name="TABLE_REFERENCE_1" localSheetId="64">'x-611'!$B$15</definedName>
    <definedName name="TABLE_REFERENCE_1" localSheetId="65">'x-612'!$B$15</definedName>
    <definedName name="TABLE_REFERENCE_1" localSheetId="66">'x-613'!$B$15</definedName>
    <definedName name="TABLE_REFERENCE_1" localSheetId="67">'x-701'!$B$15</definedName>
    <definedName name="TABLE_REFERENCE_1" localSheetId="68">'x-702'!$B$15</definedName>
    <definedName name="TABLE_REFERENCE_1" localSheetId="69">'x-703'!$B$15</definedName>
    <definedName name="TABLE_REFERENCE_1" localSheetId="70">'x-704'!$B$15</definedName>
    <definedName name="TABLE_REFERENCE_1" localSheetId="71">'x-705'!$B$15</definedName>
    <definedName name="TABLE_REFERENCE_1" localSheetId="72">'x-706'!$B$15</definedName>
    <definedName name="TABLE_REFERENCE_1" localSheetId="73">'x-707'!$B$15</definedName>
    <definedName name="TABLE_REFERENCE_1" localSheetId="74">'x-708'!$B$15</definedName>
    <definedName name="TABLE_REFERENCE_1" localSheetId="75">'x-709'!$B$15</definedName>
    <definedName name="TABLE_REFERENCE_1" localSheetId="76">'x-710'!$B$15</definedName>
    <definedName name="TABLE_REFERENCE_1" localSheetId="77">'x-711'!$B$15</definedName>
    <definedName name="TABLE_REFERENCE_1" localSheetId="78">'x-717'!$B$15</definedName>
    <definedName name="TABLE_REFERENCE_1" localSheetId="79">'x-718'!$B$15</definedName>
    <definedName name="TABLE_REFERENCE_1" localSheetId="80">'x-719'!$B$15</definedName>
    <definedName name="TABLE_REFERENCE_1" localSheetId="81">'x-720'!$B$15</definedName>
    <definedName name="TABLE_REFERENCE_1" localSheetId="82">'x-721'!$B$15</definedName>
    <definedName name="TABLE_REFERENCE_1" localSheetId="83">'x-722'!$B$15</definedName>
    <definedName name="TABLE_REFERENCE_1" localSheetId="84">'x-723'!$B$15</definedName>
    <definedName name="TABLE_REFERENCE_1" localSheetId="85">'x-724'!$B$15</definedName>
    <definedName name="TABLE_REFERENCE_1" localSheetId="86">'x-725'!$B$15</definedName>
    <definedName name="TABLE_REFERENCE_1" localSheetId="87">'x-726'!$B$15</definedName>
    <definedName name="TABLE_REFERENCE_1" localSheetId="88">'x-727'!$B$15</definedName>
    <definedName name="TABLE_REFERENCE_1" localSheetId="89">'x-728'!$B$15</definedName>
    <definedName name="TABLE_REFERENCE_1" localSheetId="90">'x-729'!$B$15</definedName>
    <definedName name="TABLE_REFERENCE_1" localSheetId="91">'x-811'!$B$15</definedName>
    <definedName name="TABLE_REFERENCE_1" localSheetId="92">'x-812'!$B$15</definedName>
    <definedName name="TABLE_REFERENCE_1" localSheetId="93">'x-813'!$B$15</definedName>
    <definedName name="TABLE_REFERENCE_1" localSheetId="94">'x-814'!$B$15</definedName>
    <definedName name="TABLE_REFERENCE_1" localSheetId="95">'x-815'!$B$15</definedName>
    <definedName name="TABLE_REFERENCE_2" localSheetId="8">'x-001'!$E$15</definedName>
    <definedName name="TABLE_REFERENCE_2" localSheetId="37">'x-408'!$K$15</definedName>
    <definedName name="TABLE_REFERENCE_2" localSheetId="41">'x-412'!$K$15</definedName>
    <definedName name="TABLE_REFERENCE_2" localSheetId="63">'x-610'!$I$15</definedName>
    <definedName name="TABLE_REFERENCE_2" localSheetId="64">'x-611'!$G$15</definedName>
    <definedName name="TABLE_REFERENCE_2" localSheetId="78">'x-717'!$Q$15</definedName>
    <definedName name="TABLE_REFERENCE_2" localSheetId="79">'x-718'!$Q$15</definedName>
    <definedName name="TABLE_REFERENCE_2" localSheetId="80">'x-719'!$Q$15</definedName>
    <definedName name="TABLE_REFERENCE_2" localSheetId="89">'x-728'!$P$15</definedName>
    <definedName name="TABLE_REFERENCE_3" localSheetId="78">'x-717'!$AF$15</definedName>
    <definedName name="TABLE_REFERENCE_3" localSheetId="79">'x-718'!$AF$15</definedName>
    <definedName name="TABLE_REFERENCE_4" localSheetId="78">'x-717'!$AU$15</definedName>
    <definedName name="TABLE_REFERENCE_GUIDANCE">'x-Series Number'!$B$16</definedName>
    <definedName name="TABLE_REFERENCE_GUIDANCE_1" localSheetId="8">'x-001'!$B$16</definedName>
    <definedName name="TABLE_REFERENCE_GUIDANCE_1" localSheetId="9">'x-201'!$B$16</definedName>
    <definedName name="TABLE_REFERENCE_GUIDANCE_1" localSheetId="10">'x-202'!$B$16</definedName>
    <definedName name="TABLE_REFERENCE_GUIDANCE_1" localSheetId="11">'x-203'!$B$16</definedName>
    <definedName name="TABLE_REFERENCE_GUIDANCE_1" localSheetId="12">'x-204'!$B$16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'x-210'!$B$16</definedName>
    <definedName name="TABLE_REFERENCE_GUIDANCE_1" localSheetId="17">'x-211'!$B$16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'x-301'!$B$16</definedName>
    <definedName name="TABLE_REFERENCE_GUIDANCE_1" localSheetId="23">'x-302'!$B$16</definedName>
    <definedName name="TABLE_REFERENCE_GUIDANCE_1" localSheetId="24">'x-303'!$B$16</definedName>
    <definedName name="TABLE_REFERENCE_GUIDANCE_1" localSheetId="25">'x-304'!$B$16</definedName>
    <definedName name="TABLE_REFERENCE_GUIDANCE_1" localSheetId="26">'x-305'!$B$16</definedName>
    <definedName name="TABLE_REFERENCE_GUIDANCE_1" localSheetId="27">'x-306'!$B$16</definedName>
    <definedName name="TABLE_REFERENCE_GUIDANCE_1" localSheetId="28">'x-307'!$B$16</definedName>
    <definedName name="TABLE_REFERENCE_GUIDANCE_1" localSheetId="29">'x-308'!$B$16</definedName>
    <definedName name="TABLE_REFERENCE_GUIDANCE_1" localSheetId="30">'x-401'!$B$16</definedName>
    <definedName name="TABLE_REFERENCE_GUIDANCE_1" localSheetId="31">'x-402'!$B$16</definedName>
    <definedName name="TABLE_REFERENCE_GUIDANCE_1" localSheetId="32">'x-403'!$B$16</definedName>
    <definedName name="TABLE_REFERENCE_GUIDANCE_1" localSheetId="33">'x-404'!$B$16</definedName>
    <definedName name="TABLE_REFERENCE_GUIDANCE_1" localSheetId="34">'x-405'!$B$16</definedName>
    <definedName name="TABLE_REFERENCE_GUIDANCE_1" localSheetId="35">'x-406'!$B$16</definedName>
    <definedName name="TABLE_REFERENCE_GUIDANCE_1" localSheetId="36">'x-407'!$B$16</definedName>
    <definedName name="TABLE_REFERENCE_GUIDANCE_1" localSheetId="37">'x-408'!$B$16</definedName>
    <definedName name="TABLE_REFERENCE_GUIDANCE_1" localSheetId="38">'x-409'!$B$16</definedName>
    <definedName name="TABLE_REFERENCE_GUIDANCE_1" localSheetId="39">'x-410'!$B$16</definedName>
    <definedName name="TABLE_REFERENCE_GUIDANCE_1" localSheetId="40">'x-411'!$B$16</definedName>
    <definedName name="TABLE_REFERENCE_GUIDANCE_1" localSheetId="41">'x-412'!$B$16</definedName>
    <definedName name="TABLE_REFERENCE_GUIDANCE_1" localSheetId="42">'x-413'!$B$16</definedName>
    <definedName name="TABLE_REFERENCE_GUIDANCE_1" localSheetId="43">'x-416'!$B$16</definedName>
    <definedName name="TABLE_REFERENCE_GUIDANCE_1" localSheetId="44">'x-417'!$B$16</definedName>
    <definedName name="TABLE_REFERENCE_GUIDANCE_1" localSheetId="45">'x-418'!$B$16</definedName>
    <definedName name="TABLE_REFERENCE_GUIDANCE_1" localSheetId="46">'x-419'!$B$16</definedName>
    <definedName name="TABLE_REFERENCE_GUIDANCE_1" localSheetId="47">'x-420'!$B$16</definedName>
    <definedName name="TABLE_REFERENCE_GUIDANCE_1" localSheetId="48">'x-421'!$B$16</definedName>
    <definedName name="TABLE_REFERENCE_GUIDANCE_1" localSheetId="49">'x-422'!$B$16</definedName>
    <definedName name="TABLE_REFERENCE_GUIDANCE_1" localSheetId="50">'x-423'!$B$16</definedName>
    <definedName name="TABLE_REFERENCE_GUIDANCE_1" localSheetId="51">'x-424'!$B$16</definedName>
    <definedName name="TABLE_REFERENCE_GUIDANCE_1" localSheetId="52">'x-501'!$B$16</definedName>
    <definedName name="TABLE_REFERENCE_GUIDANCE_1" localSheetId="53">'x-502'!$B$16</definedName>
    <definedName name="TABLE_REFERENCE_GUIDANCE_1" localSheetId="54">'x-503'!$B$16</definedName>
    <definedName name="TABLE_REFERENCE_GUIDANCE_1" localSheetId="55">'x-504'!$B$16</definedName>
    <definedName name="TABLE_REFERENCE_GUIDANCE_1" localSheetId="56">'x-601'!$B$16</definedName>
    <definedName name="TABLE_REFERENCE_GUIDANCE_1" localSheetId="57">'x-603'!$B$16</definedName>
    <definedName name="TABLE_REFERENCE_GUIDANCE_1" localSheetId="58">'x-604'!$B$16</definedName>
    <definedName name="TABLE_REFERENCE_GUIDANCE_1" localSheetId="59">'x-605'!$B$16</definedName>
    <definedName name="TABLE_REFERENCE_GUIDANCE_1" localSheetId="60">'x-606'!$B$16</definedName>
    <definedName name="TABLE_REFERENCE_GUIDANCE_1" localSheetId="61">'x-607'!$B$16</definedName>
    <definedName name="TABLE_REFERENCE_GUIDANCE_1" localSheetId="62">'x-608'!$B$16</definedName>
    <definedName name="TABLE_REFERENCE_GUIDANCE_1" localSheetId="63">'x-610'!$B$16</definedName>
    <definedName name="TABLE_REFERENCE_GUIDANCE_1" localSheetId="64">'x-611'!$B$16</definedName>
    <definedName name="TABLE_REFERENCE_GUIDANCE_1" localSheetId="65">'x-612'!$B$16</definedName>
    <definedName name="TABLE_REFERENCE_GUIDANCE_1" localSheetId="66">'x-613'!$B$16</definedName>
    <definedName name="TABLE_REFERENCE_GUIDANCE_1" localSheetId="67">'x-701'!$B$16</definedName>
    <definedName name="TABLE_REFERENCE_GUIDANCE_1" localSheetId="68">'x-702'!$B$16</definedName>
    <definedName name="TABLE_REFERENCE_GUIDANCE_1" localSheetId="69">'x-703'!$B$16</definedName>
    <definedName name="TABLE_REFERENCE_GUIDANCE_1" localSheetId="70">'x-704'!$B$16</definedName>
    <definedName name="TABLE_REFERENCE_GUIDANCE_1" localSheetId="71">'x-705'!$B$16</definedName>
    <definedName name="TABLE_REFERENCE_GUIDANCE_1" localSheetId="72">'x-706'!$B$16</definedName>
    <definedName name="TABLE_REFERENCE_GUIDANCE_1" localSheetId="73">'x-707'!$B$16</definedName>
    <definedName name="TABLE_REFERENCE_GUIDANCE_1" localSheetId="74">'x-708'!$B$16</definedName>
    <definedName name="TABLE_REFERENCE_GUIDANCE_1" localSheetId="75">'x-709'!$B$16</definedName>
    <definedName name="TABLE_REFERENCE_GUIDANCE_1" localSheetId="76">'x-710'!$B$16</definedName>
    <definedName name="TABLE_REFERENCE_GUIDANCE_1" localSheetId="77">'x-711'!$B$16</definedName>
    <definedName name="TABLE_REFERENCE_GUIDANCE_1" localSheetId="78">'x-717'!$B$16</definedName>
    <definedName name="TABLE_REFERENCE_GUIDANCE_1" localSheetId="79">'x-718'!$B$16</definedName>
    <definedName name="TABLE_REFERENCE_GUIDANCE_1" localSheetId="80">'x-719'!$B$16</definedName>
    <definedName name="TABLE_REFERENCE_GUIDANCE_1" localSheetId="81">'x-720'!$B$16</definedName>
    <definedName name="TABLE_REFERENCE_GUIDANCE_1" localSheetId="82">'x-721'!$B$16</definedName>
    <definedName name="TABLE_REFERENCE_GUIDANCE_1" localSheetId="83">'x-722'!$B$16</definedName>
    <definedName name="TABLE_REFERENCE_GUIDANCE_1" localSheetId="84">'x-723'!$B$16</definedName>
    <definedName name="TABLE_REFERENCE_GUIDANCE_1" localSheetId="85">'x-724'!$B$16</definedName>
    <definedName name="TABLE_REFERENCE_GUIDANCE_1" localSheetId="86">'x-725'!$B$16</definedName>
    <definedName name="TABLE_REFERENCE_GUIDANCE_1" localSheetId="87">'x-726'!$B$16</definedName>
    <definedName name="TABLE_REFERENCE_GUIDANCE_1" localSheetId="88">'x-727'!$B$16</definedName>
    <definedName name="TABLE_REFERENCE_GUIDANCE_1" localSheetId="89">'x-728'!$B$16</definedName>
    <definedName name="TABLE_REFERENCE_GUIDANCE_1" localSheetId="90">'x-729'!$B$16</definedName>
    <definedName name="TABLE_REFERENCE_GUIDANCE_1" localSheetId="91">'x-811'!$B$16</definedName>
    <definedName name="TABLE_REFERENCE_GUIDANCE_1" localSheetId="92">'x-812'!$B$16</definedName>
    <definedName name="TABLE_REFERENCE_GUIDANCE_1" localSheetId="93">'x-813'!$B$16</definedName>
    <definedName name="TABLE_REFERENCE_GUIDANCE_1" localSheetId="94">'x-814'!$B$16</definedName>
    <definedName name="TABLE_REFERENCE_GUIDANCE_1" localSheetId="95">'x-815'!$B$16</definedName>
    <definedName name="TABLE_REFERENCE_GUIDANCE_2" localSheetId="8">'x-001'!$E$16</definedName>
    <definedName name="TABLE_REFERENCE_GUIDANCE_2" localSheetId="37">'x-408'!$K$16</definedName>
    <definedName name="TABLE_REFERENCE_GUIDANCE_2" localSheetId="41">'x-412'!$K$16</definedName>
    <definedName name="TABLE_REFERENCE_GUIDANCE_2" localSheetId="63">'x-610'!$I$16</definedName>
    <definedName name="TABLE_REFERENCE_GUIDANCE_2" localSheetId="64">'x-611'!$G$16</definedName>
    <definedName name="TABLE_REFERENCE_GUIDANCE_2" localSheetId="78">'x-717'!$Q$16</definedName>
    <definedName name="TABLE_REFERENCE_GUIDANCE_2" localSheetId="79">'x-718'!$Q$16</definedName>
    <definedName name="TABLE_REFERENCE_GUIDANCE_2" localSheetId="80">'x-719'!$Q$16</definedName>
    <definedName name="TABLE_REFERENCE_GUIDANCE_2" localSheetId="89">'x-728'!$P$16</definedName>
    <definedName name="TABLE_REFERENCE_GUIDANCE_3" localSheetId="78">'x-717'!$AF$16</definedName>
    <definedName name="TABLE_REFERENCE_GUIDANCE_3" localSheetId="79">'x-718'!$AF$16</definedName>
    <definedName name="TABLE_REFERENCE_GUIDANCE_4" localSheetId="78">'x-717'!$AU$16</definedName>
    <definedName name="TABLE_RELATED">'x-Series Number'!$B$17</definedName>
    <definedName name="TABLE_RELATED_1" localSheetId="8">'x-001'!$B$17</definedName>
    <definedName name="TABLE_RELATED_1" localSheetId="9">'x-201'!$B$17</definedName>
    <definedName name="TABLE_RELATED_1" localSheetId="10">'x-202'!$B$17</definedName>
    <definedName name="TABLE_RELATED_1" localSheetId="11">'x-203'!$B$17</definedName>
    <definedName name="TABLE_RELATED_1" localSheetId="12">'x-204'!$B$17</definedName>
    <definedName name="TABLE_RELATED_1" localSheetId="13">'x-206'!$B$17</definedName>
    <definedName name="TABLE_RELATED_1" localSheetId="14">'x-207'!$B$17</definedName>
    <definedName name="TABLE_RELATED_1" localSheetId="15">'x-208'!$B$17</definedName>
    <definedName name="TABLE_RELATED_1" localSheetId="16">'x-210'!$B$17</definedName>
    <definedName name="TABLE_RELATED_1" localSheetId="17">'x-211'!$B$17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'x-301'!$B$17</definedName>
    <definedName name="TABLE_RELATED_1" localSheetId="23">'x-302'!$B$17</definedName>
    <definedName name="TABLE_RELATED_1" localSheetId="24">'x-303'!$B$17</definedName>
    <definedName name="TABLE_RELATED_1" localSheetId="25">'x-304'!$B$17</definedName>
    <definedName name="TABLE_RELATED_1" localSheetId="26">'x-305'!$B$17</definedName>
    <definedName name="TABLE_RELATED_1" localSheetId="27">'x-306'!$B$17</definedName>
    <definedName name="TABLE_RELATED_1" localSheetId="28">'x-307'!$B$17</definedName>
    <definedName name="TABLE_RELATED_1" localSheetId="29">'x-308'!$B$17</definedName>
    <definedName name="TABLE_RELATED_1" localSheetId="30">'x-401'!$B$17</definedName>
    <definedName name="TABLE_RELATED_1" localSheetId="31">'x-402'!$B$17</definedName>
    <definedName name="TABLE_RELATED_1" localSheetId="32">'x-403'!$B$17</definedName>
    <definedName name="TABLE_RELATED_1" localSheetId="33">'x-404'!$B$17</definedName>
    <definedName name="TABLE_RELATED_1" localSheetId="34">'x-405'!$B$17</definedName>
    <definedName name="TABLE_RELATED_1" localSheetId="35">'x-406'!$B$17</definedName>
    <definedName name="TABLE_RELATED_1" localSheetId="36">'x-407'!$B$17</definedName>
    <definedName name="TABLE_RELATED_1" localSheetId="37">'x-408'!$B$17</definedName>
    <definedName name="TABLE_RELATED_1" localSheetId="38">'x-409'!$B$17</definedName>
    <definedName name="TABLE_RELATED_1" localSheetId="39">'x-410'!$B$17</definedName>
    <definedName name="TABLE_RELATED_1" localSheetId="40">'x-411'!$B$17</definedName>
    <definedName name="TABLE_RELATED_1" localSheetId="41">'x-412'!$B$17</definedName>
    <definedName name="TABLE_RELATED_1" localSheetId="42">'x-413'!$B$17</definedName>
    <definedName name="TABLE_RELATED_1" localSheetId="43">'x-416'!$B$17</definedName>
    <definedName name="TABLE_RELATED_1" localSheetId="44">'x-417'!$B$17</definedName>
    <definedName name="TABLE_RELATED_1" localSheetId="45">'x-418'!$B$17</definedName>
    <definedName name="TABLE_RELATED_1" localSheetId="46">'x-419'!$B$17</definedName>
    <definedName name="TABLE_RELATED_1" localSheetId="47">'x-420'!$B$17</definedName>
    <definedName name="TABLE_RELATED_1" localSheetId="48">'x-421'!$B$17</definedName>
    <definedName name="TABLE_RELATED_1" localSheetId="49">'x-422'!$B$17</definedName>
    <definedName name="TABLE_RELATED_1" localSheetId="50">'x-423'!$B$17</definedName>
    <definedName name="TABLE_RELATED_1" localSheetId="51">'x-424'!$B$17</definedName>
    <definedName name="TABLE_RELATED_1" localSheetId="52">'x-501'!$B$17</definedName>
    <definedName name="TABLE_RELATED_1" localSheetId="53">'x-502'!$B$17</definedName>
    <definedName name="TABLE_RELATED_1" localSheetId="54">'x-503'!$B$17</definedName>
    <definedName name="TABLE_RELATED_1" localSheetId="55">'x-504'!$B$17</definedName>
    <definedName name="TABLE_RELATED_1" localSheetId="56">'x-601'!$B$17</definedName>
    <definedName name="TABLE_RELATED_1" localSheetId="57">'x-603'!$B$17</definedName>
    <definedName name="TABLE_RELATED_1" localSheetId="58">'x-604'!$B$17</definedName>
    <definedName name="TABLE_RELATED_1" localSheetId="59">'x-605'!$B$17</definedName>
    <definedName name="TABLE_RELATED_1" localSheetId="60">'x-606'!$B$17</definedName>
    <definedName name="TABLE_RELATED_1" localSheetId="61">'x-607'!$B$17</definedName>
    <definedName name="TABLE_RELATED_1" localSheetId="62">'x-608'!$B$17</definedName>
    <definedName name="TABLE_RELATED_1" localSheetId="63">'x-610'!$B$17</definedName>
    <definedName name="TABLE_RELATED_1" localSheetId="64">'x-611'!$B$17</definedName>
    <definedName name="TABLE_RELATED_1" localSheetId="65">'x-612'!$B$17</definedName>
    <definedName name="TABLE_RELATED_1" localSheetId="66">'x-613'!$B$17</definedName>
    <definedName name="TABLE_RELATED_1" localSheetId="67">'x-701'!$B$17</definedName>
    <definedName name="TABLE_RELATED_1" localSheetId="68">'x-702'!$B$17</definedName>
    <definedName name="TABLE_RELATED_1" localSheetId="69">'x-703'!$B$17</definedName>
    <definedName name="TABLE_RELATED_1" localSheetId="70">'x-704'!$B$17</definedName>
    <definedName name="TABLE_RELATED_1" localSheetId="71">'x-705'!$B$17</definedName>
    <definedName name="TABLE_RELATED_1" localSheetId="72">'x-706'!$B$17</definedName>
    <definedName name="TABLE_RELATED_1" localSheetId="73">'x-707'!$B$17</definedName>
    <definedName name="TABLE_RELATED_1" localSheetId="74">'x-708'!$B$17</definedName>
    <definedName name="TABLE_RELATED_1" localSheetId="75">'x-709'!$B$17</definedName>
    <definedName name="TABLE_RELATED_1" localSheetId="76">'x-710'!$B$17</definedName>
    <definedName name="TABLE_RELATED_1" localSheetId="77">'x-711'!$B$17</definedName>
    <definedName name="TABLE_RELATED_1" localSheetId="78">'x-717'!$B$17</definedName>
    <definedName name="TABLE_RELATED_1" localSheetId="79">'x-718'!$B$17</definedName>
    <definedName name="TABLE_RELATED_1" localSheetId="80">'x-719'!$B$17</definedName>
    <definedName name="TABLE_RELATED_1" localSheetId="81">'x-720'!$B$17</definedName>
    <definedName name="TABLE_RELATED_1" localSheetId="82">'x-721'!$B$17</definedName>
    <definedName name="TABLE_RELATED_1" localSheetId="83">'x-722'!$B$17</definedName>
    <definedName name="TABLE_RELATED_1" localSheetId="84">'x-723'!$B$17</definedName>
    <definedName name="TABLE_RELATED_1" localSheetId="85">'x-724'!$B$17</definedName>
    <definedName name="TABLE_RELATED_1" localSheetId="86">'x-725'!$B$17</definedName>
    <definedName name="TABLE_RELATED_1" localSheetId="87">'x-726'!$B$17</definedName>
    <definedName name="TABLE_RELATED_1" localSheetId="88">'x-727'!$B$17</definedName>
    <definedName name="TABLE_RELATED_1" localSheetId="89">'x-728'!$B$17</definedName>
    <definedName name="TABLE_RELATED_1" localSheetId="90">'x-729'!$B$17</definedName>
    <definedName name="TABLE_RELATED_1" localSheetId="91">'x-811'!$B$17</definedName>
    <definedName name="TABLE_RELATED_1" localSheetId="92">'x-812'!$B$17</definedName>
    <definedName name="TABLE_RELATED_1" localSheetId="93">'x-813'!$B$17</definedName>
    <definedName name="TABLE_RELATED_1" localSheetId="94">'x-814'!$B$17</definedName>
    <definedName name="TABLE_RELATED_1" localSheetId="95">'x-815'!$B$17</definedName>
    <definedName name="TABLE_RELATED_2" localSheetId="8">'x-001'!$E$17</definedName>
    <definedName name="TABLE_RELATED_2" localSheetId="37">'x-408'!$K$17</definedName>
    <definedName name="TABLE_RELATED_2" localSheetId="41">'x-412'!$K$17</definedName>
    <definedName name="TABLE_RELATED_2" localSheetId="63">'x-610'!$I$17</definedName>
    <definedName name="TABLE_RELATED_2" localSheetId="64">'x-611'!$G$17</definedName>
    <definedName name="TABLE_RELATED_2" localSheetId="78">'x-717'!$Q$17</definedName>
    <definedName name="TABLE_RELATED_2" localSheetId="79">'x-718'!$Q$17</definedName>
    <definedName name="TABLE_RELATED_2" localSheetId="80">'x-719'!$Q$17</definedName>
    <definedName name="TABLE_RELATED_2" localSheetId="89">'x-728'!$P$17</definedName>
    <definedName name="TABLE_RELATED_3" localSheetId="78">'x-717'!$AF$17</definedName>
    <definedName name="TABLE_RELATED_3" localSheetId="79">'x-718'!$AF$17</definedName>
    <definedName name="TABLE_RELATED_4" localSheetId="78">'x-717'!$AU$17</definedName>
    <definedName name="TABLE_SECTION">'x-Series Number'!$B$8</definedName>
    <definedName name="TABLE_SECTION_1" localSheetId="8">'x-001'!$B$8</definedName>
    <definedName name="TABLE_SECTION_1" localSheetId="9">'x-201'!$B$8</definedName>
    <definedName name="TABLE_SECTION_1" localSheetId="10">'x-202'!$B$8</definedName>
    <definedName name="TABLE_SECTION_1" localSheetId="11">'x-203'!$B$8</definedName>
    <definedName name="TABLE_SECTION_1" localSheetId="12">'x-204'!$B$8</definedName>
    <definedName name="TABLE_SECTION_1" localSheetId="13">'x-206'!$B$8</definedName>
    <definedName name="TABLE_SECTION_1" localSheetId="14">'x-207'!$B$8</definedName>
    <definedName name="TABLE_SECTION_1" localSheetId="15">'x-208'!$B$8</definedName>
    <definedName name="TABLE_SECTION_1" localSheetId="16">'x-210'!$B$8</definedName>
    <definedName name="TABLE_SECTION_1" localSheetId="17">'x-211'!$B$8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'x-301'!$B$8</definedName>
    <definedName name="TABLE_SECTION_1" localSheetId="23">'x-302'!$B$8</definedName>
    <definedName name="TABLE_SECTION_1" localSheetId="24">'x-303'!$B$8</definedName>
    <definedName name="TABLE_SECTION_1" localSheetId="25">'x-304'!$B$8</definedName>
    <definedName name="TABLE_SECTION_1" localSheetId="26">'x-305'!$B$8</definedName>
    <definedName name="TABLE_SECTION_1" localSheetId="27">'x-306'!$B$8</definedName>
    <definedName name="TABLE_SECTION_1" localSheetId="28">'x-307'!$B$8</definedName>
    <definedName name="TABLE_SECTION_1" localSheetId="29">'x-308'!$B$8</definedName>
    <definedName name="TABLE_SECTION_1" localSheetId="30">'x-401'!$B$8</definedName>
    <definedName name="TABLE_SECTION_1" localSheetId="31">'x-402'!$B$8</definedName>
    <definedName name="TABLE_SECTION_1" localSheetId="32">'x-403'!$B$8</definedName>
    <definedName name="TABLE_SECTION_1" localSheetId="33">'x-404'!$B$8</definedName>
    <definedName name="TABLE_SECTION_1" localSheetId="34">'x-405'!$B$8</definedName>
    <definedName name="TABLE_SECTION_1" localSheetId="35">'x-406'!$B$8</definedName>
    <definedName name="TABLE_SECTION_1" localSheetId="36">'x-407'!$B$8</definedName>
    <definedName name="TABLE_SECTION_1" localSheetId="37">'x-408'!$B$8</definedName>
    <definedName name="TABLE_SECTION_1" localSheetId="38">'x-409'!$B$8</definedName>
    <definedName name="TABLE_SECTION_1" localSheetId="39">'x-410'!$B$8</definedName>
    <definedName name="TABLE_SECTION_1" localSheetId="40">'x-411'!$B$8</definedName>
    <definedName name="TABLE_SECTION_1" localSheetId="41">'x-412'!$B$8</definedName>
    <definedName name="TABLE_SECTION_1" localSheetId="42">'x-413'!$B$8</definedName>
    <definedName name="TABLE_SECTION_1" localSheetId="43">'x-416'!$B$8</definedName>
    <definedName name="TABLE_SECTION_1" localSheetId="44">'x-417'!$B$8</definedName>
    <definedName name="TABLE_SECTION_1" localSheetId="45">'x-418'!$B$8</definedName>
    <definedName name="TABLE_SECTION_1" localSheetId="46">'x-419'!$B$8</definedName>
    <definedName name="TABLE_SECTION_1" localSheetId="47">'x-420'!$B$8</definedName>
    <definedName name="TABLE_SECTION_1" localSheetId="48">'x-421'!$B$8</definedName>
    <definedName name="TABLE_SECTION_1" localSheetId="49">'x-422'!$B$8</definedName>
    <definedName name="TABLE_SECTION_1" localSheetId="50">'x-423'!$B$8</definedName>
    <definedName name="TABLE_SECTION_1" localSheetId="51">'x-424'!$B$8</definedName>
    <definedName name="TABLE_SECTION_1" localSheetId="52">'x-501'!$B$8</definedName>
    <definedName name="TABLE_SECTION_1" localSheetId="53">'x-502'!$B$8</definedName>
    <definedName name="TABLE_SECTION_1" localSheetId="54">'x-503'!$B$8</definedName>
    <definedName name="TABLE_SECTION_1" localSheetId="55">'x-504'!$B$8</definedName>
    <definedName name="TABLE_SECTION_1" localSheetId="56">'x-601'!$B$8</definedName>
    <definedName name="TABLE_SECTION_1" localSheetId="57">'x-603'!$B$8</definedName>
    <definedName name="TABLE_SECTION_1" localSheetId="58">'x-604'!$B$8</definedName>
    <definedName name="TABLE_SECTION_1" localSheetId="59">'x-605'!$B$8</definedName>
    <definedName name="TABLE_SECTION_1" localSheetId="60">'x-606'!$B$8</definedName>
    <definedName name="TABLE_SECTION_1" localSheetId="61">'x-607'!$B$8</definedName>
    <definedName name="TABLE_SECTION_1" localSheetId="62">'x-608'!$B$8</definedName>
    <definedName name="TABLE_SECTION_1" localSheetId="63">'x-610'!$B$8</definedName>
    <definedName name="TABLE_SECTION_1" localSheetId="64">'x-611'!$B$8</definedName>
    <definedName name="TABLE_SECTION_1" localSheetId="65">'x-612'!$B$8</definedName>
    <definedName name="TABLE_SECTION_1" localSheetId="66">'x-613'!$B$8</definedName>
    <definedName name="TABLE_SECTION_1" localSheetId="67">'x-701'!$B$8</definedName>
    <definedName name="TABLE_SECTION_1" localSheetId="68">'x-702'!$B$8</definedName>
    <definedName name="TABLE_SECTION_1" localSheetId="69">'x-703'!$B$8</definedName>
    <definedName name="TABLE_SECTION_1" localSheetId="70">'x-704'!$B$8</definedName>
    <definedName name="TABLE_SECTION_1" localSheetId="71">'x-705'!$B$8</definedName>
    <definedName name="TABLE_SECTION_1" localSheetId="72">'x-706'!$B$8</definedName>
    <definedName name="TABLE_SECTION_1" localSheetId="73">'x-707'!$B$8</definedName>
    <definedName name="TABLE_SECTION_1" localSheetId="74">'x-708'!$B$8</definedName>
    <definedName name="TABLE_SECTION_1" localSheetId="75">'x-709'!$B$8</definedName>
    <definedName name="TABLE_SECTION_1" localSheetId="76">'x-710'!$B$8</definedName>
    <definedName name="TABLE_SECTION_1" localSheetId="77">'x-711'!$B$8</definedName>
    <definedName name="TABLE_SECTION_1" localSheetId="78">'x-717'!$B$8</definedName>
    <definedName name="TABLE_SECTION_1" localSheetId="79">'x-718'!$B$8</definedName>
    <definedName name="TABLE_SECTION_1" localSheetId="80">'x-719'!$B$8</definedName>
    <definedName name="TABLE_SECTION_1" localSheetId="81">'x-720'!$B$8</definedName>
    <definedName name="TABLE_SECTION_1" localSheetId="82">'x-721'!$B$8</definedName>
    <definedName name="TABLE_SECTION_1" localSheetId="83">'x-722'!$B$8</definedName>
    <definedName name="TABLE_SECTION_1" localSheetId="84">'x-723'!$B$8</definedName>
    <definedName name="TABLE_SECTION_1" localSheetId="85">'x-724'!$B$8</definedName>
    <definedName name="TABLE_SECTION_1" localSheetId="86">'x-725'!$B$8</definedName>
    <definedName name="TABLE_SECTION_1" localSheetId="87">'x-726'!$B$8</definedName>
    <definedName name="TABLE_SECTION_1" localSheetId="88">'x-727'!$B$8</definedName>
    <definedName name="TABLE_SECTION_1" localSheetId="89">'x-728'!$B$8</definedName>
    <definedName name="TABLE_SECTION_1" localSheetId="90">'x-729'!$B$8</definedName>
    <definedName name="TABLE_SECTION_1" localSheetId="91">'x-811'!$B$8</definedName>
    <definedName name="TABLE_SECTION_1" localSheetId="92">'x-812'!$B$8</definedName>
    <definedName name="TABLE_SECTION_1" localSheetId="93">'x-813'!$B$8</definedName>
    <definedName name="TABLE_SECTION_1" localSheetId="94">'x-814'!$B$8</definedName>
    <definedName name="TABLE_SECTION_1" localSheetId="95">'x-815'!$B$8</definedName>
    <definedName name="TABLE_SECTION_2" localSheetId="8">'x-001'!$E$8</definedName>
    <definedName name="TABLE_SECTION_2" localSheetId="37">'x-408'!$K$8</definedName>
    <definedName name="TABLE_SECTION_2" localSheetId="41">'x-412'!$K$8</definedName>
    <definedName name="TABLE_SECTION_2" localSheetId="63">'x-610'!$I$8</definedName>
    <definedName name="TABLE_SECTION_2" localSheetId="64">'x-611'!$G$8</definedName>
    <definedName name="TABLE_SECTION_2" localSheetId="78">'x-717'!$Q$8</definedName>
    <definedName name="TABLE_SECTION_2" localSheetId="79">'x-718'!$Q$8</definedName>
    <definedName name="TABLE_SECTION_2" localSheetId="80">'x-719'!$Q$8</definedName>
    <definedName name="TABLE_SECTION_2" localSheetId="89">'x-728'!$P$8</definedName>
    <definedName name="TABLE_SECTION_3" localSheetId="78">'x-717'!$AF$8</definedName>
    <definedName name="TABLE_SECTION_3" localSheetId="79">'x-718'!$AF$8</definedName>
    <definedName name="TABLE_SECTION_4" localSheetId="78">'x-717'!$AU$8</definedName>
    <definedName name="TABLE_SECTION_NUMBER">'x-Series Number'!$B$13</definedName>
    <definedName name="TABLE_SECTION_NUMBER_1" localSheetId="8">'x-001'!$B$13</definedName>
    <definedName name="TABLE_SECTION_NUMBER_1" localSheetId="9">'x-201'!$B$13</definedName>
    <definedName name="TABLE_SECTION_NUMBER_1" localSheetId="10">'x-202'!$B$13</definedName>
    <definedName name="TABLE_SECTION_NUMBER_1" localSheetId="11">'x-203'!$B$13</definedName>
    <definedName name="TABLE_SECTION_NUMBER_1" localSheetId="12">'x-204'!$B$13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'x-210'!$B$13</definedName>
    <definedName name="TABLE_SECTION_NUMBER_1" localSheetId="17">'x-211'!$B$13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'x-301'!$B$13</definedName>
    <definedName name="TABLE_SECTION_NUMBER_1" localSheetId="23">'x-302'!$B$13</definedName>
    <definedName name="TABLE_SECTION_NUMBER_1" localSheetId="24">'x-303'!$B$13</definedName>
    <definedName name="TABLE_SECTION_NUMBER_1" localSheetId="25">'x-304'!$B$13</definedName>
    <definedName name="TABLE_SECTION_NUMBER_1" localSheetId="26">'x-305'!$B$13</definedName>
    <definedName name="TABLE_SECTION_NUMBER_1" localSheetId="27">'x-306'!$B$13</definedName>
    <definedName name="TABLE_SECTION_NUMBER_1" localSheetId="28">'x-307'!$B$13</definedName>
    <definedName name="TABLE_SECTION_NUMBER_1" localSheetId="29">'x-308'!$B$13</definedName>
    <definedName name="TABLE_SECTION_NUMBER_1" localSheetId="30">'x-401'!$B$13</definedName>
    <definedName name="TABLE_SECTION_NUMBER_1" localSheetId="31">'x-402'!$B$13</definedName>
    <definedName name="TABLE_SECTION_NUMBER_1" localSheetId="32">'x-403'!$B$13</definedName>
    <definedName name="TABLE_SECTION_NUMBER_1" localSheetId="33">'x-404'!$B$13</definedName>
    <definedName name="TABLE_SECTION_NUMBER_1" localSheetId="34">'x-405'!$B$13</definedName>
    <definedName name="TABLE_SECTION_NUMBER_1" localSheetId="35">'x-406'!$B$13</definedName>
    <definedName name="TABLE_SECTION_NUMBER_1" localSheetId="36">'x-407'!$B$13</definedName>
    <definedName name="TABLE_SECTION_NUMBER_1" localSheetId="37">'x-408'!$B$13</definedName>
    <definedName name="TABLE_SECTION_NUMBER_1" localSheetId="38">'x-409'!$B$13</definedName>
    <definedName name="TABLE_SECTION_NUMBER_1" localSheetId="39">'x-410'!$B$13</definedName>
    <definedName name="TABLE_SECTION_NUMBER_1" localSheetId="40">'x-411'!$B$13</definedName>
    <definedName name="TABLE_SECTION_NUMBER_1" localSheetId="41">'x-412'!$B$13</definedName>
    <definedName name="TABLE_SECTION_NUMBER_1" localSheetId="42">'x-413'!$B$13</definedName>
    <definedName name="TABLE_SECTION_NUMBER_1" localSheetId="43">'x-416'!$B$13</definedName>
    <definedName name="TABLE_SECTION_NUMBER_1" localSheetId="44">'x-417'!$B$13</definedName>
    <definedName name="TABLE_SECTION_NUMBER_1" localSheetId="45">'x-418'!$B$13</definedName>
    <definedName name="TABLE_SECTION_NUMBER_1" localSheetId="46">'x-419'!$B$13</definedName>
    <definedName name="TABLE_SECTION_NUMBER_1" localSheetId="47">'x-420'!$B$13</definedName>
    <definedName name="TABLE_SECTION_NUMBER_1" localSheetId="48">'x-421'!$B$13</definedName>
    <definedName name="TABLE_SECTION_NUMBER_1" localSheetId="49">'x-422'!$B$13</definedName>
    <definedName name="TABLE_SECTION_NUMBER_1" localSheetId="50">'x-423'!$B$13</definedName>
    <definedName name="TABLE_SECTION_NUMBER_1" localSheetId="51">'x-424'!$B$13</definedName>
    <definedName name="TABLE_SECTION_NUMBER_1" localSheetId="52">'x-501'!$B$13</definedName>
    <definedName name="TABLE_SECTION_NUMBER_1" localSheetId="53">'x-502'!$B$13</definedName>
    <definedName name="TABLE_SECTION_NUMBER_1" localSheetId="54">'x-503'!$B$13</definedName>
    <definedName name="TABLE_SECTION_NUMBER_1" localSheetId="55">'x-504'!$B$13</definedName>
    <definedName name="TABLE_SECTION_NUMBER_1" localSheetId="56">'x-601'!$B$13</definedName>
    <definedName name="TABLE_SECTION_NUMBER_1" localSheetId="57">'x-603'!$B$13</definedName>
    <definedName name="TABLE_SECTION_NUMBER_1" localSheetId="58">'x-604'!$B$13</definedName>
    <definedName name="TABLE_SECTION_NUMBER_1" localSheetId="59">'x-605'!$B$13</definedName>
    <definedName name="TABLE_SECTION_NUMBER_1" localSheetId="60">'x-606'!$B$13</definedName>
    <definedName name="TABLE_SECTION_NUMBER_1" localSheetId="61">'x-607'!$B$13</definedName>
    <definedName name="TABLE_SECTION_NUMBER_1" localSheetId="62">'x-608'!$B$13</definedName>
    <definedName name="TABLE_SECTION_NUMBER_1" localSheetId="63">'x-610'!$B$13</definedName>
    <definedName name="TABLE_SECTION_NUMBER_1" localSheetId="64">'x-611'!$B$13</definedName>
    <definedName name="TABLE_SECTION_NUMBER_1" localSheetId="65">'x-612'!$B$13</definedName>
    <definedName name="TABLE_SECTION_NUMBER_1" localSheetId="66">'x-613'!$B$13</definedName>
    <definedName name="TABLE_SECTION_NUMBER_1" localSheetId="67">'x-701'!$B$13</definedName>
    <definedName name="TABLE_SECTION_NUMBER_1" localSheetId="68">'x-702'!$B$13</definedName>
    <definedName name="TABLE_SECTION_NUMBER_1" localSheetId="69">'x-703'!$B$13</definedName>
    <definedName name="TABLE_SECTION_NUMBER_1" localSheetId="70">'x-704'!$B$13</definedName>
    <definedName name="TABLE_SECTION_NUMBER_1" localSheetId="71">'x-705'!$B$13</definedName>
    <definedName name="TABLE_SECTION_NUMBER_1" localSheetId="72">'x-706'!$B$13</definedName>
    <definedName name="TABLE_SECTION_NUMBER_1" localSheetId="73">'x-707'!$B$13</definedName>
    <definedName name="TABLE_SECTION_NUMBER_1" localSheetId="74">'x-708'!$B$13</definedName>
    <definedName name="TABLE_SECTION_NUMBER_1" localSheetId="75">'x-709'!$B$13</definedName>
    <definedName name="TABLE_SECTION_NUMBER_1" localSheetId="76">'x-710'!$B$13</definedName>
    <definedName name="TABLE_SECTION_NUMBER_1" localSheetId="77">'x-711'!$B$13</definedName>
    <definedName name="TABLE_SECTION_NUMBER_1" localSheetId="78">'x-717'!$B$13</definedName>
    <definedName name="TABLE_SECTION_NUMBER_1" localSheetId="79">'x-718'!$B$13</definedName>
    <definedName name="TABLE_SECTION_NUMBER_1" localSheetId="80">'x-719'!$B$13</definedName>
    <definedName name="TABLE_SECTION_NUMBER_1" localSheetId="81">'x-720'!$B$13</definedName>
    <definedName name="TABLE_SECTION_NUMBER_1" localSheetId="82">'x-721'!$B$13</definedName>
    <definedName name="TABLE_SECTION_NUMBER_1" localSheetId="83">'x-722'!$B$13</definedName>
    <definedName name="TABLE_SECTION_NUMBER_1" localSheetId="84">'x-723'!$B$13</definedName>
    <definedName name="TABLE_SECTION_NUMBER_1" localSheetId="85">'x-724'!$B$13</definedName>
    <definedName name="TABLE_SECTION_NUMBER_1" localSheetId="86">'x-725'!$B$13</definedName>
    <definedName name="TABLE_SECTION_NUMBER_1" localSheetId="87">'x-726'!$B$13</definedName>
    <definedName name="TABLE_SECTION_NUMBER_1" localSheetId="88">'x-727'!$B$13</definedName>
    <definedName name="TABLE_SECTION_NUMBER_1" localSheetId="89">'x-728'!$B$13</definedName>
    <definedName name="TABLE_SECTION_NUMBER_1" localSheetId="90">'x-729'!$B$13</definedName>
    <definedName name="TABLE_SECTION_NUMBER_1" localSheetId="91">'x-811'!$B$13</definedName>
    <definedName name="TABLE_SECTION_NUMBER_1" localSheetId="92">'x-812'!$B$13</definedName>
    <definedName name="TABLE_SECTION_NUMBER_1" localSheetId="93">'x-813'!$B$13</definedName>
    <definedName name="TABLE_SECTION_NUMBER_1" localSheetId="94">'x-814'!$B$13</definedName>
    <definedName name="TABLE_SECTION_NUMBER_1" localSheetId="95">'x-815'!$B$13</definedName>
    <definedName name="TABLE_SECTION_NUMBER_2" localSheetId="8">'x-001'!$E$13</definedName>
    <definedName name="TABLE_SECTION_NUMBER_2" localSheetId="37">'x-408'!$K$13</definedName>
    <definedName name="TABLE_SECTION_NUMBER_2" localSheetId="41">'x-412'!$K$13</definedName>
    <definedName name="TABLE_SECTION_NUMBER_2" localSheetId="63">'x-610'!$I$13</definedName>
    <definedName name="TABLE_SECTION_NUMBER_2" localSheetId="64">'x-611'!$G$13</definedName>
    <definedName name="TABLE_SECTION_NUMBER_2" localSheetId="78">'x-717'!$Q$13</definedName>
    <definedName name="TABLE_SECTION_NUMBER_2" localSheetId="79">'x-718'!$Q$13</definedName>
    <definedName name="TABLE_SECTION_NUMBER_2" localSheetId="80">'x-719'!$Q$13</definedName>
    <definedName name="TABLE_SECTION_NUMBER_2" localSheetId="89">'x-728'!$P$13</definedName>
    <definedName name="TABLE_SECTION_NUMBER_3" localSheetId="78">'x-717'!$AF$13</definedName>
    <definedName name="TABLE_SECTION_NUMBER_3" localSheetId="79">'x-718'!$AF$13</definedName>
    <definedName name="TABLE_SECTION_NUMBER_4" localSheetId="78">'x-717'!$AU$13</definedName>
    <definedName name="TABLE_SERIES_NUMBER" localSheetId="7">'[2]x-Series Number'!$B$14</definedName>
    <definedName name="TABLE_SERIES_NUMBER" localSheetId="55">'[1]x-Series Number'!$B$14</definedName>
    <definedName name="TABLE_SERIES_NUMBER" localSheetId="95">'[3]x-Series Number'!$B$14</definedName>
    <definedName name="TABLE_SERIES_NUMBER">'x-Series Number'!$B$14</definedName>
    <definedName name="TABLE_SERIES_NUMBER_1" localSheetId="8">'x-001'!$B$14</definedName>
    <definedName name="TABLE_SERIES_NUMBER_1" localSheetId="9">'x-201'!$B$14</definedName>
    <definedName name="TABLE_SERIES_NUMBER_1" localSheetId="10">'x-202'!$B$14</definedName>
    <definedName name="TABLE_SERIES_NUMBER_1" localSheetId="11">'x-203'!$B$14</definedName>
    <definedName name="TABLE_SERIES_NUMBER_1" localSheetId="12">'x-204'!$B$14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'x-210'!$B$14</definedName>
    <definedName name="TABLE_SERIES_NUMBER_1" localSheetId="17">'x-211'!$B$14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'x-301'!$B$14</definedName>
    <definedName name="TABLE_SERIES_NUMBER_1" localSheetId="23">'x-302'!$B$14</definedName>
    <definedName name="TABLE_SERIES_NUMBER_1" localSheetId="24">'x-303'!$B$14</definedName>
    <definedName name="TABLE_SERIES_NUMBER_1" localSheetId="25">'x-304'!$B$14</definedName>
    <definedName name="TABLE_SERIES_NUMBER_1" localSheetId="26">'x-305'!$B$14</definedName>
    <definedName name="TABLE_SERIES_NUMBER_1" localSheetId="27">'x-306'!$B$14</definedName>
    <definedName name="TABLE_SERIES_NUMBER_1" localSheetId="28">'x-307'!$B$14</definedName>
    <definedName name="TABLE_SERIES_NUMBER_1" localSheetId="29">'x-308'!$B$14</definedName>
    <definedName name="TABLE_SERIES_NUMBER_1" localSheetId="30">'x-401'!$B$14</definedName>
    <definedName name="TABLE_SERIES_NUMBER_1" localSheetId="31">'x-402'!$B$14</definedName>
    <definedName name="TABLE_SERIES_NUMBER_1" localSheetId="32">'x-403'!$B$14</definedName>
    <definedName name="TABLE_SERIES_NUMBER_1" localSheetId="33">'x-404'!$B$14</definedName>
    <definedName name="TABLE_SERIES_NUMBER_1" localSheetId="34">'x-405'!$B$14</definedName>
    <definedName name="TABLE_SERIES_NUMBER_1" localSheetId="35">'x-406'!$B$14</definedName>
    <definedName name="TABLE_SERIES_NUMBER_1" localSheetId="36">'x-407'!$B$14</definedName>
    <definedName name="TABLE_SERIES_NUMBER_1" localSheetId="37">'x-408'!$B$14</definedName>
    <definedName name="TABLE_SERIES_NUMBER_1" localSheetId="38">'x-409'!$B$14</definedName>
    <definedName name="TABLE_SERIES_NUMBER_1" localSheetId="39">'x-410'!$B$14</definedName>
    <definedName name="TABLE_SERIES_NUMBER_1" localSheetId="40">'x-411'!$B$14</definedName>
    <definedName name="TABLE_SERIES_NUMBER_1" localSheetId="41">'x-412'!$B$14</definedName>
    <definedName name="TABLE_SERIES_NUMBER_1" localSheetId="42">'x-413'!$B$14</definedName>
    <definedName name="TABLE_SERIES_NUMBER_1" localSheetId="43">'x-416'!$B$14</definedName>
    <definedName name="TABLE_SERIES_NUMBER_1" localSheetId="44">'x-417'!$B$14</definedName>
    <definedName name="TABLE_SERIES_NUMBER_1" localSheetId="45">'x-418'!$B$14</definedName>
    <definedName name="TABLE_SERIES_NUMBER_1" localSheetId="46">'x-419'!$B$14</definedName>
    <definedName name="TABLE_SERIES_NUMBER_1" localSheetId="47">'x-420'!$B$14</definedName>
    <definedName name="TABLE_SERIES_NUMBER_1" localSheetId="48">'x-421'!$B$14</definedName>
    <definedName name="TABLE_SERIES_NUMBER_1" localSheetId="49">'x-422'!$B$14</definedName>
    <definedName name="TABLE_SERIES_NUMBER_1" localSheetId="50">'x-423'!$B$14</definedName>
    <definedName name="TABLE_SERIES_NUMBER_1" localSheetId="51">'x-424'!$B$14</definedName>
    <definedName name="TABLE_SERIES_NUMBER_1" localSheetId="52">'x-501'!$B$14</definedName>
    <definedName name="TABLE_SERIES_NUMBER_1" localSheetId="53">'x-502'!$B$14</definedName>
    <definedName name="TABLE_SERIES_NUMBER_1" localSheetId="54">'x-503'!$B$14</definedName>
    <definedName name="TABLE_SERIES_NUMBER_1" localSheetId="55">'x-504'!$B$14</definedName>
    <definedName name="TABLE_SERIES_NUMBER_1" localSheetId="56">'x-601'!$B$14</definedName>
    <definedName name="TABLE_SERIES_NUMBER_1" localSheetId="57">'x-603'!$B$14</definedName>
    <definedName name="TABLE_SERIES_NUMBER_1" localSheetId="58">'x-604'!$B$14</definedName>
    <definedName name="TABLE_SERIES_NUMBER_1" localSheetId="59">'x-605'!$B$14</definedName>
    <definedName name="TABLE_SERIES_NUMBER_1" localSheetId="60">'x-606'!$B$14</definedName>
    <definedName name="TABLE_SERIES_NUMBER_1" localSheetId="61">'x-607'!$B$14</definedName>
    <definedName name="TABLE_SERIES_NUMBER_1" localSheetId="62">'x-608'!$B$14</definedName>
    <definedName name="TABLE_SERIES_NUMBER_1" localSheetId="63">'x-610'!$B$14</definedName>
    <definedName name="TABLE_SERIES_NUMBER_1" localSheetId="64">'x-611'!$B$14</definedName>
    <definedName name="TABLE_SERIES_NUMBER_1" localSheetId="65">'x-612'!$B$14</definedName>
    <definedName name="TABLE_SERIES_NUMBER_1" localSheetId="66">'x-613'!$B$14</definedName>
    <definedName name="TABLE_SERIES_NUMBER_1" localSheetId="67">'x-701'!$B$14</definedName>
    <definedName name="TABLE_SERIES_NUMBER_1" localSheetId="68">'x-702'!$B$14</definedName>
    <definedName name="TABLE_SERIES_NUMBER_1" localSheetId="69">'x-703'!$B$14</definedName>
    <definedName name="TABLE_SERIES_NUMBER_1" localSheetId="70">'x-704'!$B$14</definedName>
    <definedName name="TABLE_SERIES_NUMBER_1" localSheetId="71">'x-705'!$B$14</definedName>
    <definedName name="TABLE_SERIES_NUMBER_1" localSheetId="72">'x-706'!$B$14</definedName>
    <definedName name="TABLE_SERIES_NUMBER_1" localSheetId="73">'x-707'!$B$14</definedName>
    <definedName name="TABLE_SERIES_NUMBER_1" localSheetId="74">'x-708'!$B$14</definedName>
    <definedName name="TABLE_SERIES_NUMBER_1" localSheetId="75">'x-709'!$B$14</definedName>
    <definedName name="TABLE_SERIES_NUMBER_1" localSheetId="76">'x-710'!$B$14</definedName>
    <definedName name="TABLE_SERIES_NUMBER_1" localSheetId="77">'x-711'!$B$14</definedName>
    <definedName name="TABLE_SERIES_NUMBER_1" localSheetId="78">'x-717'!$B$14</definedName>
    <definedName name="TABLE_SERIES_NUMBER_1" localSheetId="79">'x-718'!$B$14</definedName>
    <definedName name="TABLE_SERIES_NUMBER_1" localSheetId="80">'x-719'!$B$14</definedName>
    <definedName name="TABLE_SERIES_NUMBER_1" localSheetId="81">'x-720'!$B$14</definedName>
    <definedName name="TABLE_SERIES_NUMBER_1" localSheetId="82">'x-721'!$B$14</definedName>
    <definedName name="TABLE_SERIES_NUMBER_1" localSheetId="83">'x-722'!$B$14</definedName>
    <definedName name="TABLE_SERIES_NUMBER_1" localSheetId="84">'x-723'!$B$14</definedName>
    <definedName name="TABLE_SERIES_NUMBER_1" localSheetId="85">'x-724'!$B$14</definedName>
    <definedName name="TABLE_SERIES_NUMBER_1" localSheetId="86">'x-725'!$B$14</definedName>
    <definedName name="TABLE_SERIES_NUMBER_1" localSheetId="87">'x-726'!$B$14</definedName>
    <definedName name="TABLE_SERIES_NUMBER_1" localSheetId="88">'x-727'!$B$14</definedName>
    <definedName name="TABLE_SERIES_NUMBER_1" localSheetId="89">'x-728'!$B$14</definedName>
    <definedName name="TABLE_SERIES_NUMBER_1" localSheetId="90">'x-729'!$B$14</definedName>
    <definedName name="TABLE_SERIES_NUMBER_1" localSheetId="91">'x-811'!$B$14</definedName>
    <definedName name="TABLE_SERIES_NUMBER_1" localSheetId="92">'x-812'!$B$14</definedName>
    <definedName name="TABLE_SERIES_NUMBER_1" localSheetId="93">'x-813'!$B$14</definedName>
    <definedName name="TABLE_SERIES_NUMBER_1" localSheetId="94">'x-814'!$B$14</definedName>
    <definedName name="TABLE_SERIES_NUMBER_1" localSheetId="95">'x-815'!$B$14</definedName>
    <definedName name="TABLE_SERIES_NUMBER_2" localSheetId="8">'x-001'!$E$14</definedName>
    <definedName name="TABLE_SERIES_NUMBER_2" localSheetId="37">'x-408'!$K$14</definedName>
    <definedName name="TABLE_SERIES_NUMBER_2" localSheetId="41">'x-412'!$K$14</definedName>
    <definedName name="TABLE_SERIES_NUMBER_2" localSheetId="63">'x-610'!$I$14</definedName>
    <definedName name="TABLE_SERIES_NUMBER_2" localSheetId="64">'x-611'!$G$14</definedName>
    <definedName name="TABLE_SERIES_NUMBER_2" localSheetId="78">'x-717'!$Q$14</definedName>
    <definedName name="TABLE_SERIES_NUMBER_2" localSheetId="79">'x-718'!$Q$14</definedName>
    <definedName name="TABLE_SERIES_NUMBER_2" localSheetId="80">'x-719'!$Q$14</definedName>
    <definedName name="TABLE_SERIES_NUMBER_2" localSheetId="89">'x-728'!$P$14</definedName>
    <definedName name="TABLE_SERIES_NUMBER_3" localSheetId="78">'x-717'!$AF$14</definedName>
    <definedName name="TABLE_SERIES_NUMBER_3" localSheetId="79">'x-718'!$AF$14</definedName>
    <definedName name="TABLE_SERIES_NUMBER_4" localSheetId="78">'x-717'!$AU$14</definedName>
    <definedName name="title" localSheetId="7">[2]Cover!$A$2</definedName>
    <definedName name="title" localSheetId="55">[1]Cover!$A$2</definedName>
    <definedName name="title" localSheetId="95">[3]Cover!$A$2</definedName>
    <definedName name="title">Cover!$A$2</definedName>
    <definedName name="title_new" localSheetId="95">[3]Cover!$A$2</definedName>
    <definedName name="title_new">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77" l="1"/>
  <c r="A3" i="276"/>
  <c r="A3" i="275"/>
  <c r="A3" i="274"/>
  <c r="A3" i="255"/>
  <c r="A3" i="254"/>
  <c r="A3" i="253"/>
  <c r="A3" i="252"/>
  <c r="A3" i="251"/>
  <c r="A3" i="250"/>
  <c r="A3" i="249"/>
  <c r="A3" i="248"/>
  <c r="A3" i="268"/>
  <c r="A3" i="210"/>
  <c r="A3" i="209"/>
  <c r="A3" i="208"/>
  <c r="A3" i="207"/>
  <c r="A3" i="173"/>
  <c r="A3" i="172"/>
  <c r="A3" i="171"/>
  <c r="A3" i="170"/>
  <c r="A3" i="169"/>
  <c r="A3" i="168"/>
  <c r="A3" i="167"/>
  <c r="A3" i="166"/>
  <c r="A3" i="165"/>
  <c r="A3" i="164"/>
  <c r="A3" i="163"/>
  <c r="A3" i="229"/>
  <c r="A3" i="228"/>
  <c r="A3" i="227"/>
  <c r="A3" i="226"/>
  <c r="A3" i="225"/>
  <c r="A3" i="224"/>
  <c r="A3" i="223"/>
  <c r="A3" i="222"/>
  <c r="A3" i="231"/>
  <c r="A3" i="230"/>
  <c r="A3" i="221"/>
  <c r="A3" i="280"/>
  <c r="A3" i="144"/>
  <c r="A3" i="143"/>
  <c r="A3" i="142"/>
  <c r="A3" i="193"/>
  <c r="A3" i="267"/>
  <c r="A3" i="266"/>
  <c r="A3" i="192"/>
  <c r="A3" i="198"/>
  <c r="A3" i="197"/>
  <c r="A3" i="196"/>
  <c r="A3" i="195"/>
  <c r="A3" i="194"/>
  <c r="A3" i="191"/>
  <c r="A3" i="190"/>
  <c r="A3" i="189"/>
  <c r="A3" i="188"/>
  <c r="A3" i="187"/>
  <c r="A3" i="186"/>
  <c r="A3" i="185"/>
  <c r="A3" i="184"/>
  <c r="A3" i="183"/>
  <c r="A3" i="182"/>
  <c r="A3" i="181"/>
  <c r="A3" i="180"/>
  <c r="A3" i="179"/>
  <c r="A3" i="141"/>
  <c r="A3" i="140"/>
  <c r="A3" i="139"/>
  <c r="A3" i="138"/>
  <c r="A3" i="134"/>
  <c r="A3" i="133"/>
  <c r="A3" i="132"/>
  <c r="A3" i="131"/>
  <c r="A3" i="215"/>
  <c r="A3" i="214"/>
  <c r="A3" i="213"/>
  <c r="A3" i="212"/>
  <c r="A3" i="130"/>
  <c r="A3" i="129"/>
  <c r="A3" i="127"/>
  <c r="A3" i="126"/>
  <c r="A3" i="125"/>
  <c r="A3" i="123"/>
  <c r="A3" i="122"/>
  <c r="A3" i="121"/>
  <c r="A3" i="120"/>
  <c r="A3" i="281"/>
  <c r="A3" i="136"/>
  <c r="A58" i="55" l="1"/>
  <c r="A103" i="55" l="1"/>
  <c r="A2" i="281"/>
  <c r="B23" i="281"/>
  <c r="A2" i="280"/>
  <c r="B23" i="280"/>
  <c r="A102" i="55" l="1"/>
  <c r="A101" i="55"/>
  <c r="A100" i="55"/>
  <c r="A99" i="55"/>
  <c r="A98" i="55"/>
  <c r="A97" i="55"/>
  <c r="A96" i="55"/>
  <c r="A95" i="55"/>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E23" i="136"/>
  <c r="A2" i="279" l="1"/>
  <c r="A2" i="55"/>
  <c r="B23" i="120" l="1"/>
  <c r="B23" i="121"/>
  <c r="B23" i="122"/>
  <c r="B23" i="123"/>
  <c r="B23" i="125"/>
  <c r="B23" i="126"/>
  <c r="B23" i="127"/>
  <c r="B23" i="129"/>
  <c r="B23" i="130"/>
  <c r="B23" i="212"/>
  <c r="B23" i="213"/>
  <c r="B23" i="214"/>
  <c r="B23" i="215"/>
  <c r="B23" i="131"/>
  <c r="B23" i="132"/>
  <c r="B23" i="133"/>
  <c r="B23" i="134"/>
  <c r="B23" i="138"/>
  <c r="B23" i="139"/>
  <c r="B23" i="140"/>
  <c r="B23" i="141"/>
  <c r="B23" i="179"/>
  <c r="B23" i="180"/>
  <c r="B23" i="181"/>
  <c r="B23" i="182"/>
  <c r="B23" i="183"/>
  <c r="B23" i="184"/>
  <c r="B23" i="185"/>
  <c r="B23" i="186"/>
  <c r="B23" i="187"/>
  <c r="B23" i="188"/>
  <c r="B23" i="189"/>
  <c r="B23" i="190"/>
  <c r="B23" i="191"/>
  <c r="B23" i="194"/>
  <c r="B23" i="195"/>
  <c r="B23" i="196"/>
  <c r="B23" i="197"/>
  <c r="B23" i="198"/>
  <c r="B23" i="192"/>
  <c r="B23" i="266"/>
  <c r="B23" i="267"/>
  <c r="B23" i="193"/>
  <c r="B23" i="142"/>
  <c r="B23" i="143"/>
  <c r="B23" i="144"/>
  <c r="B23" i="221"/>
  <c r="B23" i="230"/>
  <c r="B23" i="231"/>
  <c r="B23" i="222"/>
  <c r="B23" i="223"/>
  <c r="B23" i="224"/>
  <c r="B23" i="225"/>
  <c r="B23" i="226"/>
  <c r="B23" i="227"/>
  <c r="B23" i="228"/>
  <c r="B23" i="229"/>
  <c r="B23" i="163"/>
  <c r="B23" i="164"/>
  <c r="B23" i="165"/>
  <c r="B23" i="166"/>
  <c r="B23" i="167"/>
  <c r="B23" i="168"/>
  <c r="B23" i="169"/>
  <c r="B23" i="170"/>
  <c r="B23" i="171"/>
  <c r="B23" i="172"/>
  <c r="B23" i="173"/>
  <c r="B23" i="207"/>
  <c r="B23" i="208"/>
  <c r="B23" i="209"/>
  <c r="B23" i="210"/>
  <c r="B23" i="268"/>
  <c r="B23" i="248"/>
  <c r="B23" i="249"/>
  <c r="B23" i="250"/>
  <c r="B23" i="251"/>
  <c r="B23" i="252"/>
  <c r="B23" i="253"/>
  <c r="B23" i="254"/>
  <c r="B23" i="255"/>
  <c r="B23" i="274"/>
  <c r="B23" i="275"/>
  <c r="B23" i="276"/>
  <c r="B23" i="277"/>
  <c r="B23" i="136" l="1"/>
  <c r="B22" i="102"/>
  <c r="A2" i="277" l="1"/>
  <c r="A2" i="276" l="1"/>
  <c r="A2" i="275"/>
  <c r="A2" i="274"/>
  <c r="A2" i="267" l="1"/>
  <c r="A2" i="266"/>
  <c r="A2" i="255" l="1"/>
  <c r="A2" i="254"/>
  <c r="A2" i="253"/>
  <c r="A2" i="252"/>
  <c r="A2" i="251"/>
  <c r="A2" i="250"/>
  <c r="A2" i="249"/>
  <c r="A2" i="248"/>
  <c r="A2" i="231" l="1"/>
  <c r="A2" i="230"/>
  <c r="A2" i="229"/>
  <c r="A2" i="228"/>
  <c r="A2" i="227"/>
  <c r="A2" i="226"/>
  <c r="A2" i="225"/>
  <c r="A2" i="224"/>
  <c r="A2" i="223"/>
  <c r="A2" i="222"/>
  <c r="A2" i="221"/>
  <c r="A2" i="215" l="1"/>
  <c r="A2" i="214"/>
  <c r="A2" i="213"/>
  <c r="A2" i="212"/>
  <c r="A2" i="210" l="1"/>
  <c r="A2" i="209"/>
  <c r="A2" i="208"/>
  <c r="A2" i="207"/>
  <c r="A2" i="195" l="1"/>
  <c r="A2" i="194"/>
  <c r="A2" i="193"/>
  <c r="A2" i="192"/>
  <c r="A2" i="191"/>
  <c r="A2" i="190"/>
  <c r="A2" i="189"/>
  <c r="A2" i="188"/>
  <c r="A2" i="187"/>
  <c r="A2" i="186"/>
  <c r="A2" i="185"/>
  <c r="A2" i="184"/>
  <c r="A2" i="183"/>
  <c r="A2" i="182"/>
  <c r="A2" i="181"/>
  <c r="A2" i="180"/>
  <c r="A2" i="179"/>
  <c r="A2" i="173" l="1"/>
  <c r="A2" i="172"/>
  <c r="A2" i="171"/>
  <c r="A2" i="170"/>
  <c r="A2" i="169"/>
  <c r="A2" i="168"/>
  <c r="A2" i="167"/>
  <c r="A2" i="166"/>
  <c r="A2" i="165"/>
  <c r="A2" i="164"/>
  <c r="A2" i="163"/>
  <c r="A2" i="144" l="1"/>
  <c r="A2" i="143"/>
  <c r="A2" i="142"/>
  <c r="A2" i="141"/>
  <c r="A2" i="140"/>
  <c r="A2" i="139"/>
  <c r="A2" i="138"/>
  <c r="A2" i="136" l="1"/>
  <c r="A2" i="134" l="1"/>
  <c r="A2" i="133"/>
  <c r="A2" i="132"/>
  <c r="A2" i="131"/>
  <c r="A2" i="130"/>
  <c r="A2" i="129"/>
  <c r="A2" i="127"/>
  <c r="A2" i="126"/>
  <c r="A2" i="125"/>
  <c r="A2" i="123"/>
  <c r="A2" i="122"/>
  <c r="A2" i="121"/>
  <c r="A3" i="102" l="1"/>
  <c r="A4" i="102" l="1"/>
  <c r="A2" i="102"/>
  <c r="A4" i="85" l="1"/>
  <c r="A2" i="85"/>
  <c r="A2" i="78"/>
  <c r="A4" i="77"/>
  <c r="A2" i="77"/>
  <c r="A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tc={5A3590B7-E6E0-45B6-BF74-4531A2023F6E}</author>
    <author>tc={E894BCEB-9316-40A5-8B22-9CA1418BE718}</author>
  </authors>
  <commentList>
    <comment ref="N8" authorId="0" shapeId="0" xr:uid="{5A3590B7-E6E0-45B6-BF74-4531A2023F6E}">
      <text>
        <t xml:space="preserve">[Threaded comment]
Your version of Excel allows you to read this threaded comment; however, any edits to it will get removed if the file is opened in a newer version of Excel. Learn more: https://go.microsoft.com/fwlink/?linkid=870924
Comment:
    Updated revaluation factors are implemented at the time of adoption of the main factors for each type of calculation. </t>
      </text>
    </comment>
    <comment ref="N9" authorId="1" shapeId="0" xr:uid="{E894BCEB-9316-40A5-8B22-9CA1418BE718}">
      <text>
        <t xml:space="preserve">[Threaded comment]
Your version of Excel allows you to read this threaded comment; however, any edits to it will get removed if the file is opened in a newer version of Excel. Learn more: https://go.microsoft.com/fwlink/?linkid=870924
Comment:
    Updated revaluation factors are implemented at the time of adoption of the main factors for each type of calculation. </t>
      </text>
    </comment>
  </commentList>
</comments>
</file>

<file path=xl/sharedStrings.xml><?xml version="1.0" encoding="utf-8"?>
<sst xmlns="http://schemas.openxmlformats.org/spreadsheetml/2006/main" count="5137" uniqueCount="995">
  <si>
    <t>Government Actuary's Department</t>
  </si>
  <si>
    <t>Northern Ireland Civil Service Pension Schemes - Consolidated Factor Spreadsheet</t>
  </si>
  <si>
    <t>Cover</t>
  </si>
  <si>
    <t>Specification</t>
  </si>
  <si>
    <t>This spreadsheet contains the full suite of factors that are in force for the Northern Ireland Civil Service Pension Schemes.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</si>
  <si>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</si>
  <si>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</si>
  <si>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</si>
  <si>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</si>
  <si>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</si>
  <si>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</si>
  <si>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</si>
  <si>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</si>
  <si>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</si>
  <si>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</si>
  <si>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Club 2023 Table 2 and onwards</t>
  </si>
  <si>
    <t>The 100 series factors contain the club transfer factors. Each different type of club transfer factor is set out on a separate sheet starting with sheet Club 2023 Table 2.</t>
  </si>
  <si>
    <t>x-201 and onwards</t>
  </si>
  <si>
    <t xml:space="preserve">The 200 series factors contain the non club transfer factors. Each different type of non club transfer factor is set out on a separate sheet starting with sheet x-201, where x relates to the scheme (0 for CSOPS(NI) and 1 for PCSPS(NI)). </t>
  </si>
  <si>
    <t>x-301 and onwards</t>
  </si>
  <si>
    <t xml:space="preserve">The 300 series factors contain the pension sharing on divorce factors. Each different type of pension sharing on divorce factor is set out on a separate sheet starting with sheet x-301, where x relates to the scheme (0 for CSOPS(NI) and 1 for PCSPS(NI)). </t>
  </si>
  <si>
    <t>x-401 and onwards</t>
  </si>
  <si>
    <t xml:space="preserve">The 400 series factors contain the early and late retirement factors. Each different type of early or late retirement factor is set out on a separate sheet starting with sheet x-401, where x relates to the scheme (0 for CSOPS(NI) and 1 for PCSPS(NI)). </t>
  </si>
  <si>
    <t>x-501 and onwards</t>
  </si>
  <si>
    <t xml:space="preserve">The 500 series factors contain the commutation factors. Each different type of commutation factor is set out on a separate sheet starting with sheet x-501, where x relates to the scheme (0 for CSOPS(NI) and 1 for PCSPS(NI)). </t>
  </si>
  <si>
    <t>x-601 and onwards</t>
  </si>
  <si>
    <t xml:space="preserve">The 600 series factors contain the scheme pays factors. Each different type of scheme pays factor is set out on a separate sheet starting with sheet x-601, where x relates to the scheme (0 for CSOPS(NI) and 1 for PCSPS(NI)). </t>
  </si>
  <si>
    <t>x-701 and onwards</t>
  </si>
  <si>
    <t xml:space="preserve">The 700 series factors contain the additional benefit or additional contribution factors. Each different type of additional benefit or additional contribution factor is set out on a separate sheet starting with sheet x-701, where x relates to the scheme (0 for CSOPS(NI) and 1 for PCSPS(NI)). </t>
  </si>
  <si>
    <t>x-811 and onwards</t>
  </si>
  <si>
    <t xml:space="preserve">The 800 series factors contain the other scheme specific factors. Each different type of other scheme specific factor is set out on a separate sheet starting with sheet x-801, where x relates to the scheme (0 for CSOPS(NI) and 1 for PCSPS(NI)). </t>
  </si>
  <si>
    <t>Purpose of Spreadsheet</t>
  </si>
  <si>
    <t>Purpose of the Northern Ireland Department of Finance Consolidated Factor Spreadsheet</t>
  </si>
  <si>
    <t>Version Control</t>
  </si>
  <si>
    <t>Version control</t>
  </si>
  <si>
    <t xml:space="preserve">This sheet is intended to assist DoF NI in understanding which factors have changed and when. </t>
  </si>
  <si>
    <t>Version control on this sheet commences with the 2017/18 factor review (version 2018-1)</t>
  </si>
  <si>
    <t>Version 2018 - 1 (9 November 2018)</t>
  </si>
  <si>
    <t>Provides the following new factor tables:</t>
  </si>
  <si>
    <t>Provides the following revised factors:</t>
  </si>
  <si>
    <t>x-200 and x-300 series</t>
  </si>
  <si>
    <t>Confirms that the following factor table is no longer required by DoF NI:</t>
  </si>
  <si>
    <t>Factors still to follow:</t>
  </si>
  <si>
    <t>x-100, x-400, x-500, x-600, x-700, and x800 series</t>
  </si>
  <si>
    <t>Methodology changes:</t>
  </si>
  <si>
    <t>None - table should be used with existing guidance notes as referenced</t>
  </si>
  <si>
    <t>Date modified:</t>
  </si>
  <si>
    <t>Version 2018 - 2 (21 December 2018)</t>
  </si>
  <si>
    <t>x-200 (TV in for Nuvos and Alpha only), x-300 (Pension Credit only), x-400, x-500, x-700 (AP and EPA/EEPA only)</t>
  </si>
  <si>
    <t>x-200 (TV in for Classic, Classic Plus and Premium only), x-600, x-700(ARBO), and x800 series</t>
  </si>
  <si>
    <t>Version 2019-1 (12 March 2019)</t>
  </si>
  <si>
    <t>x-100 (Club factors), x-200 (TV in for Classic, Classic Plus and Premium: tables 221 and 222), x-600 (Scheme Pays factors), and x-700 (ARBO: tables 722 to 729).</t>
  </si>
  <si>
    <t>TBC</t>
  </si>
  <si>
    <t>Version 2019-2 (1 August 2019)</t>
  </si>
  <si>
    <t>x-001 (Revaluation factors), x-421 (P1AANUV1), x-422 (P1AANUV2), x-423 (P1LPSNUV1) and x-422 (P1LPSNUV2)</t>
  </si>
  <si>
    <t>x-413 (P1ER65NUV)</t>
  </si>
  <si>
    <t>x-212, x-213, x-219, x-220, x-309, x-602, x-609, x-715, x-716 (all replaced with x-001)
x-414 and x-415</t>
  </si>
  <si>
    <t>None</t>
  </si>
  <si>
    <t>Udpated guidance and factors for Nuvos ERFs and LRFs</t>
  </si>
  <si>
    <t>Version 2020-1 (01 December 2020)</t>
  </si>
  <si>
    <t>x-811 (Classic WPS Refunds for members retiring in normal health), 
x-812 (Classic WPS Refunds for members retiring early in ill health), 
x-813 (Classic Plus WPS Refunds for members retiring in normal health), and 
x-814 (Classic Plus WPS Refunds for members retiring early in ill health).</t>
  </si>
  <si>
    <t>Version 2023-01</t>
  </si>
  <si>
    <t>Provides the following updated factor tables:</t>
  </si>
  <si>
    <t xml:space="preserve">x-201 to x-211, x-301 to x-308
</t>
  </si>
  <si>
    <t>Withdrawn factor tables:</t>
  </si>
  <si>
    <t>x-205, x-209 removed (PR tables)</t>
  </si>
  <si>
    <t>Date Modified:</t>
  </si>
  <si>
    <t>Version 2023-02</t>
  </si>
  <si>
    <t>x-214 to x-217,
x-401 to x-413, 
x-416 to x-424</t>
  </si>
  <si>
    <t>x-218, x-221, x-222 (final salary transfer in factor tables)</t>
  </si>
  <si>
    <t>Version 2023-03</t>
  </si>
  <si>
    <t>x-501 to x-503
x-601, 
x-603 to x-608, 
x-610 to x-613,
x-722 to x-729</t>
  </si>
  <si>
    <t>Version 2023-04</t>
  </si>
  <si>
    <t xml:space="preserve">Club 2023 Tables 2-6 (copies of updated Club factors)
</t>
  </si>
  <si>
    <t xml:space="preserve">x-701 to x-711, x-717 to x-721
x-811 to x-814
</t>
  </si>
  <si>
    <t>x-712 to x-714 (Legacy AP Lump sum factors), 
x-101 to x-110 (Old Club factors. These have been replaced by Club 2023 Tables 2 to 6)</t>
  </si>
  <si>
    <t>Version 2023-05</t>
  </si>
  <si>
    <t>x-503 (extended)</t>
  </si>
  <si>
    <t>Version 2023-06</t>
  </si>
  <si>
    <t>x-503 (extended to age 35)</t>
  </si>
  <si>
    <t>Version 2025-01</t>
  </si>
  <si>
    <t>x-504</t>
  </si>
  <si>
    <t>Other changes:</t>
  </si>
  <si>
    <t>The key assumptions underlying the factors have been added on a separate tab called "Assumptions".</t>
  </si>
  <si>
    <t xml:space="preserve">Summary of Factors </t>
  </si>
  <si>
    <t>x=0</t>
  </si>
  <si>
    <t>x=1</t>
  </si>
  <si>
    <t>x=2</t>
  </si>
  <si>
    <t>x=3</t>
  </si>
  <si>
    <t>x=4</t>
  </si>
  <si>
    <t>x=5</t>
  </si>
  <si>
    <t>PCSPS_NI</t>
  </si>
  <si>
    <t>Alpha</t>
  </si>
  <si>
    <t>Classic</t>
  </si>
  <si>
    <t>Premium</t>
  </si>
  <si>
    <t>Classic Plus</t>
  </si>
  <si>
    <t>Nuvos</t>
  </si>
  <si>
    <t>Civil Service Compensation Scheme</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</si>
  <si>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</si>
  <si>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</si>
  <si>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</si>
  <si>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</si>
  <si>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</si>
  <si>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</si>
  <si>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</si>
  <si>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</si>
  <si>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</si>
  <si>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</si>
  <si>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</si>
  <si>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</si>
  <si>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</si>
  <si>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</si>
  <si>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</si>
  <si>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</si>
  <si>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</si>
  <si>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</si>
  <si>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</si>
  <si>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</si>
  <si>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</si>
  <si>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</si>
  <si>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</si>
  <si>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</si>
  <si>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</si>
  <si>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</si>
  <si>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</si>
  <si>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</si>
  <si>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</si>
  <si>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</si>
  <si>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</si>
  <si>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</si>
  <si>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</si>
  <si>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</si>
  <si>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</si>
  <si>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</si>
  <si>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</si>
  <si>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</si>
  <si>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</si>
  <si>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</si>
  <si>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</si>
  <si>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</si>
  <si>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</si>
  <si>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</si>
  <si>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</si>
  <si>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</si>
  <si>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</si>
  <si>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</si>
  <si>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</si>
  <si>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</si>
  <si>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</si>
  <si>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</si>
  <si>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</si>
  <si>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</si>
  <si>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</si>
  <si>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</si>
  <si>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</si>
  <si>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</si>
  <si>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</si>
  <si>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</si>
  <si>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</si>
  <si>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</si>
  <si>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</si>
  <si>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</si>
  <si>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</si>
  <si>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</si>
  <si>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</si>
  <si>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</si>
  <si>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</si>
  <si>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</si>
  <si>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</si>
  <si>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</si>
  <si>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</si>
  <si>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</si>
  <si>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</si>
  <si>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</si>
  <si>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</si>
  <si>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</si>
  <si>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</si>
  <si>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</si>
  <si>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</si>
  <si>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</si>
  <si>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</si>
  <si>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</si>
  <si>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</si>
  <si>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</si>
  <si>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</si>
  <si>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</si>
  <si>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</si>
  <si>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</si>
  <si>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</si>
  <si>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</si>
  <si>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</si>
  <si>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</si>
  <si>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</si>
  <si>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</si>
  <si>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</si>
  <si>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</si>
  <si>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</si>
  <si>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</si>
  <si>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</si>
  <si>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</si>
  <si>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</si>
  <si>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</si>
  <si>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</si>
  <si>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</si>
  <si>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</si>
  <si>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</si>
  <si>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</si>
  <si>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</si>
  <si>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</si>
  <si>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</si>
  <si>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</si>
  <si>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</si>
  <si>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</si>
  <si>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</si>
  <si>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</si>
  <si>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</si>
  <si>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</si>
  <si>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</si>
  <si>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</si>
  <si>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</si>
  <si>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</si>
  <si>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</si>
  <si>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</si>
  <si>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</si>
  <si>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</si>
  <si>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</si>
  <si>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</si>
  <si>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</si>
  <si>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</si>
  <si>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</si>
  <si>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</si>
  <si>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</si>
  <si>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</si>
  <si>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</si>
  <si>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</si>
  <si>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</si>
  <si>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</si>
  <si>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</si>
  <si>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</si>
  <si>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</si>
  <si>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</si>
  <si>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</si>
  <si>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</si>
  <si>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</si>
  <si>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</si>
  <si>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</si>
  <si>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</si>
  <si>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</si>
  <si>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</si>
  <si>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</si>
  <si>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</si>
  <si>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</si>
  <si>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</si>
  <si>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</si>
  <si>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</si>
  <si>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</si>
  <si>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</si>
  <si>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</si>
  <si>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</si>
  <si>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</si>
  <si>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</si>
  <si>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</si>
  <si>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</si>
  <si>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</si>
  <si>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</si>
  <si>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</si>
  <si>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</si>
  <si>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</si>
  <si>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</si>
  <si>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</si>
  <si>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</si>
  <si>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</si>
  <si>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</si>
  <si>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</si>
  <si>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</si>
  <si>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</si>
  <si>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</si>
  <si>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</si>
  <si>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</si>
  <si>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</si>
  <si>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</si>
  <si>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</si>
  <si>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</si>
  <si>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</si>
  <si>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</si>
  <si>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</si>
  <si>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</si>
  <si>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</si>
  <si>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</si>
  <si>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</si>
  <si>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</si>
  <si>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</si>
  <si>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</si>
  <si>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</si>
  <si>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</si>
  <si>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</si>
  <si>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</si>
  <si>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Table Location</t>
  </si>
  <si>
    <t>Client</t>
  </si>
  <si>
    <t>Section</t>
  </si>
  <si>
    <t>Factor Type</t>
  </si>
  <si>
    <t>Gender</t>
  </si>
  <si>
    <t>Factor Age/Period Definition</t>
  </si>
  <si>
    <t>Section Number (x)</t>
  </si>
  <si>
    <t>Series Number</t>
  </si>
  <si>
    <t>Table Reference (Section-Series Number)</t>
  </si>
  <si>
    <t>Table Reference in Guidance</t>
  </si>
  <si>
    <t>Related Factor Table Reference (where the factor uses the same table as another factor in this spreadsheet)</t>
  </si>
  <si>
    <t>Date Factors Issued to Client</t>
  </si>
  <si>
    <t>Date Factors Implemented (if known)</t>
  </si>
  <si>
    <t>Factor Status</t>
  </si>
  <si>
    <t>Assumption Set</t>
  </si>
  <si>
    <t>Table ID</t>
  </si>
  <si>
    <t>Source</t>
  </si>
  <si>
    <t>UserID</t>
  </si>
  <si>
    <t>Time Stamp</t>
  </si>
  <si>
    <t>Civil Servants and Others Pension Scheme (Northern Ireland) (CSOPS(NI))</t>
  </si>
  <si>
    <t>All</t>
  </si>
  <si>
    <t>Revaluation factors</t>
  </si>
  <si>
    <t>Unisex</t>
  </si>
  <si>
    <t>Number of 1 Aprils between Calculation Date and NPA</t>
  </si>
  <si>
    <t>0-001</t>
  </si>
  <si>
    <t>REVAL</t>
  </si>
  <si>
    <t>Various</t>
  </si>
  <si>
    <t>Issued</t>
  </si>
  <si>
    <t>2023 factor review set</t>
  </si>
  <si>
    <t>Principal Civil Service Pension Scheme (Northern Ireland) (PCSPS(NI))</t>
  </si>
  <si>
    <t>Classic, Classic Plus and Premium</t>
  </si>
  <si>
    <t>1-001</t>
  </si>
  <si>
    <t>PCSPS_NI_0-219</t>
  </si>
  <si>
    <t>\\Gad-ast\ast\Factors\2017\PCSPS NI\Client Output\Tranche 1_2.4%\CETV bespoke outputs PCSPS NI - A + B - C T0.04 Tranche 1 xlsb - New GB with NI_SCAPE 2.4%.xlsb</t>
  </si>
  <si>
    <t>Meera</t>
  </si>
  <si>
    <t>CETV</t>
  </si>
  <si>
    <t>Alpha CETV factors for pension age of 65</t>
  </si>
  <si>
    <t>Male &amp; Female</t>
  </si>
  <si>
    <t>Age last birthday</t>
  </si>
  <si>
    <t>0-201</t>
  </si>
  <si>
    <t>P2CETV65</t>
  </si>
  <si>
    <t>Alpha CETV factors for pension age of 66</t>
  </si>
  <si>
    <t>0-202</t>
  </si>
  <si>
    <t>P2CETV66</t>
  </si>
  <si>
    <t>PCSPS_NI_0-201</t>
  </si>
  <si>
    <t>Alpha CETV factors for pension age of 67</t>
  </si>
  <si>
    <t>0-203</t>
  </si>
  <si>
    <t>P2CETV67</t>
  </si>
  <si>
    <t>PCSPS_NI_0-202</t>
  </si>
  <si>
    <t>Alpha CETV factors for pension age of 68</t>
  </si>
  <si>
    <t>0-204</t>
  </si>
  <si>
    <t>P2CETV68</t>
  </si>
  <si>
    <t>PCSPS_NI_0-203</t>
  </si>
  <si>
    <t>CETV factors for normal pension age of 60 - classic, classic plus and premium</t>
  </si>
  <si>
    <t>1-206</t>
  </si>
  <si>
    <t>P1CETV60</t>
  </si>
  <si>
    <t>PCSPS_NI_0-204</t>
  </si>
  <si>
    <t>CETV factors for normal pension age of 65 - classic, classic plus and premium</t>
  </si>
  <si>
    <t>1-207</t>
  </si>
  <si>
    <t>P1CETV65</t>
  </si>
  <si>
    <t>PCSPS_NI_1-206</t>
  </si>
  <si>
    <t>CETV factors for normal pension age of 65 - nuvos</t>
  </si>
  <si>
    <t>1-208</t>
  </si>
  <si>
    <t>P1CETVN</t>
  </si>
  <si>
    <t>PCSPS_NI_1-207</t>
  </si>
  <si>
    <t>CETV factors for added pension benefits - Classic</t>
  </si>
  <si>
    <t>1-210</t>
  </si>
  <si>
    <t>P1CETVAPC</t>
  </si>
  <si>
    <t>PCSPS_NI_4-208</t>
  </si>
  <si>
    <t>Classic Plus and Premium</t>
  </si>
  <si>
    <t>CETV factors for added pension benefits - classic plus and premium</t>
  </si>
  <si>
    <t>1-211</t>
  </si>
  <si>
    <t>P1CETVAPP</t>
  </si>
  <si>
    <t xml:space="preserve"> Issued</t>
  </si>
  <si>
    <t>PCSPS_NI_1-210</t>
  </si>
  <si>
    <t>TV In (non-club)</t>
  </si>
  <si>
    <t>Non Club alpha transfer in factors for NPA of 65</t>
  </si>
  <si>
    <t>0-214</t>
  </si>
  <si>
    <t>P2TVIN65</t>
  </si>
  <si>
    <t>PCSPS_NI_2-211</t>
  </si>
  <si>
    <t>Non Club alpha transfer in factors for NPA of 66</t>
  </si>
  <si>
    <t>0-215</t>
  </si>
  <si>
    <t>P2TVIN66</t>
  </si>
  <si>
    <t>andreas</t>
  </si>
  <si>
    <t>Non Club alpha transfer in factors for NPA of 67</t>
  </si>
  <si>
    <t>0-216</t>
  </si>
  <si>
    <t>P2TVIN67</t>
  </si>
  <si>
    <t>Non Club alpha transfer in factors for NPA of 68</t>
  </si>
  <si>
    <t>0-217</t>
  </si>
  <si>
    <t>P2TVIN68</t>
  </si>
  <si>
    <t>Pensioner CE</t>
  </si>
  <si>
    <t>alpha - pensioner cash equivalents on divorce factors - pensioners not on ill health</t>
  </si>
  <si>
    <t>0-301</t>
  </si>
  <si>
    <t>P2CENH1</t>
  </si>
  <si>
    <t>alpha - pensioner cash equivalents on divorce factors - pensioners on ill health</t>
  </si>
  <si>
    <t>0-302</t>
  </si>
  <si>
    <t>P2CEIH1</t>
  </si>
  <si>
    <t>PCSPS_NI_0-301</t>
  </si>
  <si>
    <t>All Sections</t>
  </si>
  <si>
    <t>PCSPS - pensioner cash equivalents on divorce factors - pensioner not on ill health</t>
  </si>
  <si>
    <t>1-303</t>
  </si>
  <si>
    <t>P1CENH1</t>
  </si>
  <si>
    <t>PCSPS_NI_0-302</t>
  </si>
  <si>
    <t>PCSPS - pensioner cash equivalents on divorce factors - pensioner on ill health</t>
  </si>
  <si>
    <t>1-304</t>
  </si>
  <si>
    <t>P1CEIH1</t>
  </si>
  <si>
    <t>PCSPS_NI_1-303</t>
  </si>
  <si>
    <t>Pension Credit</t>
  </si>
  <si>
    <t xml:space="preserve">alpha - factors to convert pension credit to pension for a male pension credit member </t>
  </si>
  <si>
    <t>Male</t>
  </si>
  <si>
    <t>Age last birthday at relevant date</t>
  </si>
  <si>
    <t>0-305</t>
  </si>
  <si>
    <t>P2PCM1</t>
  </si>
  <si>
    <t>PCSPS_NI_1-304</t>
  </si>
  <si>
    <t xml:space="preserve">alpha - factors to convert pension credit to pension for a female pension credit member </t>
  </si>
  <si>
    <t>Female</t>
  </si>
  <si>
    <t>0-306</t>
  </si>
  <si>
    <t>P2PCF1</t>
  </si>
  <si>
    <t>PCSPS_NI_0-305</t>
  </si>
  <si>
    <t>L:\Factors\2017\PCSPS NI\Client Output\Tranche 1_2.4%\CETV bespoke outputs PCSPS NI - A + B - C T0.04 Tranche 1 xlsb - New GB with NI_SCAPE 2.4%.xlsb</t>
  </si>
  <si>
    <t>aidanm</t>
  </si>
  <si>
    <t>PCSPS (NI) - factors to convert pension credit to pension for a classic, classic plus or premium pension credit member</t>
  </si>
  <si>
    <t>1-307</t>
  </si>
  <si>
    <t>P1PCCP1</t>
  </si>
  <si>
    <t>PCSPS_NI_0-306</t>
  </si>
  <si>
    <t>nuvos - factors to convert pension credit to pension for a nuvos pension credit member</t>
  </si>
  <si>
    <t>1-308</t>
  </si>
  <si>
    <t>P1PCNU1</t>
  </si>
  <si>
    <t>PCSPS_NI_1-307</t>
  </si>
  <si>
    <t>ERF</t>
  </si>
  <si>
    <t>Early payment reduction factors for NPA/EPA 65</t>
  </si>
  <si>
    <t>Age at early retirement (complete years and months, ignoring part months)</t>
  </si>
  <si>
    <t>0-401</t>
  </si>
  <si>
    <t>P2ER65</t>
  </si>
  <si>
    <t>PCSPS_NI_4-308</t>
  </si>
  <si>
    <t>Early payment reduction factors for NPA/EPA 66</t>
  </si>
  <si>
    <t>0-402</t>
  </si>
  <si>
    <t>P2ER66</t>
  </si>
  <si>
    <t>PCSPS_NI_0-401</t>
  </si>
  <si>
    <t>Early payment reduction factors for NPA/EPA 67</t>
  </si>
  <si>
    <t>0-403</t>
  </si>
  <si>
    <t>P2ER67</t>
  </si>
  <si>
    <t>PCSPS_NI_0-402</t>
  </si>
  <si>
    <t>Early payment reduction factors for NPA/EPA 68</t>
  </si>
  <si>
    <t>0-404</t>
  </si>
  <si>
    <t>P2ER68</t>
  </si>
  <si>
    <t>PCSPS_NI_0-403</t>
  </si>
  <si>
    <t>Classic and Premium</t>
  </si>
  <si>
    <t>Early retirement direct from service and/or over age 55 - Classic and Premium NPA 60 members - Factors for calculating the actuarially reduced pension</t>
  </si>
  <si>
    <t>Age at early retirement (in years and complete months)</t>
  </si>
  <si>
    <t>1-405</t>
  </si>
  <si>
    <t>P1ER60PEN1</t>
  </si>
  <si>
    <t>PCSPS_NI_0-404</t>
  </si>
  <si>
    <t>Early retirement direct from service and deferred status over age 55 - Classic NPA 60 members - Factors for calculating the actuarially reduced lump sum</t>
  </si>
  <si>
    <t>1-406</t>
  </si>
  <si>
    <t>P1ER60LS1</t>
  </si>
  <si>
    <t>PCSPS_NI_1-405</t>
  </si>
  <si>
    <t>Early retirement from deferment and under 55 - Classic and Premium NPA 60 members - Factors for calculating the actuarially reduced pension</t>
  </si>
  <si>
    <t>1-407</t>
  </si>
  <si>
    <t>P1ER60PEN2</t>
  </si>
  <si>
    <t>PCSPS_NI_1-406</t>
  </si>
  <si>
    <t>Early retirement from deferment and under 55 - Classic NPA 60 members - Factors for calculating the actuarially reduced lump sum</t>
  </si>
  <si>
    <t>1-408A</t>
  </si>
  <si>
    <t>P1ER60LS2 - Table B</t>
  </si>
  <si>
    <t>PCSPS_NI_1-407</t>
  </si>
  <si>
    <t>1-408B</t>
  </si>
  <si>
    <t>P1ER60LS2 - Table C</t>
  </si>
  <si>
    <t>PCSPS_NI_1-408A</t>
  </si>
  <si>
    <t>Early retirement direct from service or deferred status over age 55 - Classic and Premium NPA 65 members - Factors for calculating the actuarially reduced pension</t>
  </si>
  <si>
    <t>1-409</t>
  </si>
  <si>
    <t>P1ER65PEN1</t>
  </si>
  <si>
    <t>PCSPS_NI_1-408B</t>
  </si>
  <si>
    <t>Early retirement direct from service and/or over age 55 - Classic NPA 65 members - Factors for calculating the actuarially reduced lump sum</t>
  </si>
  <si>
    <t>1-410</t>
  </si>
  <si>
    <t>P1ER65LS1</t>
  </si>
  <si>
    <t>PCSPS_NI_1-409</t>
  </si>
  <si>
    <t>Early retirement from deferment and under 55 - Classic and Premium NPA 65 members - Factors for calculating the actuarially reduced pension</t>
  </si>
  <si>
    <t>1-411A</t>
  </si>
  <si>
    <t>P1ER65PEN2</t>
  </si>
  <si>
    <t>PCSPS_NI_1-410</t>
  </si>
  <si>
    <t>Early retirement from deferment and under 55 - Classic NPA 65 members - Factors for calculating the actuarially reduced lump sum</t>
  </si>
  <si>
    <t>1-412A</t>
  </si>
  <si>
    <t>P1ER65LS2 - Table B</t>
  </si>
  <si>
    <t>PCSPS_NI_1-411A</t>
  </si>
  <si>
    <t>1-412B</t>
  </si>
  <si>
    <t>P1ER65LS2 - Table C</t>
  </si>
  <si>
    <t>PCSPS_NI_1-412A</t>
  </si>
  <si>
    <t>Early retirement from nuvos scheme</t>
  </si>
  <si>
    <t>1-413</t>
  </si>
  <si>
    <t>P1ER65NUV</t>
  </si>
  <si>
    <t>PCSPS_NI_1-412B</t>
  </si>
  <si>
    <t>LRF</t>
  </si>
  <si>
    <t>Age addition factors across various NPA/EPAs - for use with all descriptions of pension except added (self only) pension</t>
  </si>
  <si>
    <t>Age when assessing (assumed) age addition (complete years and months, ignoring part months)</t>
  </si>
  <si>
    <t>0-416</t>
  </si>
  <si>
    <t>P2AA1</t>
  </si>
  <si>
    <t>PCSPS_NI_4-413</t>
  </si>
  <si>
    <t>Thannima</t>
  </si>
  <si>
    <t>Age addition factors across various NPA/EPAs - for use with added (self only) pension</t>
  </si>
  <si>
    <t>0-417</t>
  </si>
  <si>
    <t>P2AA2</t>
  </si>
  <si>
    <t>PCSPS_NI_0-416</t>
  </si>
  <si>
    <t>Late payment Supplement Factors across various NPAs (unisex) for use where member's and contingent partner's pension will receive a LPS</t>
  </si>
  <si>
    <t>Age at early retirement (in years and completed months)</t>
  </si>
  <si>
    <t>0-418</t>
  </si>
  <si>
    <t>P2LPS1</t>
  </si>
  <si>
    <t>PCSPS_NI_0-417</t>
  </si>
  <si>
    <t>\\Gad-ast\ast\Factors\2017\PCSPS NI\Client Output\Tranche 1\CETV bespoke outputs PCSPS NI - A + B - C T0.04 Tranche 1 xlsb - New GB with NI.xlsb</t>
  </si>
  <si>
    <t>Late payment supplement factors across various NPAs (Unisex) - for use with added (self only) pension</t>
  </si>
  <si>
    <t>0-419</t>
  </si>
  <si>
    <t>P2LPS2</t>
  </si>
  <si>
    <t>PCSPS_NI_0-419</t>
  </si>
  <si>
    <t>H:\Factors\2017\PCSPS NI\Client Output\Tranche 1_2.4%\CETV bespoke outputs PCSPS NI - A + B - C T0.04 Tranche 1 xlsb - v0.02 - New GB with NI_SCAPE 2.4%.xlsb</t>
  </si>
  <si>
    <t>Tadeos</t>
  </si>
  <si>
    <t>Early retirement for all members except for those retiring before age 55 whose deemed date for PI is in an earlier financial year then when date of ER occurs</t>
  </si>
  <si>
    <t>1-420</t>
  </si>
  <si>
    <t>Section 2.7</t>
  </si>
  <si>
    <t>PCSPS_NI_0-420</t>
  </si>
  <si>
    <t>Age addition factors in Nuvos - for use with all descriptions of pension where a contingent spouse’s pension is payable.</t>
  </si>
  <si>
    <t>is payable.</t>
  </si>
  <si>
    <t>1-421</t>
  </si>
  <si>
    <t>P1AANUV1</t>
  </si>
  <si>
    <t>Civil Servants and Others Pension Scheme (CSOPS)_1-421</t>
  </si>
  <si>
    <t>Age addition factors in Nuvos - for use with pension where no contingent spouse’s pension is payable e.g. contributed (self only) pension.</t>
  </si>
  <si>
    <t>1-422</t>
  </si>
  <si>
    <t>P1AANUV2</t>
  </si>
  <si>
    <t>PCSPS_NI_4-414</t>
  </si>
  <si>
    <t>Late payment supplement factors in Nuvos – for use where member’s and contingent partner’s pension will receive a LPS</t>
  </si>
  <si>
    <t>Age at late retirement (in years and completed months)</t>
  </si>
  <si>
    <t>1-423</t>
  </si>
  <si>
    <t>P1LPSNUV1</t>
  </si>
  <si>
    <t>Late payment supplement factors in Nuvos - for use where the LPS applies only to the member’s pension e.g. contributed (self only) pension.</t>
  </si>
  <si>
    <t>1-424</t>
  </si>
  <si>
    <t>P1LPSNUV2</t>
  </si>
  <si>
    <t>PCSPS_NI_4-415</t>
  </si>
  <si>
    <t>Triv Comm</t>
  </si>
  <si>
    <t>Trivial Commutation Unisex factors</t>
  </si>
  <si>
    <t>Age</t>
  </si>
  <si>
    <t>0-501</t>
  </si>
  <si>
    <t>P2TC1</t>
  </si>
  <si>
    <t>All sections</t>
  </si>
  <si>
    <t>Classic, classic plus, premium and nuvos: trivial commutation unisex factors</t>
  </si>
  <si>
    <t>1-502</t>
  </si>
  <si>
    <t>P1TCCL1</t>
  </si>
  <si>
    <t>PCSPS_NI_1-502</t>
  </si>
  <si>
    <t>Inverse Comm</t>
  </si>
  <si>
    <t>Classic: inverse commutation factors (amount of additional pension for every £100 of lump sum)</t>
  </si>
  <si>
    <t>Age at retirement in years and complete months</t>
  </si>
  <si>
    <t>1-503</t>
  </si>
  <si>
    <t>P1IC1</t>
  </si>
  <si>
    <t>PCSPS_NI_1-503</t>
  </si>
  <si>
    <t>Classic: inverse commutation - age adjustment factor</t>
  </si>
  <si>
    <t>1-504</t>
  </si>
  <si>
    <t>P1IC2</t>
  </si>
  <si>
    <t>Scheme pays AA</t>
  </si>
  <si>
    <t>Alpha scheme pays factors - all NPAs</t>
  </si>
  <si>
    <t>0-601</t>
  </si>
  <si>
    <t>A1</t>
  </si>
  <si>
    <t>PCSPS_NI_0-601</t>
  </si>
  <si>
    <t>\\Gad-ast\ast\Factors\2017\PCSPS NI\Client Output\Tranche 1_2.4%\CETV bespoke outputs PCSPS NI - A + B - C T0.04 Tranche 1 xlsb - v0.02 - New GB with NI_SCAPE 2.4%.xlsb</t>
  </si>
  <si>
    <t>Reduction to pension offset on ill health retirement</t>
  </si>
  <si>
    <t>Years after NPA at date of retirement</t>
  </si>
  <si>
    <t>0-603</t>
  </si>
  <si>
    <t>B1</t>
  </si>
  <si>
    <t>PCSPS_NI_0-610A</t>
  </si>
  <si>
    <t>Scheme pays AA LRF</t>
  </si>
  <si>
    <t>Increases to pension offset for retirement after NPA</t>
  </si>
  <si>
    <t>0-604</t>
  </si>
  <si>
    <t>C1</t>
  </si>
  <si>
    <t>PCSPS_NI_0-611</t>
  </si>
  <si>
    <t>Pensioner members (normal health) - Scheme pays factors - All NPAs</t>
  </si>
  <si>
    <t>0-605</t>
  </si>
  <si>
    <t>D1</t>
  </si>
  <si>
    <t>PCSPS_NI_0-602</t>
  </si>
  <si>
    <t>Pensioner members (ill health) - Scheme pays factors - All NPAs</t>
  </si>
  <si>
    <t>0-606</t>
  </si>
  <si>
    <t>D2</t>
  </si>
  <si>
    <t>PCSPS_NI_0-603</t>
  </si>
  <si>
    <t>Classic and Premium scheme pays factors (NPA 60 and NPA 65)</t>
  </si>
  <si>
    <t>1-607</t>
  </si>
  <si>
    <t>PCSPS_NI_1-604</t>
  </si>
  <si>
    <t>Nuvos scheme pays factors - NPA 65</t>
  </si>
  <si>
    <t>1-608</t>
  </si>
  <si>
    <t>A2</t>
  </si>
  <si>
    <t>PCSPS_NI_4-605</t>
  </si>
  <si>
    <t>Reduction to pension offset on ill health retirement - NPA 60</t>
  </si>
  <si>
    <t>Years until NPA at date of retirement</t>
  </si>
  <si>
    <t>1-610A</t>
  </si>
  <si>
    <t>PCSPS_NI_1-606A</t>
  </si>
  <si>
    <t>Reduction to pension offset on ill health retirement - NPA 65</t>
  </si>
  <si>
    <t>1-610B</t>
  </si>
  <si>
    <t>PCSPS_NI_1-606B</t>
  </si>
  <si>
    <t>Increases to pension and lump sum offset for retirement after NPA 60</t>
  </si>
  <si>
    <t>1-611A</t>
  </si>
  <si>
    <t>PCSPS_NI_1-607A</t>
  </si>
  <si>
    <t>Increases to pension and lump sum offset for retirement after NPA 65</t>
  </si>
  <si>
    <t>1-611B</t>
  </si>
  <si>
    <t>PCSPS_NI_1-607B</t>
  </si>
  <si>
    <t>Scheme pays factors where the member has already retired in normal health</t>
  </si>
  <si>
    <t>1-612</t>
  </si>
  <si>
    <t>PCSPS_NI_1-608</t>
  </si>
  <si>
    <t>Scheme pays factors where the member has already retired in ill health</t>
  </si>
  <si>
    <t>1-613</t>
  </si>
  <si>
    <t>PCSPS_NI_1-609</t>
  </si>
  <si>
    <t>Added pension</t>
  </si>
  <si>
    <t>Alpha added pension by lump sum factors for normal pension age of 65</t>
  </si>
  <si>
    <t>0-701</t>
  </si>
  <si>
    <t>P2APLS65</t>
  </si>
  <si>
    <t>Alpha added pension by lump sum factors for normal pension age of 66</t>
  </si>
  <si>
    <t>0-702</t>
  </si>
  <si>
    <t>P2APLS66</t>
  </si>
  <si>
    <t>Alpha added pension by lump sum factors for normal pension age of 67</t>
  </si>
  <si>
    <t>0-703</t>
  </si>
  <si>
    <t>P2APLS67</t>
  </si>
  <si>
    <t>Alpha added pension by lump sum factors for normal pension age of 68</t>
  </si>
  <si>
    <t>0-704</t>
  </si>
  <si>
    <t>P2APLS68</t>
  </si>
  <si>
    <t xml:space="preserve">Alpha Added Pension by periodical contribution factors for normal pension age of 65 </t>
  </si>
  <si>
    <t>0-705</t>
  </si>
  <si>
    <t>P2APPC65</t>
  </si>
  <si>
    <t xml:space="preserve">Alpha Added Pension by periodical contribution factors for normal pension age of 66 </t>
  </si>
  <si>
    <t>0-706</t>
  </si>
  <si>
    <t>P2APPC66</t>
  </si>
  <si>
    <t>Alpha Added Pension by periodical contribution factors for normal pension age of 67</t>
  </si>
  <si>
    <t>0-707</t>
  </si>
  <si>
    <t>P2APPC67</t>
  </si>
  <si>
    <t>Alpha Added Pension by periodical contribution factors for normal pension age of 68</t>
  </si>
  <si>
    <t>0-708</t>
  </si>
  <si>
    <t>P2APPC68</t>
  </si>
  <si>
    <t>Added pension by periodical contribution factors for classic</t>
  </si>
  <si>
    <t>1-709</t>
  </si>
  <si>
    <t>P1APPCCL1</t>
  </si>
  <si>
    <t>Premium and Classic Plus</t>
  </si>
  <si>
    <t>Added pension by periodical contribution factors for classic plus and premium</t>
  </si>
  <si>
    <t>1-710</t>
  </si>
  <si>
    <t>P1APPCCP1</t>
  </si>
  <si>
    <t>Added pension by periodical contribution factors for nuvos</t>
  </si>
  <si>
    <t>1-711</t>
  </si>
  <si>
    <t>P1APPCNU1</t>
  </si>
  <si>
    <t>EPA</t>
  </si>
  <si>
    <t>Contribution rates for EPA options - Retire 1 year early from NPA 65</t>
  </si>
  <si>
    <t>Age (complete years, ignoring part years) and NPA (in complete years and complete months, ignoring part
months)</t>
  </si>
  <si>
    <t>0-717A</t>
  </si>
  <si>
    <t>P2EPA1</t>
  </si>
  <si>
    <t>Civil Servants and Others Pension Scheme (Northern Ireland) (CSOPS(NI))_0-818A</t>
  </si>
  <si>
    <t>Contribution rates for EPA options - Retire 2 years early from NPA 66</t>
  </si>
  <si>
    <t>0-718A</t>
  </si>
  <si>
    <t>P2EPA2</t>
  </si>
  <si>
    <t>Civil Servants and Others Pension Scheme (Northern Ireland) (CSOPS(NI))_0-818B</t>
  </si>
  <si>
    <t>Contribution rates for EPA options - Retire 2 years early from NPA 67</t>
  </si>
  <si>
    <t>0-718B</t>
  </si>
  <si>
    <t>Civil Servants and Others Pension Scheme (Northern Ireland) (CSOPS(NI))_0-818C</t>
  </si>
  <si>
    <t>Contribution rates for EPA options - Retire 2 years early from NPA 68</t>
  </si>
  <si>
    <t>Age (complete years, ignoring part years)</t>
  </si>
  <si>
    <t>0-718C</t>
  </si>
  <si>
    <t>Civil Servants and Others Pension Scheme (Northern Ireland) (CSOPS(NI))_0-818D</t>
  </si>
  <si>
    <t>Contribution rates for EPA options - Retire 3 years early from NPA 67</t>
  </si>
  <si>
    <t>0-719A</t>
  </si>
  <si>
    <t>P2EPA3</t>
  </si>
  <si>
    <t>Civil Servants and Others Pension Scheme (Northern Ireland) (CSOPS(NI))_0-819A</t>
  </si>
  <si>
    <t>Contribution rates for EPA options - Retire 3 years early from NPA 68</t>
  </si>
  <si>
    <t>0-719B</t>
  </si>
  <si>
    <t>Civil Servants and Others Pension Scheme (Northern Ireland) (CSOPS(NI))_0-819B</t>
  </si>
  <si>
    <t>Headroom factors - prospective accrual accumulation factor</t>
  </si>
  <si>
    <t>Period between Option commencement date and EPA (in years and months, ignoring part months)</t>
  </si>
  <si>
    <t>0-720</t>
  </si>
  <si>
    <t>P2HR1</t>
  </si>
  <si>
    <t>Civil Servants and Others Pension Scheme (Northern Ireland) (CSOPS(NI))_0-819C</t>
  </si>
  <si>
    <t>Headroom factors - revaluation factor</t>
  </si>
  <si>
    <t>Number of years (ignoring part years) between Option commencement date and EPA</t>
  </si>
  <si>
    <t>0-721</t>
  </si>
  <si>
    <t>P2HRRev1</t>
  </si>
  <si>
    <t>Civil Servants and Others Pension Scheme (Northern Ireland) (CSOPS(NI))_0-820A</t>
  </si>
  <si>
    <t>ARBO</t>
  </si>
  <si>
    <t>Factors for actuarial reduction buy out (NPA 65)</t>
  </si>
  <si>
    <t>Age at early retirement</t>
  </si>
  <si>
    <t>0-722</t>
  </si>
  <si>
    <t>P2ARBO65</t>
  </si>
  <si>
    <t>Civil Servants and Others Pension Scheme (Northern Ireland) (CSOPS(NI))_0-820B</t>
  </si>
  <si>
    <t>Factors for actuarial reduction buy out (NPA 66)</t>
  </si>
  <si>
    <t>0-723</t>
  </si>
  <si>
    <t>P2ARBO66</t>
  </si>
  <si>
    <t>Civil Servants and Others Pension Scheme (Northern Ireland) (CSOPS(NI))_0-823</t>
  </si>
  <si>
    <t>Factors for actuarial reduction buy out (NPA 67)</t>
  </si>
  <si>
    <t>0-724</t>
  </si>
  <si>
    <t>P2ARBO67</t>
  </si>
  <si>
    <t>Factors for actuarial reduction buy out (NPA 68)</t>
  </si>
  <si>
    <t>0-725</t>
  </si>
  <si>
    <t>P2ARBO68</t>
  </si>
  <si>
    <t>ARBO factors for classic or premium members (NPA 60)</t>
  </si>
  <si>
    <t>1-726</t>
  </si>
  <si>
    <t>P1ARBO60</t>
  </si>
  <si>
    <t>ARBO factors for classic or premium members (NPA 65)</t>
  </si>
  <si>
    <t>1-727</t>
  </si>
  <si>
    <t>P1ARBO65FS</t>
  </si>
  <si>
    <t>ARBO factors for nuvos members (NPA 65)</t>
  </si>
  <si>
    <t>1-728</t>
  </si>
  <si>
    <t>P1ARBO65NUV</t>
  </si>
  <si>
    <t>ARBO factors for nuvos pension credit members</t>
  </si>
  <si>
    <t>1-729</t>
  </si>
  <si>
    <t>P1ARBO60NUV</t>
  </si>
  <si>
    <t>WPS refunds</t>
  </si>
  <si>
    <t>WPS refunds – Factors to calculate the premium for members retiring in normal health</t>
  </si>
  <si>
    <t>1-811</t>
  </si>
  <si>
    <t>P1WPS_NH1</t>
  </si>
  <si>
    <t>WPS refunds – Factors to calculate the premium for members retiring early in ill health</t>
  </si>
  <si>
    <t>1-812</t>
  </si>
  <si>
    <t>P1WPS_IH1</t>
  </si>
  <si>
    <t>WPS refunds – Factors to calculate the additional reduction for classic plus members retiring in normal health</t>
  </si>
  <si>
    <t>1-813</t>
  </si>
  <si>
    <t>P1WPS_NH2</t>
  </si>
  <si>
    <t>WPS refunds – Factors to calculate the additional reduction for classic plus members retiring early in ill health</t>
  </si>
  <si>
    <t>1-814</t>
  </si>
  <si>
    <t>P1WPS_IH2</t>
  </si>
  <si>
    <t>GMP test</t>
  </si>
  <si>
    <t>Factor for increasing the GMP in the GMP test</t>
  </si>
  <si>
    <t>Years from age last birthday to relevant birthday</t>
  </si>
  <si>
    <t>1-815</t>
  </si>
  <si>
    <t>TestValue_GMPincrease_Factor</t>
  </si>
  <si>
    <t>Data Item</t>
  </si>
  <si>
    <t>Factor Table Information</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</si>
  <si>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</si>
  <si>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</si>
  <si>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</si>
  <si>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</si>
  <si>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</si>
  <si>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</si>
  <si>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</si>
  <si>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</si>
  <si>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</si>
  <si>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</si>
  <si>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</si>
  <si>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</si>
  <si>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</si>
  <si>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</si>
  <si>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</si>
  <si>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</si>
  <si>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</si>
  <si>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</si>
  <si>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</si>
  <si>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</si>
  <si>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</si>
  <si>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</si>
  <si>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N/A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</si>
  <si>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</si>
  <si>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</si>
  <si>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</si>
  <si>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</si>
  <si>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</si>
  <si>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</si>
  <si>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</si>
  <si>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</si>
  <si>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</si>
  <si>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</si>
  <si>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</si>
  <si>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</si>
  <si>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86% of S3NMA_H</t>
  </si>
  <si>
    <t>Normal health pensioner - female</t>
  </si>
  <si>
    <t xml:space="preserve">107% of S3NFA_H </t>
  </si>
  <si>
    <t>Ill health pensioner - male</t>
  </si>
  <si>
    <t>Ill health pensioner - female</t>
  </si>
  <si>
    <t>Dependant - male</t>
  </si>
  <si>
    <t xml:space="preserve">100% of S3DMA </t>
  </si>
  <si>
    <t>Dependant - female</t>
  </si>
  <si>
    <t xml:space="preserve">116% of S3DFA </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</si>
  <si>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</si>
  <si>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</si>
  <si>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</si>
  <si>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</si>
  <si>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</si>
  <si>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</si>
  <si>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</si>
  <si>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</si>
  <si>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</si>
  <si>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</si>
  <si>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2 years younger than partner.</t>
  </si>
  <si>
    <t>Proportion married or partnered</t>
  </si>
  <si>
    <t>Generally in line with proposed 2020 valuation assumptions (Note 3).
Classic: 68% male and 50% female assumed married at retirement.
Non-Classic: 73% male and 50% female assumed married at retirement.
100% for options where the member can purchase additional dependant benefits.</t>
  </si>
  <si>
    <t>Allowance for commutation</t>
  </si>
  <si>
    <t>Expense loading</t>
  </si>
  <si>
    <t>Allowance for short-term dependants pension</t>
  </si>
  <si>
    <t>Normal pension age in the 2015 scheme</t>
  </si>
  <si>
    <t>In line with DOF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</si>
  <si>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</si>
  <si>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</si>
  <si>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</si>
  <si>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</si>
  <si>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</si>
  <si>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</si>
  <si>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take place at normal pension age.</t>
  </si>
  <si>
    <t>Salary scales</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</si>
  <si>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</si>
  <si>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</si>
  <si>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</si>
  <si>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</si>
  <si>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DOF NI dated 31 March 2023.</t>
  </si>
  <si>
    <t xml:space="preserve">2. Assumption summary </t>
  </si>
  <si>
    <t>The above assumptions were provided in the note dated 15 September 2023.</t>
  </si>
  <si>
    <t>3. 2020 valuation assumptions</t>
  </si>
  <si>
    <t>The 2020 valuation assumption report dated 23 October 2023.</t>
  </si>
  <si>
    <t>Scheme</t>
  </si>
  <si>
    <t>Section(s)</t>
  </si>
  <si>
    <t>001</t>
  </si>
  <si>
    <t>Related Factor Guidance</t>
  </si>
  <si>
    <t>Number of 1 Aprils</t>
  </si>
  <si>
    <t>Factor</t>
  </si>
  <si>
    <t>Male - Member's pension factor</t>
  </si>
  <si>
    <t>Male - Partner's pension factor</t>
  </si>
  <si>
    <t>Female - Member's pension factor</t>
  </si>
  <si>
    <t>Female - Partner's pension factor</t>
  </si>
  <si>
    <t>Male - Deduction for NI modification factor</t>
  </si>
  <si>
    <t>Male - Lump sum</t>
  </si>
  <si>
    <t>Female - Deduction for NI modification factor</t>
  </si>
  <si>
    <t>Female - Lump sum</t>
  </si>
  <si>
    <t>Male - Member + spouse's pension factor</t>
  </si>
  <si>
    <t>Female - Member + spouse's pension factor</t>
  </si>
  <si>
    <t>Scheme Number</t>
  </si>
  <si>
    <t>Table Reference Guidance</t>
  </si>
  <si>
    <t>Member's pension factor - Male</t>
  </si>
  <si>
    <t>Partner's pension factor - Male</t>
  </si>
  <si>
    <t>Member's pension factor - Female</t>
  </si>
  <si>
    <t>Partner's pension factor - Female</t>
  </si>
  <si>
    <t>Male - Gross pension of £1 a year</t>
  </si>
  <si>
    <t>Male - Partner's pension of £1 a year</t>
  </si>
  <si>
    <t>Male - Deduction for GMP of £1 a year Pre-88</t>
  </si>
  <si>
    <t>Male - Deduction for GMP of £1 a year Post-88</t>
  </si>
  <si>
    <t>Female - Gross pension of £1 a year</t>
  </si>
  <si>
    <t>Female - Partner's pension of £1 a year</t>
  </si>
  <si>
    <t>Female - Deduction for GMP of £1 a year Pre-88</t>
  </si>
  <si>
    <t>Female - Deduction for GMP of £1 a year Post-88</t>
  </si>
  <si>
    <t>Male - Deduction for NI modification of £1 a year</t>
  </si>
  <si>
    <t>Female - Deduction for NI modification of £1 a year</t>
  </si>
  <si>
    <t>Gross pension of £1 a year: with NPA 65</t>
  </si>
  <si>
    <t>Gross pension of £1 a year: with NPA 66</t>
  </si>
  <si>
    <t>Gross pension of £1 a year: with NPA 67</t>
  </si>
  <si>
    <t>Gross pension of £1 a year: with NPA 68</t>
  </si>
  <si>
    <t>Male - Gross pension of £1 a year: classic, classic plus or premium credit member</t>
  </si>
  <si>
    <t>Male - Lump Sum of £1: classic pension credit member</t>
  </si>
  <si>
    <t>Female - Gross pension of £1 a year: classic, classic plus or premium credit member</t>
  </si>
  <si>
    <t>Female - Lump Sum of £1: classic pension credit member</t>
  </si>
  <si>
    <t>Male - Gross pension of £1 a year: nuvos pension credit member</t>
  </si>
  <si>
    <t>Female - Gross pension of £1 a year: nuvos pension credit member</t>
  </si>
  <si>
    <t>Months/Age</t>
  </si>
  <si>
    <t>NPA</t>
  </si>
  <si>
    <t>F</t>
  </si>
  <si>
    <t>Amount of lump sum for every £1 of pension - Former Contributing member's and dependant's pension</t>
  </si>
  <si>
    <t>Amount of lump sum for every £1 of pension - Dependant's pension</t>
  </si>
  <si>
    <t>Member Pension - Male Member</t>
  </si>
  <si>
    <t>Member Pension - Female Member</t>
  </si>
  <si>
    <t>Member and Dependant - Male Member</t>
  </si>
  <si>
    <t>Member and Dependant - Female Member</t>
  </si>
  <si>
    <t>from</t>
  </si>
  <si>
    <t>35 years and 0 months to 35 years and 5 months</t>
  </si>
  <si>
    <t>35 years and 6 months to 35 years and 11 months</t>
  </si>
  <si>
    <t>36 years and 0 months to 36 years and 5 months</t>
  </si>
  <si>
    <t>36 years and 6 months to 36 years and 11 months</t>
  </si>
  <si>
    <t>37 years and 0 months to 37 years and 5 months</t>
  </si>
  <si>
    <t>37 years and 6 months to 37 years and 11 months</t>
  </si>
  <si>
    <t>38 years and 0 months to 38 years and 5 months</t>
  </si>
  <si>
    <t>38 years and 6 months to 38 years and 11 months</t>
  </si>
  <si>
    <t>39 years and 0 months to 39 years and 5 months</t>
  </si>
  <si>
    <t>39 years and 6 months to 39 years and 11 months</t>
  </si>
  <si>
    <t>40 years and 0 months to 40 years and 5 months</t>
  </si>
  <si>
    <t>40 years and 6 months to 40 years and 11 months</t>
  </si>
  <si>
    <t>41 years and 0 months to 41 years and 5 months</t>
  </si>
  <si>
    <t>41 years and 6 months to 41 years and 11 months</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</si>
  <si>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</si>
  <si>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</si>
  <si>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</si>
  <si>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</si>
  <si>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</si>
  <si>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</si>
  <si>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45 years and 0 months to 45 years and 5 months</t>
  </si>
  <si>
    <t>45 years and 6 months to 45 years and 11 months</t>
  </si>
  <si>
    <t>46 years and 0 months to 46 years and 5 months</t>
  </si>
  <si>
    <t>46 years and 6 months to 46 years and 11 months</t>
  </si>
  <si>
    <t>47 years and 0 months to 47 years and 5 months</t>
  </si>
  <si>
    <t>47 years and 6 months to 47 years and 11 months</t>
  </si>
  <si>
    <t>48 years and 0 months to 48 years and 5 months</t>
  </si>
  <si>
    <t>48 years and 6 months to 48 years and 11 months</t>
  </si>
  <si>
    <t>49 years and 0 months to 49 years and 5 months</t>
  </si>
  <si>
    <t>49 years and 6 months to 49 years and 11 months</t>
  </si>
  <si>
    <t>50 years and 0 months to 50 years and 5 months</t>
  </si>
  <si>
    <t>50 years and 6 months to 50 years and 11 months</t>
  </si>
  <si>
    <t>51 years and 0 months to 51 years and 5 months</t>
  </si>
  <si>
    <t>51 years and 6 months to 51 years and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</si>
  <si>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</si>
  <si>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</si>
  <si>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</si>
  <si>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</si>
  <si>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</si>
  <si>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and 11 months</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</si>
  <si>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</si>
  <si>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</si>
  <si>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</si>
  <si>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</si>
  <si>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</si>
  <si>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</si>
  <si>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</si>
  <si>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58 years and 6 months to 58 years and 11 months</t>
  </si>
  <si>
    <t>59 years and 0 months to 59 years and 5 months</t>
  </si>
  <si>
    <t xml:space="preserve">59 years and 6 months to 59 years and 11 months </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</si>
  <si>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</si>
  <si>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</si>
  <si>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</si>
  <si>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</si>
  <si>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</si>
  <si>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</si>
  <si>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</si>
  <si>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</si>
  <si>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</si>
  <si>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</si>
  <si>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</si>
  <si>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</si>
  <si>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 xml:space="preserve">66 years and 0 months to 66 years and 5 months </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</si>
  <si>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</si>
  <si>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</si>
  <si>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</si>
  <si>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</si>
  <si>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</si>
  <si>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</si>
  <si>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</si>
  <si>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</si>
  <si>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</si>
  <si>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</si>
  <si>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</si>
  <si>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72 years and 0 months to 72 years and 5 months</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</si>
  <si>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</si>
  <si>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</si>
  <si>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</si>
  <si>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</si>
  <si>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</si>
  <si>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75 years and 0 months to 75 years and 5 months</t>
  </si>
  <si>
    <t>75 years and 6 months to 75 years and 11 months</t>
  </si>
  <si>
    <t>76 years and 0 months to 76 years and 5 months</t>
  </si>
  <si>
    <t>76 years and 6 months to 76 years and 11 months</t>
  </si>
  <si>
    <t>77 years and 0 months to 77 years and 5 months</t>
  </si>
  <si>
    <t>77 years and 6 months to 77 years and 11 months</t>
  </si>
  <si>
    <t>78 years and 0 months to 78 years and 5 months</t>
  </si>
  <si>
    <t>78 years and 6 months to 78 years and 11 months</t>
  </si>
  <si>
    <t>79 years and 0 months to 79 years and 5 months</t>
  </si>
  <si>
    <t>79 years and 6 months to 79 years and 11 months</t>
  </si>
  <si>
    <t>80 years and 0 months to 80 years and 5 months</t>
  </si>
  <si>
    <t>80 years and 6 months to 80 years and 11 months</t>
  </si>
  <si>
    <t>81 years and 0 months to 81 years and 5 months</t>
  </si>
  <si>
    <t>81 years and 6 months to 81 years and 11 months</t>
  </si>
  <si>
    <t>82 years and 0 months to 82 years and 5 months</t>
  </si>
  <si>
    <t>82 years and 6 months to 82 years and 11 months</t>
  </si>
  <si>
    <t>Item</t>
  </si>
  <si>
    <t>Percentage reduction per year</t>
  </si>
  <si>
    <t>Age reduction</t>
  </si>
  <si>
    <t xml:space="preserve">Note that the amount of extra pension should be adjusted where the member and spouse pension will both be increased (columns 3 and 4) and the member is more than 10 years older than their spouse.  The adjustment is a reduction of 0.5% for each complete year in excess of 10 years that the member is older than the spouse. </t>
  </si>
  <si>
    <t>Male NPA 65 Factor</t>
  </si>
  <si>
    <t>Female NPA 65 Factor</t>
  </si>
  <si>
    <t>Male NPA 66 Factor</t>
  </si>
  <si>
    <t>Female NPA 66 Factor</t>
  </si>
  <si>
    <t>Male NPA 67 Factor</t>
  </si>
  <si>
    <t>Female NPA 67 Factor</t>
  </si>
  <si>
    <t>Male NPA 68 Factor</t>
  </si>
  <si>
    <t>Female NPA 68 Factor</t>
  </si>
  <si>
    <t>Years Early</t>
  </si>
  <si>
    <t/>
  </si>
  <si>
    <t>Years Late</t>
  </si>
  <si>
    <t>Male Factor</t>
  </si>
  <si>
    <t>Female Factor</t>
  </si>
  <si>
    <t>Male NPA 60 - Pension Factor</t>
  </si>
  <si>
    <t>Male NPA 60 - Lump Sum Factor</t>
  </si>
  <si>
    <t>Female NPA 60 - Pension Factor</t>
  </si>
  <si>
    <t>Female NPA 60 - Lump Sum Factor</t>
  </si>
  <si>
    <t>Male NPA 65 - Pension Factor</t>
  </si>
  <si>
    <t>Male NPA 65 - Lump Sum Factor</t>
  </si>
  <si>
    <t>Female NPA 65 - Pension Factor</t>
  </si>
  <si>
    <t>Female NPA 65 - Lump Sum Factor</t>
  </si>
  <si>
    <t>NPA 60 Pension Factor</t>
  </si>
  <si>
    <t>NPA 60 Lump Sum Factor</t>
  </si>
  <si>
    <t>NPA 65 Pension Factor</t>
  </si>
  <si>
    <t>NPA 65 Lump Sum Factor</t>
  </si>
  <si>
    <t>Member's pension factor - Males</t>
  </si>
  <si>
    <t>Member's pension factor - Females</t>
  </si>
  <si>
    <t>Member + spouse - Unisex</t>
  </si>
  <si>
    <t>Member + Spouse - Unisex</t>
  </si>
  <si>
    <t>Member + spouse</t>
  </si>
  <si>
    <t>Contribution rates for EPA options - Retire 1 year early from NPA 66</t>
  </si>
  <si>
    <t>Contribution rates for EPA options - Retire 1 year early from NPA 67</t>
  </si>
  <si>
    <t>Contribution rates for EPA options - Retire 1 year early from NPA 68</t>
  </si>
  <si>
    <t>0-717B</t>
  </si>
  <si>
    <t>0-717C</t>
  </si>
  <si>
    <t>0-717D</t>
  </si>
  <si>
    <t>Age/Months</t>
  </si>
  <si>
    <t>Years/Months Early</t>
  </si>
  <si>
    <t>60 and above</t>
  </si>
  <si>
    <t>Test value</t>
  </si>
  <si>
    <t>Value</t>
  </si>
  <si>
    <t>Annual percentage increase</t>
  </si>
  <si>
    <t xml:space="preserve">This spreadsheet is provided by GAD at the request of  Northern Ireland Department of Finance (DoF NI).  Its purpose is to set out in one place for convenience the actuarial factors provided by GAD to DoF NI from time to time in respect of the Civil Service Pension Schemes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DoF NI).   
GAD has no liability for any changes made to this spreadsheet whilst being used by DoF NI or any other third party.
This spreadsheet should not be made available online without the express permission of GAD. 
This spreadsheet is password protected. 
</t>
  </si>
  <si>
    <t>Version 2025-02</t>
  </si>
  <si>
    <t>x-504, x-815</t>
  </si>
  <si>
    <t>Word clarifications on the following tables x-503, x-421, x-422
multiple assumption sets added x-717 and x-718
Secondary metadata blocks added x-610, x-611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</si>
</sst>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
    <numFmt numFmtId="167" formatCode="d\ mmmm\ yyyy"/>
    <numFmt numFmtId="168" formatCode="[$-F800]dddd\,\ mmmm\ dd\,\ yyyy"/>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sz val="10"/>
      <color theme="1"/>
      <name val="Arial"/>
      <family val="2"/>
    </font>
    <font>
      <u/>
      <sz val="10"/>
      <color theme="10"/>
      <name val="Arial"/>
      <family val="2"/>
    </font>
    <font>
      <b/>
      <sz val="10"/>
      <color rgb="FF808080"/>
      <name val="Arial"/>
      <family val="2"/>
    </font>
    <font>
      <sz val="10"/>
      <color rgb="FF808080"/>
      <name val="Arial"/>
      <family val="2"/>
    </font>
    <font>
      <sz val="8"/>
      <name val="Arial"/>
      <family val="2"/>
    </font>
    <font>
      <sz val="10"/>
      <color theme="0" tint="-0.499984740745262"/>
      <name val="Arial"/>
      <family val="2"/>
    </font>
    <font>
      <b/>
      <sz val="10"/>
      <color theme="0" tint="-0.499984740745262"/>
      <name val="Arial"/>
      <family val="2"/>
    </font>
    <font>
      <b/>
      <sz val="10"/>
      <color theme="2" tint="-0.499984740745262"/>
      <name val="Arial"/>
      <family val="2"/>
    </font>
    <font>
      <sz val="10"/>
      <color theme="2" tint="-0.499984740745262"/>
      <name val="Arial"/>
      <family val="2"/>
    </font>
    <font>
      <u/>
      <sz val="10"/>
      <color rgb="FF0563C1"/>
      <name val="Arial"/>
      <family val="2"/>
    </font>
    <font>
      <b/>
      <sz val="12"/>
      <color rgb="FF000000"/>
      <name val="Arial"/>
      <family val="2"/>
    </font>
    <font>
      <sz val="12"/>
      <color rgb="FF000000"/>
      <name val="Arial"/>
      <family val="2"/>
    </font>
    <font>
      <sz val="12"/>
      <name val="Arial"/>
      <family val="2"/>
    </font>
    <font>
      <b/>
      <sz val="9"/>
      <name val="Arial"/>
      <family val="2"/>
    </font>
    <font>
      <sz val="10"/>
      <name val="Arial"/>
      <family val="2"/>
    </font>
    <font>
      <i/>
      <sz val="10"/>
      <name val="Arial"/>
      <family val="2"/>
    </font>
  </fonts>
  <fills count="15">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
      <patternFill patternType="solid">
        <fgColor theme="0" tint="-0.149998474074526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9">
    <xf numFmtId="0" fontId="0" fillId="0" borderId="0"/>
    <xf numFmtId="0" fontId="2" fillId="0" borderId="0"/>
    <xf numFmtId="0" fontId="3" fillId="0" borderId="0"/>
    <xf numFmtId="9" fontId="3" fillId="0" borderId="0" applyFont="0" applyFill="0" applyBorder="0" applyAlignment="0" applyProtection="0"/>
    <xf numFmtId="0" fontId="17" fillId="0" borderId="0" applyNumberFormat="0" applyFill="0" applyBorder="0" applyAlignment="0" applyProtection="0"/>
    <xf numFmtId="0" fontId="1" fillId="0" borderId="0"/>
    <xf numFmtId="9" fontId="3" fillId="0" borderId="0" applyFont="0" applyFill="0" applyBorder="0" applyAlignment="0" applyProtection="0"/>
    <xf numFmtId="0" fontId="1" fillId="0" borderId="0"/>
    <xf numFmtId="0" fontId="30" fillId="0" borderId="0"/>
  </cellStyleXfs>
  <cellXfs count="217">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11" xfId="0" applyBorder="1"/>
    <xf numFmtId="0" fontId="0" fillId="0" borderId="14" xfId="0" applyBorder="1"/>
    <xf numFmtId="0" fontId="0" fillId="0" borderId="16" xfId="0" applyBorder="1"/>
    <xf numFmtId="0" fontId="5" fillId="0" borderId="8" xfId="0" applyFont="1" applyBorder="1"/>
    <xf numFmtId="0" fontId="3" fillId="0" borderId="12" xfId="0" applyFont="1" applyBorder="1" applyAlignment="1">
      <alignment vertical="top" wrapText="1"/>
    </xf>
    <xf numFmtId="0" fontId="3" fillId="0" borderId="13" xfId="0" applyFont="1" applyBorder="1" applyAlignment="1">
      <alignment vertical="top" wrapText="1"/>
    </xf>
    <xf numFmtId="0" fontId="5" fillId="0" borderId="15" xfId="0" applyFont="1" applyBorder="1"/>
    <xf numFmtId="0" fontId="5" fillId="0" borderId="15" xfId="0" applyFont="1" applyBorder="1" applyAlignment="1">
      <alignment vertical="top" wrapText="1"/>
    </xf>
    <xf numFmtId="0" fontId="0" fillId="5" borderId="15" xfId="0" applyFill="1" applyBorder="1" applyAlignment="1">
      <alignment vertical="top"/>
    </xf>
    <xf numFmtId="0" fontId="3"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3" fillId="0" borderId="10" xfId="0" applyFont="1" applyBorder="1" applyAlignment="1">
      <alignment vertical="top" wrapText="1"/>
    </xf>
    <xf numFmtId="0" fontId="5" fillId="0" borderId="11" xfId="0" applyFont="1" applyBorder="1"/>
    <xf numFmtId="0" fontId="3" fillId="7" borderId="15" xfId="0" applyFont="1" applyFill="1" applyBorder="1" applyAlignment="1">
      <alignment vertical="top"/>
    </xf>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0" fillId="2" borderId="1" xfId="0" applyFill="1" applyBorder="1" applyAlignment="1">
      <alignment wrapText="1"/>
    </xf>
    <xf numFmtId="0" fontId="0" fillId="3" borderId="0" xfId="0" applyFill="1" applyAlignment="1">
      <alignment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15" fontId="14" fillId="0" borderId="0" xfId="0" applyNumberFormat="1" applyFont="1" applyAlignment="1">
      <alignment horizontal="centerContinuous" wrapText="1"/>
    </xf>
    <xf numFmtId="164" fontId="14" fillId="0" borderId="0" xfId="2" applyNumberFormat="1" applyFont="1"/>
    <xf numFmtId="0" fontId="16" fillId="0" borderId="15" xfId="0" applyFont="1" applyBorder="1" applyAlignment="1">
      <alignment vertical="top"/>
    </xf>
    <xf numFmtId="0" fontId="16" fillId="0" borderId="15" xfId="0" applyFont="1" applyBorder="1" applyAlignment="1">
      <alignment vertical="top" wrapText="1"/>
    </xf>
    <xf numFmtId="0" fontId="3" fillId="0" borderId="15" xfId="0" applyFont="1" applyBorder="1" applyAlignment="1">
      <alignment vertical="top"/>
    </xf>
    <xf numFmtId="0" fontId="17" fillId="0" borderId="0" xfId="4"/>
    <xf numFmtId="14" fontId="14" fillId="0" borderId="0" xfId="0" applyNumberFormat="1" applyFont="1" applyAlignment="1">
      <alignment horizontal="centerContinuous" wrapText="1"/>
    </xf>
    <xf numFmtId="164" fontId="14" fillId="0" borderId="0" xfId="3" applyNumberFormat="1" applyFont="1" applyFill="1"/>
    <xf numFmtId="165" fontId="14" fillId="0" borderId="0" xfId="2" applyNumberFormat="1" applyFont="1"/>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0" fontId="14" fillId="0" borderId="0" xfId="0" applyFont="1" applyAlignment="1">
      <alignment horizontal="left"/>
    </xf>
    <xf numFmtId="0" fontId="14" fillId="0" borderId="0" xfId="0" applyFont="1" applyAlignment="1">
      <alignment horizontal="left" vertical="center"/>
    </xf>
    <xf numFmtId="0" fontId="18" fillId="0" borderId="0" xfId="0" applyFont="1"/>
    <xf numFmtId="0" fontId="19" fillId="0" borderId="0" xfId="0" applyFont="1" applyAlignment="1">
      <alignment vertical="top" wrapText="1"/>
    </xf>
    <xf numFmtId="0" fontId="19" fillId="0" borderId="0" xfId="0" applyFont="1"/>
    <xf numFmtId="0" fontId="19" fillId="0" borderId="0" xfId="0" applyFont="1" applyAlignment="1">
      <alignment wrapText="1"/>
    </xf>
    <xf numFmtId="0" fontId="19" fillId="0" borderId="0" xfId="0" applyFont="1" applyAlignment="1">
      <alignment horizontal="left" vertical="top" wrapText="1"/>
    </xf>
    <xf numFmtId="14" fontId="19" fillId="0" borderId="0" xfId="0" applyNumberFormat="1" applyFont="1"/>
    <xf numFmtId="0" fontId="18" fillId="0" borderId="0" xfId="0" applyFont="1" applyAlignment="1">
      <alignment vertical="top" wrapText="1"/>
    </xf>
    <xf numFmtId="14" fontId="0" fillId="2" borderId="1" xfId="0" applyNumberFormat="1" applyFill="1" applyBorder="1"/>
    <xf numFmtId="14" fontId="0" fillId="3" borderId="0" xfId="0" applyNumberFormat="1" applyFill="1"/>
    <xf numFmtId="14" fontId="14" fillId="0" borderId="0" xfId="0" applyNumberFormat="1" applyFont="1" applyAlignment="1">
      <alignment horizontal="left"/>
    </xf>
    <xf numFmtId="0" fontId="0" fillId="2" borderId="1" xfId="0" applyFill="1" applyBorder="1" applyAlignment="1">
      <alignment horizontal="left"/>
    </xf>
    <xf numFmtId="0" fontId="0" fillId="3" borderId="0" xfId="0" applyFill="1" applyAlignment="1">
      <alignment horizontal="left"/>
    </xf>
    <xf numFmtId="0" fontId="0" fillId="0" borderId="0" xfId="0" applyAlignment="1">
      <alignment horizontal="left"/>
    </xf>
    <xf numFmtId="164" fontId="14" fillId="0" borderId="0" xfId="0" applyNumberFormat="1" applyFont="1" applyAlignment="1">
      <alignment horizontal="center" vertical="center"/>
    </xf>
    <xf numFmtId="1" fontId="15" fillId="0" borderId="0" xfId="2" applyNumberFormat="1" applyFont="1" applyAlignment="1">
      <alignment horizontal="center" vertical="center" wrapText="1"/>
    </xf>
    <xf numFmtId="0" fontId="14" fillId="0" borderId="0" xfId="2" applyFont="1" applyAlignment="1">
      <alignment horizontal="center" vertical="center"/>
    </xf>
    <xf numFmtId="164" fontId="14" fillId="0" borderId="0" xfId="2" applyNumberFormat="1" applyFont="1" applyAlignment="1">
      <alignment horizontal="center" vertical="center"/>
    </xf>
    <xf numFmtId="0" fontId="14" fillId="0" borderId="0" xfId="2" applyFont="1" applyAlignment="1">
      <alignment horizontal="center"/>
    </xf>
    <xf numFmtId="164" fontId="14" fillId="0" borderId="0" xfId="2" applyNumberFormat="1" applyFont="1" applyAlignment="1">
      <alignment horizontal="center"/>
    </xf>
    <xf numFmtId="164" fontId="3" fillId="8" borderId="0" xfId="0" applyNumberFormat="1" applyFont="1" applyFill="1" applyAlignment="1">
      <alignment horizontal="center" vertical="center"/>
    </xf>
    <xf numFmtId="0" fontId="21" fillId="0" borderId="0" xfId="0" applyFont="1"/>
    <xf numFmtId="165" fontId="14" fillId="0" borderId="0" xfId="2" applyNumberFormat="1" applyFont="1" applyAlignment="1">
      <alignment horizontal="center" vertical="center"/>
    </xf>
    <xf numFmtId="2" fontId="14" fillId="0" borderId="0" xfId="2" applyNumberFormat="1" applyFont="1" applyAlignment="1">
      <alignment horizontal="center" vertical="center"/>
    </xf>
    <xf numFmtId="2" fontId="14" fillId="0" borderId="0" xfId="2" applyNumberFormat="1" applyFont="1" applyAlignment="1">
      <alignment horizontal="center"/>
    </xf>
    <xf numFmtId="165" fontId="14" fillId="0" borderId="0" xfId="0" applyNumberFormat="1" applyFont="1" applyAlignment="1">
      <alignment horizontal="center" vertical="center"/>
    </xf>
    <xf numFmtId="0" fontId="14" fillId="0" borderId="0" xfId="0" applyFont="1" applyAlignment="1">
      <alignment horizontal="center"/>
    </xf>
    <xf numFmtId="165" fontId="14" fillId="0" borderId="0" xfId="0" applyNumberFormat="1" applyFont="1" applyAlignment="1">
      <alignment horizontal="center"/>
    </xf>
    <xf numFmtId="0" fontId="22" fillId="0" borderId="0" xfId="0" applyFont="1"/>
    <xf numFmtId="0" fontId="21" fillId="0" borderId="0" xfId="0" applyFont="1" applyAlignment="1">
      <alignment wrapText="1"/>
    </xf>
    <xf numFmtId="14" fontId="21" fillId="0" borderId="0" xfId="0" applyNumberFormat="1" applyFont="1"/>
    <xf numFmtId="0" fontId="3" fillId="9" borderId="0" xfId="0" applyFont="1" applyFill="1" applyAlignment="1">
      <alignment vertical="center"/>
    </xf>
    <xf numFmtId="0" fontId="14" fillId="10" borderId="0" xfId="0" applyFont="1" applyFill="1" applyAlignment="1">
      <alignment vertical="center" wrapText="1"/>
    </xf>
    <xf numFmtId="0" fontId="5" fillId="11" borderId="0" xfId="0" applyFont="1" applyFill="1"/>
    <xf numFmtId="0" fontId="3" fillId="13" borderId="0" xfId="0" applyFont="1" applyFill="1"/>
    <xf numFmtId="0" fontId="3" fillId="11" borderId="0" xfId="0" applyFont="1" applyFill="1"/>
    <xf numFmtId="0" fontId="3" fillId="10" borderId="0" xfId="0" applyFont="1" applyFill="1"/>
    <xf numFmtId="0" fontId="3" fillId="10" borderId="0" xfId="0" applyFont="1" applyFill="1" applyAlignment="1">
      <alignment wrapText="1"/>
    </xf>
    <xf numFmtId="0" fontId="3" fillId="12" borderId="0" xfId="0" applyFont="1" applyFill="1"/>
    <xf numFmtId="14" fontId="3" fillId="12" borderId="0" xfId="0" applyNumberFormat="1" applyFont="1" applyFill="1"/>
    <xf numFmtId="0" fontId="23" fillId="0" borderId="0" xfId="0" applyFont="1"/>
    <xf numFmtId="0" fontId="24" fillId="0" borderId="0" xfId="0" applyFont="1"/>
    <xf numFmtId="0" fontId="24" fillId="0" borderId="0" xfId="0" applyFont="1" applyAlignment="1">
      <alignment wrapText="1"/>
    </xf>
    <xf numFmtId="14" fontId="24" fillId="0" borderId="0" xfId="0" applyNumberFormat="1" applyFont="1"/>
    <xf numFmtId="0" fontId="3" fillId="0" borderId="0" xfId="2" applyAlignment="1">
      <alignment horizontal="center"/>
    </xf>
    <xf numFmtId="0" fontId="25" fillId="0" borderId="0" xfId="2" applyFont="1" applyAlignment="1">
      <alignment vertical="center"/>
    </xf>
    <xf numFmtId="0" fontId="26" fillId="12" borderId="0" xfId="2" applyFont="1" applyFill="1" applyAlignment="1">
      <alignment wrapText="1"/>
    </xf>
    <xf numFmtId="0" fontId="26" fillId="12" borderId="0" xfId="2" applyFont="1" applyFill="1" applyAlignment="1">
      <alignment horizontal="left" wrapText="1"/>
    </xf>
    <xf numFmtId="0" fontId="26" fillId="10" borderId="0" xfId="2" applyFont="1" applyFill="1" applyAlignment="1">
      <alignment wrapText="1"/>
    </xf>
    <xf numFmtId="0" fontId="26" fillId="10" borderId="0" xfId="2" applyFont="1" applyFill="1" applyAlignment="1">
      <alignment horizontal="left" wrapText="1"/>
    </xf>
    <xf numFmtId="0" fontId="27" fillId="12" borderId="0" xfId="2" applyFont="1" applyFill="1" applyAlignment="1">
      <alignment horizontal="left" wrapText="1"/>
    </xf>
    <xf numFmtId="0" fontId="27" fillId="10" borderId="0" xfId="2" applyFont="1" applyFill="1" applyAlignment="1">
      <alignment horizontal="left" wrapText="1"/>
    </xf>
    <xf numFmtId="10" fontId="27" fillId="10" borderId="0" xfId="2" applyNumberFormat="1" applyFont="1" applyFill="1" applyAlignment="1">
      <alignment horizontal="left" wrapText="1"/>
    </xf>
    <xf numFmtId="10" fontId="27" fillId="12" borderId="0" xfId="2" applyNumberFormat="1" applyFont="1" applyFill="1" applyAlignment="1">
      <alignment horizontal="left" wrapText="1"/>
    </xf>
    <xf numFmtId="0" fontId="27" fillId="10" borderId="0" xfId="2" applyFont="1" applyFill="1" applyAlignment="1">
      <alignment horizontal="left"/>
    </xf>
    <xf numFmtId="0" fontId="28" fillId="10" borderId="0" xfId="2" applyFont="1" applyFill="1" applyAlignment="1">
      <alignment horizontal="left" wrapText="1"/>
    </xf>
    <xf numFmtId="0" fontId="28" fillId="12" borderId="0" xfId="2" applyFont="1" applyFill="1" applyAlignment="1">
      <alignment horizontal="left" wrapText="1"/>
    </xf>
    <xf numFmtId="9" fontId="28" fillId="10" borderId="0" xfId="2" applyNumberFormat="1" applyFont="1" applyFill="1" applyAlignment="1">
      <alignment horizontal="left" wrapText="1"/>
    </xf>
    <xf numFmtId="9" fontId="27" fillId="12" borderId="0" xfId="2" applyNumberFormat="1" applyFont="1" applyFill="1" applyAlignment="1">
      <alignment horizontal="left" wrapText="1"/>
    </xf>
    <xf numFmtId="166" fontId="27" fillId="10" borderId="0" xfId="2" applyNumberFormat="1" applyFont="1" applyFill="1" applyAlignment="1">
      <alignment horizontal="left" wrapText="1"/>
    </xf>
    <xf numFmtId="0" fontId="3" fillId="0" borderId="0" xfId="2" applyAlignment="1">
      <alignment wrapText="1"/>
    </xf>
    <xf numFmtId="1" fontId="15" fillId="0" borderId="0" xfId="2" applyNumberFormat="1" applyFont="1" applyAlignment="1">
      <alignment vertical="top"/>
    </xf>
    <xf numFmtId="164" fontId="14" fillId="12" borderId="0" xfId="2" applyNumberFormat="1" applyFont="1" applyFill="1" applyAlignment="1">
      <alignment horizontal="center" vertical="center"/>
    </xf>
    <xf numFmtId="0" fontId="15" fillId="12" borderId="0" xfId="2" applyFont="1" applyFill="1" applyAlignment="1">
      <alignment horizontal="center" vertical="center" wrapText="1"/>
    </xf>
    <xf numFmtId="0" fontId="15" fillId="11" borderId="0" xfId="2" applyFont="1" applyFill="1" applyAlignment="1">
      <alignment horizontal="center" vertical="center" wrapText="1"/>
    </xf>
    <xf numFmtId="0" fontId="14" fillId="13" borderId="0" xfId="2" applyFont="1" applyFill="1" applyAlignment="1">
      <alignment horizontal="center" vertical="center"/>
    </xf>
    <xf numFmtId="0" fontId="14" fillId="10" borderId="0" xfId="2" applyFont="1" applyFill="1" applyAlignment="1">
      <alignment horizontal="center" vertical="center"/>
    </xf>
    <xf numFmtId="0" fontId="14" fillId="11" borderId="0" xfId="2" applyFont="1" applyFill="1" applyAlignment="1">
      <alignment horizontal="center" vertical="center"/>
    </xf>
    <xf numFmtId="0" fontId="15" fillId="0" borderId="0" xfId="2" applyFont="1" applyAlignment="1">
      <alignment horizontal="left"/>
    </xf>
    <xf numFmtId="0" fontId="14" fillId="0" borderId="0" xfId="2" applyFont="1" applyAlignment="1">
      <alignment horizontal="left"/>
    </xf>
    <xf numFmtId="0" fontId="14" fillId="0" borderId="0" xfId="2" quotePrefix="1" applyFont="1" applyAlignment="1">
      <alignment horizontal="left"/>
    </xf>
    <xf numFmtId="15" fontId="14" fillId="0" borderId="0" xfId="0" applyNumberFormat="1" applyFont="1" applyAlignment="1">
      <alignment horizontal="left"/>
    </xf>
    <xf numFmtId="0" fontId="15" fillId="0" borderId="0" xfId="0" applyFont="1" applyAlignment="1">
      <alignment horizontal="left"/>
    </xf>
    <xf numFmtId="14" fontId="14" fillId="0" borderId="0" xfId="2" applyNumberFormat="1" applyFont="1" applyAlignment="1">
      <alignment horizontal="left"/>
    </xf>
    <xf numFmtId="165" fontId="15" fillId="0" borderId="0" xfId="3" applyNumberFormat="1" applyFont="1" applyAlignment="1">
      <alignment vertical="top" wrapText="1"/>
    </xf>
    <xf numFmtId="2" fontId="14" fillId="0" borderId="0" xfId="3" applyNumberFormat="1" applyFont="1" applyFill="1" applyAlignment="1">
      <alignment horizontal="center"/>
    </xf>
    <xf numFmtId="1" fontId="15" fillId="0" borderId="0" xfId="2" applyNumberFormat="1" applyFont="1" applyAlignment="1">
      <alignment horizontal="center" vertical="top" wrapText="1"/>
    </xf>
    <xf numFmtId="0" fontId="14" fillId="0" borderId="0" xfId="8" applyFont="1" applyAlignment="1">
      <alignment horizontal="left" wrapText="1"/>
    </xf>
    <xf numFmtId="0" fontId="0" fillId="14" borderId="0" xfId="0" applyFill="1"/>
    <xf numFmtId="0" fontId="0" fillId="14" borderId="0" xfId="0" applyFill="1" applyAlignment="1">
      <alignment horizontal="left"/>
    </xf>
    <xf numFmtId="14" fontId="0" fillId="14" borderId="0" xfId="0" applyNumberFormat="1" applyFill="1"/>
    <xf numFmtId="0" fontId="5" fillId="0" borderId="0" xfId="0" applyFont="1" applyAlignment="1">
      <alignment wrapText="1"/>
    </xf>
    <xf numFmtId="14" fontId="15" fillId="0" borderId="0" xfId="0" applyNumberFormat="1" applyFont="1" applyAlignment="1">
      <alignment horizontal="left" wrapText="1"/>
    </xf>
    <xf numFmtId="0" fontId="17" fillId="0" borderId="0" xfId="4" applyFill="1" applyAlignment="1">
      <alignment horizontal="left" vertical="center" wrapText="1"/>
    </xf>
    <xf numFmtId="0" fontId="14" fillId="0" borderId="0" xfId="0" applyFont="1" applyAlignment="1">
      <alignment horizontal="left" vertical="center" wrapText="1"/>
    </xf>
    <xf numFmtId="167" fontId="14" fillId="0" borderId="0" xfId="0" applyNumberFormat="1" applyFont="1" applyAlignment="1">
      <alignment horizontal="left" vertical="center" wrapText="1"/>
    </xf>
    <xf numFmtId="14" fontId="14" fillId="0" borderId="0" xfId="0" applyNumberFormat="1" applyFont="1" applyAlignment="1">
      <alignment horizontal="left" vertical="center" wrapText="1"/>
    </xf>
    <xf numFmtId="168" fontId="14" fillId="0" borderId="0" xfId="0" applyNumberFormat="1" applyFont="1" applyAlignment="1">
      <alignment horizontal="left" vertical="center" wrapText="1"/>
    </xf>
    <xf numFmtId="22" fontId="14" fillId="0" borderId="0" xfId="0" applyNumberFormat="1" applyFont="1" applyAlignment="1">
      <alignment horizontal="left" vertical="center" wrapText="1"/>
    </xf>
    <xf numFmtId="167" fontId="14" fillId="0" borderId="0" xfId="0" applyNumberFormat="1" applyFont="1" applyAlignment="1">
      <alignment horizontal="left" vertical="top" wrapText="1"/>
    </xf>
    <xf numFmtId="22" fontId="0" fillId="0" borderId="0" xfId="0" applyNumberFormat="1"/>
    <xf numFmtId="0" fontId="31" fillId="0" borderId="0" xfId="0" applyFont="1" applyAlignment="1">
      <alignment horizontal="left"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12" borderId="0" xfId="0" applyFont="1" applyFill="1"/>
    <xf numFmtId="0" fontId="3" fillId="10" borderId="0" xfId="0" applyFont="1" applyFill="1"/>
    <xf numFmtId="0" fontId="29" fillId="0" borderId="0" xfId="2" applyFont="1" applyAlignment="1">
      <alignment vertical="center" wrapText="1"/>
    </xf>
  </cellXfs>
  <cellStyles count="9">
    <cellStyle name="Hyperlink" xfId="4" builtinId="8"/>
    <cellStyle name="Normal" xfId="0" builtinId="0"/>
    <cellStyle name="Normal 2" xfId="1" xr:uid="{00000000-0005-0000-0000-000002000000}"/>
    <cellStyle name="Normal 2 2" xfId="2" xr:uid="{00000000-0005-0000-0000-000003000000}"/>
    <cellStyle name="Normal 2 3" xfId="7" xr:uid="{B68BF645-3D66-4575-9874-E2983551F88A}"/>
    <cellStyle name="Normal 2 4" xfId="5" xr:uid="{7D9B62BE-40B6-4E10-BAD7-A09E66D9CD14}"/>
    <cellStyle name="Normal 2 5" xfId="8" xr:uid="{C6508392-6DEF-457C-9AFC-8E529976EFC2}"/>
    <cellStyle name="Per cent 2" xfId="6" xr:uid="{2F9E1A21-2D12-49B1-A88B-53436706B9BA}"/>
    <cellStyle name="Percent 2" xfId="3" xr:uid="{00000000-0005-0000-0000-000004000000}"/>
  </cellStyles>
  <dxfs count="1310">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3.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microsoft.com/office/2017/10/relationships/person" Target="persons/person.xml"/><Relationship Id="rId108"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3.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105"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CS%20GB/Factors%20&amp;%20Guidance/2024%20Guidance%20Review/3.%20Guidance%20updates/0.%20Consolidated%20factor%20workbook%20for%20website/CS%20GB%20Consolidated%20Factors%202025-01.xlsm" TargetMode="External"/><Relationship Id="rId2" Type="http://schemas.microsoft.com/office/2019/04/relationships/externalLinkLongPath" Target="https://tris42.sharepoint.com/sites/gad_wrkgrp_actuarial/pspsactuarialwork/Client%20Work/CS%20GB/Factors%20&amp;%20Guidance/2024%20Guidance%20Review/3.%20Guidance%20updates/0.%20Consolidated%20factor%20workbook%20for%20website/CS%20GB%20Consolidated%20Factors%202025-01.xlsm?8DA63AEB" TargetMode="External"/><Relationship Id="rId1" Type="http://schemas.openxmlformats.org/officeDocument/2006/relationships/externalLinkPath" Target="file:///\\8DA63AEB\CS%20GB%20Consolidated%20Factors%202025-0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4.%20Online%20portal/3.%20Import%20data/3.%20Factor%20tables/1_db_friendly/4.%20uploaded%20to%20db/2025-01/CS%20NI%20Consolidated%20Factors%202025-01.xlsm" TargetMode="External"/><Relationship Id="rId2" Type="http://schemas.microsoft.com/office/2019/04/relationships/externalLinkLongPath" Target="https://tris42.sharepoint.com/sites/gad_wrkgrp_actuarial/pspsactuarialwork/Central/Factors%20&amp;%20Guidance/2024%20Guidance%20Review/4.%20Online%20portal/3.%20Import%20data/3.%20Factor%20tables/1_db_friendly/4.%20uploaded%20to%20db/2025-01/CS%20NI%20Consolidated%20Factors%202025-01.xlsm?A1B67026" TargetMode="External"/><Relationship Id="rId1" Type="http://schemas.openxmlformats.org/officeDocument/2006/relationships/externalLinkPath" Target="file:///\\A1B67026\CS%20NI%20Consolidated%20Factors%202025-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GSaBd1Yffk2HEGeLJ7BV-M7Tn_bf4d5Jt40dgA510KONA8di7DrUTYr6i5JmfrJd" itemId="01GH4HC3XCVBBRRH6TSNCYMMXANHHFFI2F">
      <xxl21:absoluteUrl r:id="rId3"/>
    </xxl21:alternateUrls>
    <sheetNames>
      <sheetName val="Cover"/>
      <sheetName val="Purpose of spreadsheet"/>
      <sheetName val="Version Control"/>
      <sheetName val="Summary - PCSPS_EW"/>
      <sheetName val="AnnGenHiddenLists"/>
      <sheetName val="x-Series Number"/>
      <sheetName val="Factor List"/>
      <sheetName val="Assumptions"/>
      <sheetName val="x-201"/>
      <sheetName val="x-202"/>
      <sheetName val="x-203"/>
      <sheetName val="x-204"/>
      <sheetName val="x-205"/>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 val="x-815"/>
      <sheetName val="x-816"/>
      <sheetName val="Club 2023 Table 2"/>
      <sheetName val="Club 2023 Table 3"/>
      <sheetName val="Club 2023 Table 4"/>
      <sheetName val="Club 2023 Table 5"/>
      <sheetName val="Club 2023 Table 6"/>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GSaBd1Yffk2HEGeLJ7BV-M7Tn_bf4d5Jt40dgA510KONA8di7DrUTYr6i5JmfrJd" itemId="01GH4HC3SKTQWWOMM3VBDYGJUSBOAXDIVS">
      <xxl21:absoluteUrl r:id="rId3"/>
    </xxl21:alternateUrls>
    <sheetNames>
      <sheetName val="Cover"/>
      <sheetName val="Purpose of spreadsheet"/>
      <sheetName val="Version Control"/>
      <sheetName val="Summary - PCSPS_NI"/>
      <sheetName val="AnnGenHiddenLists"/>
      <sheetName val="Factor List"/>
      <sheetName val="x-Series Number"/>
      <sheetName val="Assumptions"/>
      <sheetName val="x-001"/>
      <sheetName val="x-201"/>
      <sheetName val="x-202"/>
      <sheetName val="x-203"/>
      <sheetName val="x-204"/>
      <sheetName val="x-206"/>
      <sheetName val="x-207"/>
      <sheetName val="x-208"/>
      <sheetName val="x-210"/>
      <sheetName val="x-211"/>
      <sheetName val="x-214"/>
      <sheetName val="x-215"/>
      <sheetName val="x-216"/>
      <sheetName val="x-217"/>
      <sheetName val="x-301"/>
      <sheetName val="x-302"/>
      <sheetName val="x-303"/>
      <sheetName val="x-304"/>
      <sheetName val="x-305"/>
      <sheetName val="x-306"/>
      <sheetName val="x-307"/>
      <sheetName val="x-308"/>
      <sheetName val="x-401"/>
      <sheetName val="x-402"/>
      <sheetName val="x-403"/>
      <sheetName val="x-404"/>
      <sheetName val="x-405"/>
      <sheetName val="x-406"/>
      <sheetName val="x-407"/>
      <sheetName val="x-408"/>
      <sheetName val="x-409"/>
      <sheetName val="x-410"/>
      <sheetName val="x-411"/>
      <sheetName val="x-412"/>
      <sheetName val="x-413"/>
      <sheetName val="x-416"/>
      <sheetName val="x-417"/>
      <sheetName val="x-418"/>
      <sheetName val="x-419"/>
      <sheetName val="x-420"/>
      <sheetName val="x-421"/>
      <sheetName val="x-422"/>
      <sheetName val="x-423"/>
      <sheetName val="x-424"/>
      <sheetName val="x-501"/>
      <sheetName val="x-502"/>
      <sheetName val="x-503"/>
      <sheetName val="x-504"/>
      <sheetName val="x-601"/>
      <sheetName val="x-603"/>
      <sheetName val="x-604"/>
      <sheetName val="x-605"/>
      <sheetName val="x-606"/>
      <sheetName val="x-607"/>
      <sheetName val="x-608"/>
      <sheetName val="x-610"/>
      <sheetName val="x-611"/>
      <sheetName val="x-612"/>
      <sheetName val="x-613"/>
      <sheetName val="x-701"/>
      <sheetName val="x-702"/>
      <sheetName val="x-703"/>
      <sheetName val="x-704"/>
      <sheetName val="x-705"/>
      <sheetName val="x-706"/>
      <sheetName val="x-707"/>
      <sheetName val="x-708"/>
      <sheetName val="x-709"/>
      <sheetName val="x-710"/>
      <sheetName val="x-711"/>
      <sheetName val="x-717"/>
      <sheetName val="x-718"/>
      <sheetName val="x-719"/>
      <sheetName val="x-720"/>
      <sheetName val="x-721"/>
      <sheetName val="x-722"/>
      <sheetName val="x-723"/>
      <sheetName val="x-724"/>
      <sheetName val="x-725"/>
      <sheetName val="x-726"/>
      <sheetName val="x-727"/>
      <sheetName val="x-728"/>
      <sheetName val="x-729"/>
      <sheetName val="x-811"/>
      <sheetName val="x-812"/>
      <sheetName val="x-813"/>
      <sheetName val="x-814"/>
      <sheetName val="x-815"/>
    </sheetNames>
    <sheetDataSet>
      <sheetData sheetId="0">
        <row r="2">
          <cell r="A2" t="str">
            <v>Northern Ireland Civil Service Pension Schemes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persons/person.xml><?xml version="1.0" encoding="utf-8"?>
<personList xmlns="http://schemas.microsoft.com/office/spreadsheetml/2018/threadedcomments" xmlns:x="http://schemas.openxmlformats.org/spreadsheetml/2006/main">
  <person displayName="Colley, Peter - GAD" id="{B4CD9B60-293D-4604-A30A-2E7956315DA4}" userId="S::Peter.Colley@gad.gov.uk::222ee8f4-7fef-4430-ac32-f65de1ba6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8" dT="2025-10-01T11:56:26.99" personId="{B4CD9B60-293D-4604-A30A-2E7956315DA4}" id="{5A3590B7-E6E0-45B6-BF74-4531A2023F6E}">
    <text xml:space="preserve">Updated revaluation factors are implemented at the time of adoption of the main factors for each type of calculation. </text>
  </threadedComment>
  <threadedComment ref="N9" dT="2025-10-01T11:56:26.99" personId="{B4CD9B60-293D-4604-A30A-2E7956315DA4}" id="{E894BCEB-9316-40A5-8B22-9CA1418BE718}">
    <text xml:space="preserve">Updated revaluation factors are implemented at the time of adoption of the main factors for each type of calculation. </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11679D4-8A59-4B4E-9612-AA7A748EDFCD}">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workbookViewId="0">
      <selection activeCell="A4" sqref="A4"/>
    </sheetView>
  </sheetViews>
  <sheetFormatPr defaultRowHeight="12.5" x14ac:dyDescent="0.25"/>
  <cols>
    <col min="1" max="1" width="26" customWidth="1"/>
    <col min="2" max="2" width="130.54296875" style="2" customWidth="1"/>
    <col min="4" max="4" width="10.1796875" bestFit="1" customWidth="1"/>
    <col min="8" max="8" width="10.1796875" customWidth="1"/>
    <col min="9" max="9" width="11.453125" customWidth="1"/>
    <col min="12" max="12" width="15.453125" bestFit="1" customWidth="1"/>
    <col min="13" max="13" width="21" bestFit="1" customWidth="1"/>
    <col min="14" max="14" width="9.453125" customWidth="1"/>
    <col min="15" max="15" width="9.54296875" customWidth="1"/>
    <col min="16" max="20" width="13.1796875" customWidth="1"/>
    <col min="27" max="27" width="11.453125" customWidth="1"/>
    <col min="28" max="28" width="10.1796875" customWidth="1"/>
    <col min="31" max="31" width="15.453125" bestFit="1" customWidth="1"/>
    <col min="32" max="32" width="21" bestFit="1" customWidth="1"/>
    <col min="33" max="34" width="9.54296875" bestFit="1" customWidth="1"/>
    <col min="35" max="35" width="9.54296875" customWidth="1"/>
    <col min="39" max="39" width="12.453125" bestFit="1" customWidth="1"/>
  </cols>
  <sheetData>
    <row r="1" spans="1:4" ht="20" x14ac:dyDescent="0.4">
      <c r="A1" s="4" t="s">
        <v>0</v>
      </c>
      <c r="B1" s="4"/>
    </row>
    <row r="2" spans="1:4" ht="15.5" x14ac:dyDescent="0.35">
      <c r="A2" s="5" t="s">
        <v>1</v>
      </c>
      <c r="B2" s="5"/>
    </row>
    <row r="3" spans="1:4" ht="15.5" x14ac:dyDescent="0.35">
      <c r="A3" s="6" t="s">
        <v>2</v>
      </c>
      <c r="B3" s="6"/>
    </row>
    <row r="4" spans="1:4" x14ac:dyDescent="0.25">
      <c r="A4" s="7" t="str">
        <f ca="1">CELL("filename",A1)</f>
        <v>C:\Users\PColley2\Downloads\[CS NI Consolidated Factors 2025-02.xlsx]Cover</v>
      </c>
    </row>
    <row r="5" spans="1:4" x14ac:dyDescent="0.25">
      <c r="D5" s="8"/>
    </row>
    <row r="6" spans="1:4" ht="13" x14ac:dyDescent="0.3">
      <c r="A6" s="32"/>
      <c r="B6" s="41"/>
    </row>
    <row r="7" spans="1:4" ht="13" x14ac:dyDescent="0.3">
      <c r="A7" s="42" t="s">
        <v>3</v>
      </c>
      <c r="B7" s="33" t="s">
        <v>4</v>
      </c>
    </row>
    <row r="8" spans="1:4" x14ac:dyDescent="0.25">
      <c r="A8" s="29"/>
      <c r="B8" s="33"/>
    </row>
    <row r="9" spans="1:4" x14ac:dyDescent="0.25">
      <c r="A9" s="29"/>
      <c r="B9" s="33"/>
    </row>
    <row r="10" spans="1:4" x14ac:dyDescent="0.25">
      <c r="A10" s="31"/>
      <c r="B10" s="34"/>
    </row>
    <row r="11" spans="1:4" ht="13" x14ac:dyDescent="0.3">
      <c r="A11" s="35" t="s">
        <v>5</v>
      </c>
      <c r="B11" s="36" t="s">
        <v>6</v>
      </c>
    </row>
    <row r="12" spans="1:4" x14ac:dyDescent="0.25">
      <c r="A12" s="37" t="s">
        <v>7</v>
      </c>
      <c r="B12" s="38" t="s">
        <v>8</v>
      </c>
    </row>
    <row r="13" spans="1:4" x14ac:dyDescent="0.25">
      <c r="A13" s="39" t="s">
        <v>9</v>
      </c>
      <c r="B13" s="38" t="s">
        <v>10</v>
      </c>
    </row>
    <row r="14" spans="1:4" x14ac:dyDescent="0.25">
      <c r="A14" s="43" t="s">
        <v>11</v>
      </c>
      <c r="B14" s="38" t="s">
        <v>12</v>
      </c>
    </row>
    <row r="15" spans="1:4" x14ac:dyDescent="0.25">
      <c r="A15" s="143" t="s">
        <v>13</v>
      </c>
      <c r="B15" s="144" t="s">
        <v>14</v>
      </c>
    </row>
    <row r="16" spans="1:4" s="26" customFormat="1" ht="25" x14ac:dyDescent="0.25">
      <c r="A16" s="103" t="s">
        <v>15</v>
      </c>
      <c r="B16" s="38" t="s">
        <v>16</v>
      </c>
    </row>
    <row r="17" spans="1:2" ht="25" x14ac:dyDescent="0.25">
      <c r="A17" s="40" t="s">
        <v>17</v>
      </c>
      <c r="B17" s="38" t="s">
        <v>18</v>
      </c>
    </row>
    <row r="18" spans="1:2" ht="25" x14ac:dyDescent="0.25">
      <c r="A18" s="40" t="s">
        <v>19</v>
      </c>
      <c r="B18" s="38" t="s">
        <v>20</v>
      </c>
    </row>
    <row r="19" spans="1:2" ht="25" x14ac:dyDescent="0.25">
      <c r="A19" s="103" t="s">
        <v>21</v>
      </c>
      <c r="B19" s="38" t="s">
        <v>22</v>
      </c>
    </row>
    <row r="20" spans="1:2" ht="25" x14ac:dyDescent="0.25">
      <c r="A20" s="101" t="s">
        <v>23</v>
      </c>
      <c r="B20" s="102" t="s">
        <v>24</v>
      </c>
    </row>
    <row r="21" spans="1:2" ht="25" x14ac:dyDescent="0.25">
      <c r="A21" s="103" t="s">
        <v>25</v>
      </c>
      <c r="B21" s="38" t="s">
        <v>26</v>
      </c>
    </row>
    <row r="22" spans="1:2" ht="25" x14ac:dyDescent="0.25">
      <c r="A22" s="101" t="s">
        <v>27</v>
      </c>
      <c r="B22" s="102" t="s">
        <v>28</v>
      </c>
    </row>
    <row r="23" spans="1:2" ht="25" x14ac:dyDescent="0.25">
      <c r="A23" s="103" t="s">
        <v>29</v>
      </c>
      <c r="B23" s="38" t="s">
        <v>30</v>
      </c>
    </row>
    <row r="24" spans="1:2" x14ac:dyDescent="0.25">
      <c r="A24" s="3"/>
    </row>
    <row r="25" spans="1:2" x14ac:dyDescent="0.25">
      <c r="A25" s="3"/>
    </row>
  </sheetData>
  <phoneticPr fontId="4" type="noConversion"/>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A1:E85"/>
  <sheetViews>
    <sheetView workbookViewId="0">
      <selection activeCell="A21" sqref="A21"/>
    </sheetView>
  </sheetViews>
  <sheetFormatPr defaultColWidth="10" defaultRowHeight="12.5" x14ac:dyDescent="0.25"/>
  <cols>
    <col min="1" max="1" width="31.54296875" style="28" customWidth="1"/>
    <col min="2" max="5" width="22.54296875" style="28" customWidth="1"/>
    <col min="6" max="16384" width="10" style="28"/>
  </cols>
  <sheetData>
    <row r="1" spans="1:5" ht="20" x14ac:dyDescent="0.4">
      <c r="A1" s="53" t="s">
        <v>0</v>
      </c>
      <c r="B1" s="54"/>
      <c r="C1" s="54"/>
      <c r="D1" s="54"/>
      <c r="E1" s="54"/>
    </row>
    <row r="2" spans="1:5" ht="15.5" x14ac:dyDescent="0.35">
      <c r="A2" s="55" t="s">
        <v>1</v>
      </c>
      <c r="B2" s="56"/>
      <c r="C2" s="56"/>
      <c r="D2" s="56"/>
      <c r="E2" s="56"/>
    </row>
    <row r="3" spans="1:5" ht="15.5" x14ac:dyDescent="0.35">
      <c r="A3" s="57" t="str">
        <f>TABLE_FACTOR_TYPE_1&amp;" - x-"&amp;TABLE_SERIES_NUMBER_1</f>
        <v>CETV - x-201</v>
      </c>
      <c r="B3" s="56"/>
      <c r="C3" s="56"/>
      <c r="D3" s="56"/>
      <c r="E3" s="56"/>
    </row>
    <row r="4" spans="1:5" x14ac:dyDescent="0.25">
      <c r="A4" s="58"/>
    </row>
    <row r="6" spans="1:5" ht="13" x14ac:dyDescent="0.3">
      <c r="A6" s="86" t="s">
        <v>716</v>
      </c>
      <c r="B6" s="111" t="s">
        <v>717</v>
      </c>
      <c r="C6" s="111"/>
      <c r="D6" s="111"/>
      <c r="E6" s="111"/>
    </row>
    <row r="7" spans="1:5" x14ac:dyDescent="0.25">
      <c r="A7" s="87" t="s">
        <v>797</v>
      </c>
      <c r="B7" s="111" t="s">
        <v>316</v>
      </c>
      <c r="C7" s="111"/>
      <c r="D7" s="111"/>
      <c r="E7" s="111"/>
    </row>
    <row r="8" spans="1:5" x14ac:dyDescent="0.25">
      <c r="A8" s="87" t="s">
        <v>798</v>
      </c>
      <c r="B8" s="111" t="s">
        <v>92</v>
      </c>
      <c r="C8" s="111"/>
      <c r="D8" s="111"/>
      <c r="E8" s="111"/>
    </row>
    <row r="9" spans="1:5" x14ac:dyDescent="0.25">
      <c r="A9" s="87" t="s">
        <v>300</v>
      </c>
      <c r="B9" s="111" t="s">
        <v>332</v>
      </c>
      <c r="C9" s="111"/>
      <c r="D9" s="111"/>
      <c r="E9" s="111"/>
    </row>
    <row r="10" spans="1:5" x14ac:dyDescent="0.25">
      <c r="A10" s="87" t="s">
        <v>6</v>
      </c>
      <c r="B10" s="111" t="s">
        <v>333</v>
      </c>
      <c r="C10" s="111"/>
      <c r="D10" s="111"/>
      <c r="E10" s="111"/>
    </row>
    <row r="11" spans="1:5" x14ac:dyDescent="0.25">
      <c r="A11" s="87" t="s">
        <v>301</v>
      </c>
      <c r="B11" s="111" t="s">
        <v>334</v>
      </c>
      <c r="C11" s="111"/>
      <c r="D11" s="111"/>
      <c r="E11" s="111"/>
    </row>
    <row r="12" spans="1:5" x14ac:dyDescent="0.25">
      <c r="A12" s="87" t="s">
        <v>302</v>
      </c>
      <c r="B12" s="111" t="s">
        <v>335</v>
      </c>
      <c r="C12" s="111"/>
      <c r="D12" s="111"/>
      <c r="E12" s="111"/>
    </row>
    <row r="13" spans="1:5" x14ac:dyDescent="0.25">
      <c r="A13" s="87" t="s">
        <v>724</v>
      </c>
      <c r="B13" s="111">
        <v>0</v>
      </c>
      <c r="C13" s="111"/>
      <c r="D13" s="111"/>
      <c r="E13" s="111"/>
    </row>
    <row r="14" spans="1:5" x14ac:dyDescent="0.25">
      <c r="A14" s="87" t="s">
        <v>304</v>
      </c>
      <c r="B14" s="111">
        <v>201</v>
      </c>
      <c r="C14" s="111"/>
      <c r="D14" s="111"/>
      <c r="E14" s="111"/>
    </row>
    <row r="15" spans="1:5" x14ac:dyDescent="0.25">
      <c r="A15" s="87" t="s">
        <v>727</v>
      </c>
      <c r="B15" s="111" t="s">
        <v>336</v>
      </c>
      <c r="C15" s="111"/>
      <c r="D15" s="111"/>
      <c r="E15" s="111"/>
    </row>
    <row r="16" spans="1:5" x14ac:dyDescent="0.25">
      <c r="A16" s="87" t="s">
        <v>306</v>
      </c>
      <c r="B16" s="111" t="s">
        <v>337</v>
      </c>
      <c r="C16" s="111"/>
      <c r="D16" s="111"/>
      <c r="E16" s="111"/>
    </row>
    <row r="17" spans="1:5" ht="46" customHeight="1" x14ac:dyDescent="0.25">
      <c r="A17" s="94" t="s">
        <v>800</v>
      </c>
      <c r="B17" s="111"/>
      <c r="C17" s="111"/>
      <c r="D17" s="111"/>
      <c r="E17" s="111"/>
    </row>
    <row r="18" spans="1:5" x14ac:dyDescent="0.25">
      <c r="A18" s="87" t="s">
        <v>308</v>
      </c>
      <c r="B18" s="122">
        <v>45071</v>
      </c>
      <c r="C18" s="111"/>
      <c r="D18" s="111"/>
      <c r="E18" s="111"/>
    </row>
    <row r="19" spans="1:5" x14ac:dyDescent="0.25">
      <c r="A19" s="87" t="s">
        <v>309</v>
      </c>
      <c r="B19" s="122">
        <v>45014</v>
      </c>
      <c r="C19" s="111"/>
      <c r="D19" s="111"/>
      <c r="E19" s="111"/>
    </row>
    <row r="20" spans="1:5" x14ac:dyDescent="0.25">
      <c r="A20" s="87" t="s">
        <v>310</v>
      </c>
      <c r="B20" s="111" t="s">
        <v>324</v>
      </c>
      <c r="C20" s="111"/>
      <c r="D20" s="111"/>
      <c r="E20" s="111"/>
    </row>
    <row r="21" spans="1:5" x14ac:dyDescent="0.25">
      <c r="A21" s="87" t="s">
        <v>311</v>
      </c>
      <c r="B21" s="111" t="s">
        <v>325</v>
      </c>
      <c r="C21" s="111"/>
      <c r="D21" s="111"/>
      <c r="E21" s="111"/>
    </row>
    <row r="23" spans="1:5" x14ac:dyDescent="0.25">
      <c r="B23" s="104" t="str">
        <f>HYPERLINK("#'Factor List'!A1","Back to Factor List")</f>
        <v>Back to Factor List</v>
      </c>
    </row>
    <row r="24" spans="1:5" x14ac:dyDescent="0.25">
      <c r="B24" s="104" t="s">
        <v>13</v>
      </c>
    </row>
    <row r="26" spans="1:5" ht="26" x14ac:dyDescent="0.25">
      <c r="A26" s="108" t="s">
        <v>534</v>
      </c>
      <c r="B26" s="108" t="s">
        <v>803</v>
      </c>
      <c r="C26" s="108" t="s">
        <v>804</v>
      </c>
      <c r="D26" s="108" t="s">
        <v>805</v>
      </c>
      <c r="E26" s="108" t="s">
        <v>806</v>
      </c>
    </row>
    <row r="27" spans="1:5" x14ac:dyDescent="0.25">
      <c r="A27" s="109">
        <v>17</v>
      </c>
      <c r="B27" s="110">
        <v>3.43</v>
      </c>
      <c r="C27" s="110">
        <v>0.56999999999999995</v>
      </c>
      <c r="D27" s="110">
        <v>3.43</v>
      </c>
      <c r="E27" s="110">
        <v>0.56999999999999995</v>
      </c>
    </row>
    <row r="28" spans="1:5" x14ac:dyDescent="0.25">
      <c r="A28" s="109">
        <v>18</v>
      </c>
      <c r="B28" s="110">
        <v>3.55</v>
      </c>
      <c r="C28" s="110">
        <v>0.61</v>
      </c>
      <c r="D28" s="110">
        <v>3.55</v>
      </c>
      <c r="E28" s="110">
        <v>0.61</v>
      </c>
    </row>
    <row r="29" spans="1:5" x14ac:dyDescent="0.25">
      <c r="A29" s="109">
        <v>19</v>
      </c>
      <c r="B29" s="110">
        <v>3.67</v>
      </c>
      <c r="C29" s="110">
        <v>0.64</v>
      </c>
      <c r="D29" s="110">
        <v>3.67</v>
      </c>
      <c r="E29" s="110">
        <v>0.64</v>
      </c>
    </row>
    <row r="30" spans="1:5" x14ac:dyDescent="0.25">
      <c r="A30" s="109">
        <v>20</v>
      </c>
      <c r="B30" s="110">
        <v>3.8</v>
      </c>
      <c r="C30" s="110">
        <v>0.66</v>
      </c>
      <c r="D30" s="110">
        <v>3.8</v>
      </c>
      <c r="E30" s="110">
        <v>0.66</v>
      </c>
    </row>
    <row r="31" spans="1:5" x14ac:dyDescent="0.25">
      <c r="A31" s="109">
        <v>21</v>
      </c>
      <c r="B31" s="110">
        <v>3.93</v>
      </c>
      <c r="C31" s="110">
        <v>0.69</v>
      </c>
      <c r="D31" s="110">
        <v>3.93</v>
      </c>
      <c r="E31" s="110">
        <v>0.69</v>
      </c>
    </row>
    <row r="32" spans="1:5" x14ac:dyDescent="0.25">
      <c r="A32" s="109">
        <v>22</v>
      </c>
      <c r="B32" s="110">
        <v>4.0599999999999996</v>
      </c>
      <c r="C32" s="110">
        <v>0.72</v>
      </c>
      <c r="D32" s="110">
        <v>4.0599999999999996</v>
      </c>
      <c r="E32" s="110">
        <v>0.72</v>
      </c>
    </row>
    <row r="33" spans="1:5" x14ac:dyDescent="0.25">
      <c r="A33" s="109">
        <v>23</v>
      </c>
      <c r="B33" s="110">
        <v>4.2</v>
      </c>
      <c r="C33" s="110">
        <v>0.74</v>
      </c>
      <c r="D33" s="110">
        <v>4.2</v>
      </c>
      <c r="E33" s="110">
        <v>0.74</v>
      </c>
    </row>
    <row r="34" spans="1:5" x14ac:dyDescent="0.25">
      <c r="A34" s="109">
        <v>24</v>
      </c>
      <c r="B34" s="110">
        <v>4.3499999999999996</v>
      </c>
      <c r="C34" s="110">
        <v>0.77</v>
      </c>
      <c r="D34" s="110">
        <v>4.3499999999999996</v>
      </c>
      <c r="E34" s="110">
        <v>0.77</v>
      </c>
    </row>
    <row r="35" spans="1:5" x14ac:dyDescent="0.25">
      <c r="A35" s="109">
        <v>25</v>
      </c>
      <c r="B35" s="110">
        <v>4.49</v>
      </c>
      <c r="C35" s="110">
        <v>0.8</v>
      </c>
      <c r="D35" s="110">
        <v>4.49</v>
      </c>
      <c r="E35" s="110">
        <v>0.8</v>
      </c>
    </row>
    <row r="36" spans="1:5" x14ac:dyDescent="0.25">
      <c r="A36" s="109">
        <v>26</v>
      </c>
      <c r="B36" s="110">
        <v>4.6500000000000004</v>
      </c>
      <c r="C36" s="110">
        <v>0.83</v>
      </c>
      <c r="D36" s="110">
        <v>4.6500000000000004</v>
      </c>
      <c r="E36" s="110">
        <v>0.83</v>
      </c>
    </row>
    <row r="37" spans="1:5" x14ac:dyDescent="0.25">
      <c r="A37" s="109">
        <v>27</v>
      </c>
      <c r="B37" s="110">
        <v>4.8099999999999996</v>
      </c>
      <c r="C37" s="110">
        <v>0.86</v>
      </c>
      <c r="D37" s="110">
        <v>4.8099999999999996</v>
      </c>
      <c r="E37" s="110">
        <v>0.86</v>
      </c>
    </row>
    <row r="38" spans="1:5" x14ac:dyDescent="0.25">
      <c r="A38" s="109">
        <v>28</v>
      </c>
      <c r="B38" s="110">
        <v>4.97</v>
      </c>
      <c r="C38" s="110">
        <v>0.89</v>
      </c>
      <c r="D38" s="110">
        <v>4.97</v>
      </c>
      <c r="E38" s="110">
        <v>0.89</v>
      </c>
    </row>
    <row r="39" spans="1:5" x14ac:dyDescent="0.25">
      <c r="A39" s="109">
        <v>29</v>
      </c>
      <c r="B39" s="110">
        <v>5.14</v>
      </c>
      <c r="C39" s="110">
        <v>0.92</v>
      </c>
      <c r="D39" s="110">
        <v>5.14</v>
      </c>
      <c r="E39" s="110">
        <v>0.92</v>
      </c>
    </row>
    <row r="40" spans="1:5" x14ac:dyDescent="0.25">
      <c r="A40" s="109">
        <v>30</v>
      </c>
      <c r="B40" s="110">
        <v>5.32</v>
      </c>
      <c r="C40" s="110">
        <v>0.95</v>
      </c>
      <c r="D40" s="110">
        <v>5.32</v>
      </c>
      <c r="E40" s="110">
        <v>0.95</v>
      </c>
    </row>
    <row r="41" spans="1:5" x14ac:dyDescent="0.25">
      <c r="A41" s="109">
        <v>31</v>
      </c>
      <c r="B41" s="110">
        <v>5.5</v>
      </c>
      <c r="C41" s="110">
        <v>0.99</v>
      </c>
      <c r="D41" s="110">
        <v>5.5</v>
      </c>
      <c r="E41" s="110">
        <v>0.99</v>
      </c>
    </row>
    <row r="42" spans="1:5" x14ac:dyDescent="0.25">
      <c r="A42" s="109">
        <v>32</v>
      </c>
      <c r="B42" s="110">
        <v>5.69</v>
      </c>
      <c r="C42" s="110">
        <v>1.02</v>
      </c>
      <c r="D42" s="110">
        <v>5.69</v>
      </c>
      <c r="E42" s="110">
        <v>1.02</v>
      </c>
    </row>
    <row r="43" spans="1:5" x14ac:dyDescent="0.25">
      <c r="A43" s="109">
        <v>33</v>
      </c>
      <c r="B43" s="110">
        <v>5.88</v>
      </c>
      <c r="C43" s="110">
        <v>1.06</v>
      </c>
      <c r="D43" s="110">
        <v>5.88</v>
      </c>
      <c r="E43" s="110">
        <v>1.06</v>
      </c>
    </row>
    <row r="44" spans="1:5" x14ac:dyDescent="0.25">
      <c r="A44" s="109">
        <v>34</v>
      </c>
      <c r="B44" s="110">
        <v>6.08</v>
      </c>
      <c r="C44" s="110">
        <v>1.0900000000000001</v>
      </c>
      <c r="D44" s="110">
        <v>6.08</v>
      </c>
      <c r="E44" s="110">
        <v>1.0900000000000001</v>
      </c>
    </row>
    <row r="45" spans="1:5" x14ac:dyDescent="0.25">
      <c r="A45" s="109">
        <v>35</v>
      </c>
      <c r="B45" s="110">
        <v>6.29</v>
      </c>
      <c r="C45" s="110">
        <v>1.1299999999999999</v>
      </c>
      <c r="D45" s="110">
        <v>6.29</v>
      </c>
      <c r="E45" s="110">
        <v>1.1299999999999999</v>
      </c>
    </row>
    <row r="46" spans="1:5" x14ac:dyDescent="0.25">
      <c r="A46" s="109">
        <v>36</v>
      </c>
      <c r="B46" s="110">
        <v>6.51</v>
      </c>
      <c r="C46" s="110">
        <v>1.17</v>
      </c>
      <c r="D46" s="110">
        <v>6.51</v>
      </c>
      <c r="E46" s="110">
        <v>1.17</v>
      </c>
    </row>
    <row r="47" spans="1:5" x14ac:dyDescent="0.25">
      <c r="A47" s="109">
        <v>37</v>
      </c>
      <c r="B47" s="110">
        <v>6.73</v>
      </c>
      <c r="C47" s="110">
        <v>1.21</v>
      </c>
      <c r="D47" s="110">
        <v>6.73</v>
      </c>
      <c r="E47" s="110">
        <v>1.21</v>
      </c>
    </row>
    <row r="48" spans="1:5" x14ac:dyDescent="0.25">
      <c r="A48" s="109">
        <v>38</v>
      </c>
      <c r="B48" s="110">
        <v>6.97</v>
      </c>
      <c r="C48" s="110">
        <v>1.25</v>
      </c>
      <c r="D48" s="110">
        <v>6.97</v>
      </c>
      <c r="E48" s="110">
        <v>1.25</v>
      </c>
    </row>
    <row r="49" spans="1:5" x14ac:dyDescent="0.25">
      <c r="A49" s="109">
        <v>39</v>
      </c>
      <c r="B49" s="110">
        <v>7.21</v>
      </c>
      <c r="C49" s="110">
        <v>1.29</v>
      </c>
      <c r="D49" s="110">
        <v>7.21</v>
      </c>
      <c r="E49" s="110">
        <v>1.29</v>
      </c>
    </row>
    <row r="50" spans="1:5" x14ac:dyDescent="0.25">
      <c r="A50" s="109">
        <v>40</v>
      </c>
      <c r="B50" s="110">
        <v>7.45</v>
      </c>
      <c r="C50" s="110">
        <v>1.33</v>
      </c>
      <c r="D50" s="110">
        <v>7.45</v>
      </c>
      <c r="E50" s="110">
        <v>1.33</v>
      </c>
    </row>
    <row r="51" spans="1:5" x14ac:dyDescent="0.25">
      <c r="A51" s="109">
        <v>41</v>
      </c>
      <c r="B51" s="110">
        <v>7.71</v>
      </c>
      <c r="C51" s="110">
        <v>1.37</v>
      </c>
      <c r="D51" s="110">
        <v>7.71</v>
      </c>
      <c r="E51" s="110">
        <v>1.37</v>
      </c>
    </row>
    <row r="52" spans="1:5" x14ac:dyDescent="0.25">
      <c r="A52" s="109">
        <v>42</v>
      </c>
      <c r="B52" s="110">
        <v>7.98</v>
      </c>
      <c r="C52" s="110">
        <v>1.42</v>
      </c>
      <c r="D52" s="110">
        <v>7.98</v>
      </c>
      <c r="E52" s="110">
        <v>1.42</v>
      </c>
    </row>
    <row r="53" spans="1:5" x14ac:dyDescent="0.25">
      <c r="A53" s="109">
        <v>43</v>
      </c>
      <c r="B53" s="110">
        <v>8.26</v>
      </c>
      <c r="C53" s="110">
        <v>1.46</v>
      </c>
      <c r="D53" s="110">
        <v>8.26</v>
      </c>
      <c r="E53" s="110">
        <v>1.46</v>
      </c>
    </row>
    <row r="54" spans="1:5" x14ac:dyDescent="0.25">
      <c r="A54" s="109">
        <v>44</v>
      </c>
      <c r="B54" s="110">
        <v>8.5399999999999991</v>
      </c>
      <c r="C54" s="110">
        <v>1.51</v>
      </c>
      <c r="D54" s="110">
        <v>8.5399999999999991</v>
      </c>
      <c r="E54" s="110">
        <v>1.51</v>
      </c>
    </row>
    <row r="55" spans="1:5" x14ac:dyDescent="0.25">
      <c r="A55" s="109">
        <v>45</v>
      </c>
      <c r="B55" s="110">
        <v>8.84</v>
      </c>
      <c r="C55" s="110">
        <v>1.55</v>
      </c>
      <c r="D55" s="110">
        <v>8.84</v>
      </c>
      <c r="E55" s="110">
        <v>1.55</v>
      </c>
    </row>
    <row r="56" spans="1:5" x14ac:dyDescent="0.25">
      <c r="A56" s="109">
        <v>46</v>
      </c>
      <c r="B56" s="110">
        <v>9.15</v>
      </c>
      <c r="C56" s="110">
        <v>1.6</v>
      </c>
      <c r="D56" s="110">
        <v>9.15</v>
      </c>
      <c r="E56" s="110">
        <v>1.6</v>
      </c>
    </row>
    <row r="57" spans="1:5" x14ac:dyDescent="0.25">
      <c r="A57" s="109">
        <v>47</v>
      </c>
      <c r="B57" s="110">
        <v>9.4700000000000006</v>
      </c>
      <c r="C57" s="110">
        <v>1.64</v>
      </c>
      <c r="D57" s="110">
        <v>9.4700000000000006</v>
      </c>
      <c r="E57" s="110">
        <v>1.64</v>
      </c>
    </row>
    <row r="58" spans="1:5" x14ac:dyDescent="0.25">
      <c r="A58" s="109">
        <v>48</v>
      </c>
      <c r="B58" s="110">
        <v>9.81</v>
      </c>
      <c r="C58" s="110">
        <v>1.69</v>
      </c>
      <c r="D58" s="110">
        <v>9.81</v>
      </c>
      <c r="E58" s="110">
        <v>1.69</v>
      </c>
    </row>
    <row r="59" spans="1:5" x14ac:dyDescent="0.25">
      <c r="A59" s="109">
        <v>49</v>
      </c>
      <c r="B59" s="110">
        <v>10.15</v>
      </c>
      <c r="C59" s="110">
        <v>1.73</v>
      </c>
      <c r="D59" s="110">
        <v>10.15</v>
      </c>
      <c r="E59" s="110">
        <v>1.73</v>
      </c>
    </row>
    <row r="60" spans="1:5" x14ac:dyDescent="0.25">
      <c r="A60" s="109">
        <v>50</v>
      </c>
      <c r="B60" s="110">
        <v>10.51</v>
      </c>
      <c r="C60" s="110">
        <v>1.78</v>
      </c>
      <c r="D60" s="110">
        <v>10.51</v>
      </c>
      <c r="E60" s="110">
        <v>1.78</v>
      </c>
    </row>
    <row r="61" spans="1:5" x14ac:dyDescent="0.25">
      <c r="A61" s="109">
        <v>51</v>
      </c>
      <c r="B61" s="110">
        <v>10.89</v>
      </c>
      <c r="C61" s="110">
        <v>1.83</v>
      </c>
      <c r="D61" s="110">
        <v>10.89</v>
      </c>
      <c r="E61" s="110">
        <v>1.83</v>
      </c>
    </row>
    <row r="62" spans="1:5" x14ac:dyDescent="0.25">
      <c r="A62" s="109">
        <v>52</v>
      </c>
      <c r="B62" s="110">
        <v>11.28</v>
      </c>
      <c r="C62" s="110">
        <v>1.87</v>
      </c>
      <c r="D62" s="110">
        <v>11.28</v>
      </c>
      <c r="E62" s="110">
        <v>1.87</v>
      </c>
    </row>
    <row r="63" spans="1:5" x14ac:dyDescent="0.25">
      <c r="A63" s="109">
        <v>53</v>
      </c>
      <c r="B63" s="110">
        <v>11.68</v>
      </c>
      <c r="C63" s="110">
        <v>1.92</v>
      </c>
      <c r="D63" s="110">
        <v>11.68</v>
      </c>
      <c r="E63" s="110">
        <v>1.92</v>
      </c>
    </row>
    <row r="64" spans="1:5" x14ac:dyDescent="0.25">
      <c r="A64" s="109">
        <v>54</v>
      </c>
      <c r="B64" s="110">
        <v>12.11</v>
      </c>
      <c r="C64" s="110">
        <v>1.97</v>
      </c>
      <c r="D64" s="110">
        <v>12.11</v>
      </c>
      <c r="E64" s="110">
        <v>1.97</v>
      </c>
    </row>
    <row r="65" spans="1:5" x14ac:dyDescent="0.25">
      <c r="A65" s="109">
        <v>55</v>
      </c>
      <c r="B65" s="110">
        <v>12.55</v>
      </c>
      <c r="C65" s="110">
        <v>2.0099999999999998</v>
      </c>
      <c r="D65" s="110">
        <v>12.55</v>
      </c>
      <c r="E65" s="110">
        <v>2.0099999999999998</v>
      </c>
    </row>
    <row r="66" spans="1:5" x14ac:dyDescent="0.25">
      <c r="A66" s="109">
        <v>56</v>
      </c>
      <c r="B66" s="110">
        <v>13.01</v>
      </c>
      <c r="C66" s="110">
        <v>2.06</v>
      </c>
      <c r="D66" s="110">
        <v>13.01</v>
      </c>
      <c r="E66" s="110">
        <v>2.06</v>
      </c>
    </row>
    <row r="67" spans="1:5" x14ac:dyDescent="0.25">
      <c r="A67" s="109">
        <v>57</v>
      </c>
      <c r="B67" s="110">
        <v>13.49</v>
      </c>
      <c r="C67" s="110">
        <v>2.1</v>
      </c>
      <c r="D67" s="110">
        <v>13.49</v>
      </c>
      <c r="E67" s="110">
        <v>2.1</v>
      </c>
    </row>
    <row r="68" spans="1:5" x14ac:dyDescent="0.25">
      <c r="A68" s="109">
        <v>58</v>
      </c>
      <c r="B68" s="110">
        <v>13.99</v>
      </c>
      <c r="C68" s="110">
        <v>2.14</v>
      </c>
      <c r="D68" s="110">
        <v>13.99</v>
      </c>
      <c r="E68" s="110">
        <v>2.14</v>
      </c>
    </row>
    <row r="69" spans="1:5" x14ac:dyDescent="0.25">
      <c r="A69" s="109">
        <v>59</v>
      </c>
      <c r="B69" s="110">
        <v>14.52</v>
      </c>
      <c r="C69" s="110">
        <v>2.1800000000000002</v>
      </c>
      <c r="D69" s="110">
        <v>14.52</v>
      </c>
      <c r="E69" s="110">
        <v>2.1800000000000002</v>
      </c>
    </row>
    <row r="70" spans="1:5" x14ac:dyDescent="0.25">
      <c r="A70" s="109">
        <v>60</v>
      </c>
      <c r="B70" s="110">
        <v>15.08</v>
      </c>
      <c r="C70" s="110">
        <v>2.2200000000000002</v>
      </c>
      <c r="D70" s="110">
        <v>15.08</v>
      </c>
      <c r="E70" s="110">
        <v>2.2200000000000002</v>
      </c>
    </row>
    <row r="71" spans="1:5" x14ac:dyDescent="0.25">
      <c r="A71" s="109">
        <v>61</v>
      </c>
      <c r="B71" s="110">
        <v>15.66</v>
      </c>
      <c r="C71" s="110">
        <v>2.2599999999999998</v>
      </c>
      <c r="D71" s="110">
        <v>15.66</v>
      </c>
      <c r="E71" s="110">
        <v>2.2599999999999998</v>
      </c>
    </row>
    <row r="72" spans="1:5" x14ac:dyDescent="0.25">
      <c r="A72" s="109">
        <v>62</v>
      </c>
      <c r="B72" s="110">
        <v>16.28</v>
      </c>
      <c r="C72" s="110">
        <v>2.29</v>
      </c>
      <c r="D72" s="110">
        <v>16.28</v>
      </c>
      <c r="E72" s="110">
        <v>2.29</v>
      </c>
    </row>
    <row r="73" spans="1:5" x14ac:dyDescent="0.25">
      <c r="A73" s="109">
        <v>63</v>
      </c>
      <c r="B73" s="110">
        <v>16.93</v>
      </c>
      <c r="C73" s="110">
        <v>2.3199999999999998</v>
      </c>
      <c r="D73" s="110">
        <v>16.93</v>
      </c>
      <c r="E73" s="110">
        <v>2.3199999999999998</v>
      </c>
    </row>
    <row r="74" spans="1:5" x14ac:dyDescent="0.25">
      <c r="A74" s="109">
        <v>64</v>
      </c>
      <c r="B74" s="110">
        <v>17.62</v>
      </c>
      <c r="C74" s="110">
        <v>2.35</v>
      </c>
      <c r="D74" s="110">
        <v>17.62</v>
      </c>
      <c r="E74" s="110">
        <v>2.35</v>
      </c>
    </row>
    <row r="75" spans="1:5" x14ac:dyDescent="0.25">
      <c r="A75" s="109">
        <v>65</v>
      </c>
      <c r="B75" s="110">
        <v>17.649999999999999</v>
      </c>
      <c r="C75" s="110">
        <v>2.35</v>
      </c>
      <c r="D75" s="110">
        <v>17.649999999999999</v>
      </c>
      <c r="E75" s="110">
        <v>2.35</v>
      </c>
    </row>
    <row r="76" spans="1:5" x14ac:dyDescent="0.25">
      <c r="A76" s="109">
        <v>66</v>
      </c>
      <c r="B76" s="110">
        <v>16.989999999999998</v>
      </c>
      <c r="C76" s="110">
        <v>2.34</v>
      </c>
      <c r="D76" s="110">
        <v>16.989999999999998</v>
      </c>
      <c r="E76" s="110">
        <v>2.34</v>
      </c>
    </row>
    <row r="77" spans="1:5" x14ac:dyDescent="0.25">
      <c r="A77" s="109">
        <v>67</v>
      </c>
      <c r="B77" s="110">
        <v>16.34</v>
      </c>
      <c r="C77" s="110">
        <v>2.33</v>
      </c>
      <c r="D77" s="110">
        <v>16.34</v>
      </c>
      <c r="E77" s="110">
        <v>2.33</v>
      </c>
    </row>
    <row r="78" spans="1:5" x14ac:dyDescent="0.25">
      <c r="A78" s="109">
        <v>68</v>
      </c>
      <c r="B78" s="110">
        <v>15.69</v>
      </c>
      <c r="C78" s="110">
        <v>2.3199999999999998</v>
      </c>
      <c r="D78" s="110">
        <v>15.69</v>
      </c>
      <c r="E78" s="110">
        <v>2.3199999999999998</v>
      </c>
    </row>
    <row r="79" spans="1:5" x14ac:dyDescent="0.25">
      <c r="A79" s="109">
        <v>69</v>
      </c>
      <c r="B79" s="110">
        <v>15.06</v>
      </c>
      <c r="C79" s="110">
        <v>2.2999999999999998</v>
      </c>
      <c r="D79" s="110">
        <v>15.06</v>
      </c>
      <c r="E79" s="110">
        <v>2.2999999999999998</v>
      </c>
    </row>
    <row r="80" spans="1:5" x14ac:dyDescent="0.25">
      <c r="A80" s="109">
        <v>70</v>
      </c>
      <c r="B80" s="110">
        <v>14.43</v>
      </c>
      <c r="C80" s="110">
        <v>2.2799999999999998</v>
      </c>
      <c r="D80" s="110">
        <v>14.43</v>
      </c>
      <c r="E80" s="110">
        <v>2.2799999999999998</v>
      </c>
    </row>
    <row r="81" spans="1:5" x14ac:dyDescent="0.25">
      <c r="A81" s="109">
        <v>71</v>
      </c>
      <c r="B81" s="110">
        <v>13.8</v>
      </c>
      <c r="C81" s="110">
        <v>2.25</v>
      </c>
      <c r="D81" s="110">
        <v>13.8</v>
      </c>
      <c r="E81" s="110">
        <v>2.25</v>
      </c>
    </row>
    <row r="82" spans="1:5" x14ac:dyDescent="0.25">
      <c r="A82" s="109">
        <v>72</v>
      </c>
      <c r="B82" s="110">
        <v>13.18</v>
      </c>
      <c r="C82" s="110">
        <v>2.23</v>
      </c>
      <c r="D82" s="110">
        <v>13.18</v>
      </c>
      <c r="E82" s="110">
        <v>2.23</v>
      </c>
    </row>
    <row r="83" spans="1:5" x14ac:dyDescent="0.25">
      <c r="A83" s="109">
        <v>73</v>
      </c>
      <c r="B83" s="110">
        <v>12.57</v>
      </c>
      <c r="C83" s="110">
        <v>2.19</v>
      </c>
      <c r="D83" s="110">
        <v>12.57</v>
      </c>
      <c r="E83" s="110">
        <v>2.19</v>
      </c>
    </row>
    <row r="84" spans="1:5" x14ac:dyDescent="0.25">
      <c r="A84" s="109">
        <v>74</v>
      </c>
      <c r="B84" s="110">
        <v>11.96</v>
      </c>
      <c r="C84" s="110">
        <v>2.16</v>
      </c>
      <c r="D84" s="110">
        <v>11.96</v>
      </c>
      <c r="E84" s="110">
        <v>2.16</v>
      </c>
    </row>
    <row r="85" spans="1:5" x14ac:dyDescent="0.25">
      <c r="A85" s="109">
        <v>75</v>
      </c>
      <c r="B85" s="110">
        <v>11.37</v>
      </c>
      <c r="C85" s="110">
        <v>2.12</v>
      </c>
      <c r="D85" s="110">
        <v>11.37</v>
      </c>
      <c r="E85" s="110">
        <v>2.12</v>
      </c>
    </row>
  </sheetData>
  <conditionalFormatting sqref="A6:A21">
    <cfRule type="expression" dxfId="1169" priority="1" stopIfTrue="1">
      <formula>MOD(ROW(),2)=0</formula>
    </cfRule>
    <cfRule type="expression" dxfId="1168" priority="2" stopIfTrue="1">
      <formula>MOD(ROW(),2)&lt;&gt;0</formula>
    </cfRule>
  </conditionalFormatting>
  <conditionalFormatting sqref="A26:A85">
    <cfRule type="expression" dxfId="1167" priority="7" stopIfTrue="1">
      <formula>MOD(ROW(),2)=0</formula>
    </cfRule>
    <cfRule type="expression" dxfId="1166" priority="8" stopIfTrue="1">
      <formula>MOD(ROW(),2)&lt;&gt;0</formula>
    </cfRule>
  </conditionalFormatting>
  <conditionalFormatting sqref="B18:B21">
    <cfRule type="expression" dxfId="1165" priority="17" stopIfTrue="1">
      <formula>MOD(ROW(),2)=0</formula>
    </cfRule>
    <cfRule type="expression" dxfId="1164" priority="18" stopIfTrue="1">
      <formula>MOD(ROW(),2)&lt;&gt;0</formula>
    </cfRule>
  </conditionalFormatting>
  <conditionalFormatting sqref="B6:E21">
    <cfRule type="expression" dxfId="1163" priority="29" stopIfTrue="1">
      <formula>MOD(ROW(),2)=0</formula>
    </cfRule>
    <cfRule type="expression" dxfId="1162" priority="30" stopIfTrue="1">
      <formula>MOD(ROW(),2)&lt;&gt;0</formula>
    </cfRule>
  </conditionalFormatting>
  <conditionalFormatting sqref="B26:E85">
    <cfRule type="expression" dxfId="1161" priority="9" stopIfTrue="1">
      <formula>MOD(ROW(),2)=0</formula>
    </cfRule>
    <cfRule type="expression" dxfId="1160" priority="10" stopIfTrue="1">
      <formula>MOD(ROW(),2)&lt;&gt;0</formula>
    </cfRule>
  </conditionalFormatting>
  <hyperlinks>
    <hyperlink ref="B24" location="Assumptions!A1" display="Assumptions" xr:uid="{6E35BE75-FDC6-4E28-B0C6-D45E524B17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A1:E85"/>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5" ht="20" x14ac:dyDescent="0.4">
      <c r="A1" s="53" t="s">
        <v>0</v>
      </c>
      <c r="B1" s="54"/>
      <c r="C1" s="54"/>
      <c r="D1" s="54"/>
      <c r="E1" s="54"/>
    </row>
    <row r="2" spans="1:5" ht="15.5" x14ac:dyDescent="0.35">
      <c r="A2" s="55" t="str">
        <f>IF(title="&gt; Enter workbook title here","Enter workbook title in Cover sheet",title)</f>
        <v>Northern Ireland Civil Service Pension Schemes - Consolidated Factor Spreadsheet</v>
      </c>
      <c r="B2" s="56"/>
      <c r="C2" s="56"/>
      <c r="D2" s="56"/>
      <c r="E2" s="56"/>
    </row>
    <row r="3" spans="1:5" ht="15.5" x14ac:dyDescent="0.35">
      <c r="A3" s="57" t="str">
        <f>TABLE_FACTOR_TYPE_1&amp;" - x-"&amp;TABLE_SERIES_NUMBER_1</f>
        <v>CETV - x-202</v>
      </c>
      <c r="B3" s="56"/>
      <c r="C3" s="56"/>
      <c r="D3" s="56"/>
      <c r="E3" s="56"/>
    </row>
    <row r="4" spans="1:5" x14ac:dyDescent="0.25">
      <c r="A4" s="58"/>
    </row>
    <row r="6" spans="1:5" ht="13" x14ac:dyDescent="0.3">
      <c r="A6" s="86" t="s">
        <v>716</v>
      </c>
      <c r="B6" s="111" t="s">
        <v>717</v>
      </c>
      <c r="C6" s="111"/>
      <c r="D6" s="111"/>
      <c r="E6" s="111"/>
    </row>
    <row r="7" spans="1:5" x14ac:dyDescent="0.25">
      <c r="A7" s="87" t="s">
        <v>797</v>
      </c>
      <c r="B7" s="111" t="s">
        <v>316</v>
      </c>
      <c r="C7" s="111"/>
      <c r="D7" s="111"/>
      <c r="E7" s="111"/>
    </row>
    <row r="8" spans="1:5" x14ac:dyDescent="0.25">
      <c r="A8" s="87" t="s">
        <v>798</v>
      </c>
      <c r="B8" s="111" t="s">
        <v>92</v>
      </c>
      <c r="C8" s="111"/>
      <c r="D8" s="111"/>
      <c r="E8" s="111"/>
    </row>
    <row r="9" spans="1:5" x14ac:dyDescent="0.25">
      <c r="A9" s="87" t="s">
        <v>300</v>
      </c>
      <c r="B9" s="111" t="s">
        <v>332</v>
      </c>
      <c r="C9" s="111"/>
      <c r="D9" s="111"/>
      <c r="E9" s="111"/>
    </row>
    <row r="10" spans="1:5" x14ac:dyDescent="0.25">
      <c r="A10" s="87" t="s">
        <v>6</v>
      </c>
      <c r="B10" s="111" t="s">
        <v>338</v>
      </c>
      <c r="C10" s="111"/>
      <c r="D10" s="111"/>
      <c r="E10" s="111"/>
    </row>
    <row r="11" spans="1:5" x14ac:dyDescent="0.25">
      <c r="A11" s="87" t="s">
        <v>301</v>
      </c>
      <c r="B11" s="111" t="s">
        <v>334</v>
      </c>
      <c r="C11" s="111"/>
      <c r="D11" s="111"/>
      <c r="E11" s="111"/>
    </row>
    <row r="12" spans="1:5" x14ac:dyDescent="0.25">
      <c r="A12" s="87" t="s">
        <v>302</v>
      </c>
      <c r="B12" s="111" t="s">
        <v>335</v>
      </c>
      <c r="C12" s="111"/>
      <c r="D12" s="111"/>
      <c r="E12" s="111"/>
    </row>
    <row r="13" spans="1:5" x14ac:dyDescent="0.25">
      <c r="A13" s="87" t="s">
        <v>724</v>
      </c>
      <c r="B13" s="111">
        <v>0</v>
      </c>
      <c r="C13" s="111"/>
      <c r="D13" s="111"/>
      <c r="E13" s="111"/>
    </row>
    <row r="14" spans="1:5" x14ac:dyDescent="0.25">
      <c r="A14" s="87" t="s">
        <v>304</v>
      </c>
      <c r="B14" s="111">
        <v>202</v>
      </c>
      <c r="C14" s="111"/>
      <c r="D14" s="111"/>
      <c r="E14" s="111"/>
    </row>
    <row r="15" spans="1:5" x14ac:dyDescent="0.25">
      <c r="A15" s="87" t="s">
        <v>727</v>
      </c>
      <c r="B15" s="111" t="s">
        <v>339</v>
      </c>
      <c r="C15" s="111"/>
      <c r="D15" s="111"/>
      <c r="E15" s="111"/>
    </row>
    <row r="16" spans="1:5" x14ac:dyDescent="0.25">
      <c r="A16" s="87" t="s">
        <v>306</v>
      </c>
      <c r="B16" s="111" t="s">
        <v>340</v>
      </c>
      <c r="C16" s="111"/>
      <c r="D16" s="111"/>
      <c r="E16" s="111"/>
    </row>
    <row r="17" spans="1:5" ht="38.5" customHeight="1" x14ac:dyDescent="0.25">
      <c r="A17" s="87" t="s">
        <v>800</v>
      </c>
      <c r="B17" s="111"/>
      <c r="C17" s="111"/>
      <c r="D17" s="111"/>
      <c r="E17" s="111"/>
    </row>
    <row r="18" spans="1:5" x14ac:dyDescent="0.25">
      <c r="A18" s="87" t="s">
        <v>308</v>
      </c>
      <c r="B18" s="122">
        <v>45071</v>
      </c>
      <c r="C18" s="111"/>
      <c r="D18" s="111"/>
      <c r="E18" s="111"/>
    </row>
    <row r="19" spans="1:5" x14ac:dyDescent="0.25">
      <c r="A19" s="87" t="s">
        <v>309</v>
      </c>
      <c r="B19" s="122">
        <v>45014</v>
      </c>
      <c r="C19" s="111"/>
      <c r="D19" s="111"/>
      <c r="E19" s="111"/>
    </row>
    <row r="20" spans="1:5" x14ac:dyDescent="0.25">
      <c r="A20" s="87" t="s">
        <v>310</v>
      </c>
      <c r="B20" s="111" t="s">
        <v>324</v>
      </c>
      <c r="C20" s="111"/>
      <c r="D20" s="111"/>
      <c r="E20" s="111"/>
    </row>
    <row r="21" spans="1:5" x14ac:dyDescent="0.25">
      <c r="A21" s="87" t="s">
        <v>311</v>
      </c>
      <c r="B21" s="111" t="s">
        <v>325</v>
      </c>
      <c r="C21" s="111"/>
      <c r="D21" s="111"/>
      <c r="E21" s="111"/>
    </row>
    <row r="23" spans="1:5" x14ac:dyDescent="0.25">
      <c r="B23" s="104" t="str">
        <f>HYPERLINK("#'Factor List'!A1","Back to Factor List")</f>
        <v>Back to Factor List</v>
      </c>
    </row>
    <row r="24" spans="1:5" x14ac:dyDescent="0.25">
      <c r="B24" s="104" t="s">
        <v>13</v>
      </c>
    </row>
    <row r="26" spans="1:5" ht="26" x14ac:dyDescent="0.25">
      <c r="A26" s="108" t="s">
        <v>534</v>
      </c>
      <c r="B26" s="108" t="s">
        <v>803</v>
      </c>
      <c r="C26" s="108" t="s">
        <v>804</v>
      </c>
      <c r="D26" s="108" t="s">
        <v>805</v>
      </c>
      <c r="E26" s="108" t="s">
        <v>806</v>
      </c>
    </row>
    <row r="27" spans="1:5" x14ac:dyDescent="0.25">
      <c r="A27" s="109">
        <v>17</v>
      </c>
      <c r="B27" s="110">
        <v>3.21</v>
      </c>
      <c r="C27" s="110">
        <v>0.56000000000000005</v>
      </c>
      <c r="D27" s="110">
        <v>3.21</v>
      </c>
      <c r="E27" s="110">
        <v>0.56000000000000005</v>
      </c>
    </row>
    <row r="28" spans="1:5" x14ac:dyDescent="0.25">
      <c r="A28" s="109">
        <v>18</v>
      </c>
      <c r="B28" s="110">
        <v>3.32</v>
      </c>
      <c r="C28" s="110">
        <v>0.6</v>
      </c>
      <c r="D28" s="110">
        <v>3.32</v>
      </c>
      <c r="E28" s="110">
        <v>0.6</v>
      </c>
    </row>
    <row r="29" spans="1:5" x14ac:dyDescent="0.25">
      <c r="A29" s="109">
        <v>19</v>
      </c>
      <c r="B29" s="110">
        <v>3.43</v>
      </c>
      <c r="C29" s="110">
        <v>0.63</v>
      </c>
      <c r="D29" s="110">
        <v>3.43</v>
      </c>
      <c r="E29" s="110">
        <v>0.63</v>
      </c>
    </row>
    <row r="30" spans="1:5" x14ac:dyDescent="0.25">
      <c r="A30" s="109">
        <v>20</v>
      </c>
      <c r="B30" s="110">
        <v>3.55</v>
      </c>
      <c r="C30" s="110">
        <v>0.66</v>
      </c>
      <c r="D30" s="110">
        <v>3.55</v>
      </c>
      <c r="E30" s="110">
        <v>0.66</v>
      </c>
    </row>
    <row r="31" spans="1:5" x14ac:dyDescent="0.25">
      <c r="A31" s="109">
        <v>21</v>
      </c>
      <c r="B31" s="110">
        <v>3.67</v>
      </c>
      <c r="C31" s="110">
        <v>0.68</v>
      </c>
      <c r="D31" s="110">
        <v>3.67</v>
      </c>
      <c r="E31" s="110">
        <v>0.68</v>
      </c>
    </row>
    <row r="32" spans="1:5" x14ac:dyDescent="0.25">
      <c r="A32" s="109">
        <v>22</v>
      </c>
      <c r="B32" s="110">
        <v>3.79</v>
      </c>
      <c r="C32" s="110">
        <v>0.71</v>
      </c>
      <c r="D32" s="110">
        <v>3.79</v>
      </c>
      <c r="E32" s="110">
        <v>0.71</v>
      </c>
    </row>
    <row r="33" spans="1:5" x14ac:dyDescent="0.25">
      <c r="A33" s="109">
        <v>23</v>
      </c>
      <c r="B33" s="110">
        <v>3.92</v>
      </c>
      <c r="C33" s="110">
        <v>0.73</v>
      </c>
      <c r="D33" s="110">
        <v>3.92</v>
      </c>
      <c r="E33" s="110">
        <v>0.73</v>
      </c>
    </row>
    <row r="34" spans="1:5" x14ac:dyDescent="0.25">
      <c r="A34" s="109">
        <v>24</v>
      </c>
      <c r="B34" s="110">
        <v>4.05</v>
      </c>
      <c r="C34" s="110">
        <v>0.76</v>
      </c>
      <c r="D34" s="110">
        <v>4.05</v>
      </c>
      <c r="E34" s="110">
        <v>0.76</v>
      </c>
    </row>
    <row r="35" spans="1:5" x14ac:dyDescent="0.25">
      <c r="A35" s="109">
        <v>25</v>
      </c>
      <c r="B35" s="110">
        <v>4.1900000000000004</v>
      </c>
      <c r="C35" s="110">
        <v>0.79</v>
      </c>
      <c r="D35" s="110">
        <v>4.1900000000000004</v>
      </c>
      <c r="E35" s="110">
        <v>0.79</v>
      </c>
    </row>
    <row r="36" spans="1:5" x14ac:dyDescent="0.25">
      <c r="A36" s="109">
        <v>26</v>
      </c>
      <c r="B36" s="110">
        <v>4.33</v>
      </c>
      <c r="C36" s="110">
        <v>0.82</v>
      </c>
      <c r="D36" s="110">
        <v>4.33</v>
      </c>
      <c r="E36" s="110">
        <v>0.82</v>
      </c>
    </row>
    <row r="37" spans="1:5" x14ac:dyDescent="0.25">
      <c r="A37" s="109">
        <v>27</v>
      </c>
      <c r="B37" s="110">
        <v>4.4800000000000004</v>
      </c>
      <c r="C37" s="110">
        <v>0.85</v>
      </c>
      <c r="D37" s="110">
        <v>4.4800000000000004</v>
      </c>
      <c r="E37" s="110">
        <v>0.85</v>
      </c>
    </row>
    <row r="38" spans="1:5" x14ac:dyDescent="0.25">
      <c r="A38" s="109">
        <v>28</v>
      </c>
      <c r="B38" s="110">
        <v>4.63</v>
      </c>
      <c r="C38" s="110">
        <v>0.88</v>
      </c>
      <c r="D38" s="110">
        <v>4.63</v>
      </c>
      <c r="E38" s="110">
        <v>0.88</v>
      </c>
    </row>
    <row r="39" spans="1:5" x14ac:dyDescent="0.25">
      <c r="A39" s="109">
        <v>29</v>
      </c>
      <c r="B39" s="110">
        <v>4.79</v>
      </c>
      <c r="C39" s="110">
        <v>0.91</v>
      </c>
      <c r="D39" s="110">
        <v>4.79</v>
      </c>
      <c r="E39" s="110">
        <v>0.91</v>
      </c>
    </row>
    <row r="40" spans="1:5" x14ac:dyDescent="0.25">
      <c r="A40" s="109">
        <v>30</v>
      </c>
      <c r="B40" s="110">
        <v>4.96</v>
      </c>
      <c r="C40" s="110">
        <v>0.94</v>
      </c>
      <c r="D40" s="110">
        <v>4.96</v>
      </c>
      <c r="E40" s="110">
        <v>0.94</v>
      </c>
    </row>
    <row r="41" spans="1:5" x14ac:dyDescent="0.25">
      <c r="A41" s="109">
        <v>31</v>
      </c>
      <c r="B41" s="110">
        <v>5.12</v>
      </c>
      <c r="C41" s="110">
        <v>0.97</v>
      </c>
      <c r="D41" s="110">
        <v>5.12</v>
      </c>
      <c r="E41" s="110">
        <v>0.97</v>
      </c>
    </row>
    <row r="42" spans="1:5" x14ac:dyDescent="0.25">
      <c r="A42" s="109">
        <v>32</v>
      </c>
      <c r="B42" s="110">
        <v>5.3</v>
      </c>
      <c r="C42" s="110">
        <v>1.01</v>
      </c>
      <c r="D42" s="110">
        <v>5.3</v>
      </c>
      <c r="E42" s="110">
        <v>1.01</v>
      </c>
    </row>
    <row r="43" spans="1:5" x14ac:dyDescent="0.25">
      <c r="A43" s="109">
        <v>33</v>
      </c>
      <c r="B43" s="110">
        <v>5.48</v>
      </c>
      <c r="C43" s="110">
        <v>1.04</v>
      </c>
      <c r="D43" s="110">
        <v>5.48</v>
      </c>
      <c r="E43" s="110">
        <v>1.04</v>
      </c>
    </row>
    <row r="44" spans="1:5" x14ac:dyDescent="0.25">
      <c r="A44" s="109">
        <v>34</v>
      </c>
      <c r="B44" s="110">
        <v>5.67</v>
      </c>
      <c r="C44" s="110">
        <v>1.08</v>
      </c>
      <c r="D44" s="110">
        <v>5.67</v>
      </c>
      <c r="E44" s="110">
        <v>1.08</v>
      </c>
    </row>
    <row r="45" spans="1:5" x14ac:dyDescent="0.25">
      <c r="A45" s="109">
        <v>35</v>
      </c>
      <c r="B45" s="110">
        <v>5.86</v>
      </c>
      <c r="C45" s="110">
        <v>1.1200000000000001</v>
      </c>
      <c r="D45" s="110">
        <v>5.86</v>
      </c>
      <c r="E45" s="110">
        <v>1.1200000000000001</v>
      </c>
    </row>
    <row r="46" spans="1:5" x14ac:dyDescent="0.25">
      <c r="A46" s="109">
        <v>36</v>
      </c>
      <c r="B46" s="110">
        <v>6.06</v>
      </c>
      <c r="C46" s="110">
        <v>1.1499999999999999</v>
      </c>
      <c r="D46" s="110">
        <v>6.06</v>
      </c>
      <c r="E46" s="110">
        <v>1.1499999999999999</v>
      </c>
    </row>
    <row r="47" spans="1:5" x14ac:dyDescent="0.25">
      <c r="A47" s="109">
        <v>37</v>
      </c>
      <c r="B47" s="110">
        <v>6.27</v>
      </c>
      <c r="C47" s="110">
        <v>1.19</v>
      </c>
      <c r="D47" s="110">
        <v>6.27</v>
      </c>
      <c r="E47" s="110">
        <v>1.19</v>
      </c>
    </row>
    <row r="48" spans="1:5" x14ac:dyDescent="0.25">
      <c r="A48" s="109">
        <v>38</v>
      </c>
      <c r="B48" s="110">
        <v>6.48</v>
      </c>
      <c r="C48" s="110">
        <v>1.23</v>
      </c>
      <c r="D48" s="110">
        <v>6.48</v>
      </c>
      <c r="E48" s="110">
        <v>1.23</v>
      </c>
    </row>
    <row r="49" spans="1:5" x14ac:dyDescent="0.25">
      <c r="A49" s="109">
        <v>39</v>
      </c>
      <c r="B49" s="110">
        <v>6.71</v>
      </c>
      <c r="C49" s="110">
        <v>1.27</v>
      </c>
      <c r="D49" s="110">
        <v>6.71</v>
      </c>
      <c r="E49" s="110">
        <v>1.27</v>
      </c>
    </row>
    <row r="50" spans="1:5" x14ac:dyDescent="0.25">
      <c r="A50" s="109">
        <v>40</v>
      </c>
      <c r="B50" s="110">
        <v>6.94</v>
      </c>
      <c r="C50" s="110">
        <v>1.32</v>
      </c>
      <c r="D50" s="110">
        <v>6.94</v>
      </c>
      <c r="E50" s="110">
        <v>1.32</v>
      </c>
    </row>
    <row r="51" spans="1:5" x14ac:dyDescent="0.25">
      <c r="A51" s="109">
        <v>41</v>
      </c>
      <c r="B51" s="110">
        <v>7.18</v>
      </c>
      <c r="C51" s="110">
        <v>1.36</v>
      </c>
      <c r="D51" s="110">
        <v>7.18</v>
      </c>
      <c r="E51" s="110">
        <v>1.36</v>
      </c>
    </row>
    <row r="52" spans="1:5" x14ac:dyDescent="0.25">
      <c r="A52" s="109">
        <v>42</v>
      </c>
      <c r="B52" s="110">
        <v>7.42</v>
      </c>
      <c r="C52" s="110">
        <v>1.4</v>
      </c>
      <c r="D52" s="110">
        <v>7.42</v>
      </c>
      <c r="E52" s="110">
        <v>1.4</v>
      </c>
    </row>
    <row r="53" spans="1:5" x14ac:dyDescent="0.25">
      <c r="A53" s="109">
        <v>43</v>
      </c>
      <c r="B53" s="110">
        <v>7.68</v>
      </c>
      <c r="C53" s="110">
        <v>1.44</v>
      </c>
      <c r="D53" s="110">
        <v>7.68</v>
      </c>
      <c r="E53" s="110">
        <v>1.44</v>
      </c>
    </row>
    <row r="54" spans="1:5" x14ac:dyDescent="0.25">
      <c r="A54" s="109">
        <v>44</v>
      </c>
      <c r="B54" s="110">
        <v>7.95</v>
      </c>
      <c r="C54" s="110">
        <v>1.49</v>
      </c>
      <c r="D54" s="110">
        <v>7.95</v>
      </c>
      <c r="E54" s="110">
        <v>1.49</v>
      </c>
    </row>
    <row r="55" spans="1:5" x14ac:dyDescent="0.25">
      <c r="A55" s="109">
        <v>45</v>
      </c>
      <c r="B55" s="110">
        <v>8.2200000000000006</v>
      </c>
      <c r="C55" s="110">
        <v>1.53</v>
      </c>
      <c r="D55" s="110">
        <v>8.2200000000000006</v>
      </c>
      <c r="E55" s="110">
        <v>1.53</v>
      </c>
    </row>
    <row r="56" spans="1:5" x14ac:dyDescent="0.25">
      <c r="A56" s="109">
        <v>46</v>
      </c>
      <c r="B56" s="110">
        <v>8.51</v>
      </c>
      <c r="C56" s="110">
        <v>1.58</v>
      </c>
      <c r="D56" s="110">
        <v>8.51</v>
      </c>
      <c r="E56" s="110">
        <v>1.58</v>
      </c>
    </row>
    <row r="57" spans="1:5" x14ac:dyDescent="0.25">
      <c r="A57" s="109">
        <v>47</v>
      </c>
      <c r="B57" s="110">
        <v>8.81</v>
      </c>
      <c r="C57" s="110">
        <v>1.62</v>
      </c>
      <c r="D57" s="110">
        <v>8.81</v>
      </c>
      <c r="E57" s="110">
        <v>1.62</v>
      </c>
    </row>
    <row r="58" spans="1:5" x14ac:dyDescent="0.25">
      <c r="A58" s="109">
        <v>48</v>
      </c>
      <c r="B58" s="110">
        <v>9.11</v>
      </c>
      <c r="C58" s="110">
        <v>1.67</v>
      </c>
      <c r="D58" s="110">
        <v>9.11</v>
      </c>
      <c r="E58" s="110">
        <v>1.67</v>
      </c>
    </row>
    <row r="59" spans="1:5" x14ac:dyDescent="0.25">
      <c r="A59" s="109">
        <v>49</v>
      </c>
      <c r="B59" s="110">
        <v>9.43</v>
      </c>
      <c r="C59" s="110">
        <v>1.71</v>
      </c>
      <c r="D59" s="110">
        <v>9.43</v>
      </c>
      <c r="E59" s="110">
        <v>1.71</v>
      </c>
    </row>
    <row r="60" spans="1:5" x14ac:dyDescent="0.25">
      <c r="A60" s="109">
        <v>50</v>
      </c>
      <c r="B60" s="110">
        <v>9.77</v>
      </c>
      <c r="C60" s="110">
        <v>1.76</v>
      </c>
      <c r="D60" s="110">
        <v>9.77</v>
      </c>
      <c r="E60" s="110">
        <v>1.76</v>
      </c>
    </row>
    <row r="61" spans="1:5" x14ac:dyDescent="0.25">
      <c r="A61" s="109">
        <v>51</v>
      </c>
      <c r="B61" s="110">
        <v>10.11</v>
      </c>
      <c r="C61" s="110">
        <v>1.81</v>
      </c>
      <c r="D61" s="110">
        <v>10.11</v>
      </c>
      <c r="E61" s="110">
        <v>1.81</v>
      </c>
    </row>
    <row r="62" spans="1:5" x14ac:dyDescent="0.25">
      <c r="A62" s="109">
        <v>52</v>
      </c>
      <c r="B62" s="110">
        <v>10.47</v>
      </c>
      <c r="C62" s="110">
        <v>1.85</v>
      </c>
      <c r="D62" s="110">
        <v>10.47</v>
      </c>
      <c r="E62" s="110">
        <v>1.85</v>
      </c>
    </row>
    <row r="63" spans="1:5" x14ac:dyDescent="0.25">
      <c r="A63" s="109">
        <v>53</v>
      </c>
      <c r="B63" s="110">
        <v>10.85</v>
      </c>
      <c r="C63" s="110">
        <v>1.9</v>
      </c>
      <c r="D63" s="110">
        <v>10.85</v>
      </c>
      <c r="E63" s="110">
        <v>1.9</v>
      </c>
    </row>
    <row r="64" spans="1:5" x14ac:dyDescent="0.25">
      <c r="A64" s="109">
        <v>54</v>
      </c>
      <c r="B64" s="110">
        <v>11.24</v>
      </c>
      <c r="C64" s="110">
        <v>1.94</v>
      </c>
      <c r="D64" s="110">
        <v>11.24</v>
      </c>
      <c r="E64" s="110">
        <v>1.94</v>
      </c>
    </row>
    <row r="65" spans="1:5" x14ac:dyDescent="0.25">
      <c r="A65" s="109">
        <v>55</v>
      </c>
      <c r="B65" s="110">
        <v>11.65</v>
      </c>
      <c r="C65" s="110">
        <v>1.99</v>
      </c>
      <c r="D65" s="110">
        <v>11.65</v>
      </c>
      <c r="E65" s="110">
        <v>1.99</v>
      </c>
    </row>
    <row r="66" spans="1:5" x14ac:dyDescent="0.25">
      <c r="A66" s="109">
        <v>56</v>
      </c>
      <c r="B66" s="110">
        <v>12.07</v>
      </c>
      <c r="C66" s="110">
        <v>2.0299999999999998</v>
      </c>
      <c r="D66" s="110">
        <v>12.07</v>
      </c>
      <c r="E66" s="110">
        <v>2.0299999999999998</v>
      </c>
    </row>
    <row r="67" spans="1:5" x14ac:dyDescent="0.25">
      <c r="A67" s="109">
        <v>57</v>
      </c>
      <c r="B67" s="110">
        <v>12.52</v>
      </c>
      <c r="C67" s="110">
        <v>2.08</v>
      </c>
      <c r="D67" s="110">
        <v>12.52</v>
      </c>
      <c r="E67" s="110">
        <v>2.08</v>
      </c>
    </row>
    <row r="68" spans="1:5" x14ac:dyDescent="0.25">
      <c r="A68" s="109">
        <v>58</v>
      </c>
      <c r="B68" s="110">
        <v>12.98</v>
      </c>
      <c r="C68" s="110">
        <v>2.12</v>
      </c>
      <c r="D68" s="110">
        <v>12.98</v>
      </c>
      <c r="E68" s="110">
        <v>2.12</v>
      </c>
    </row>
    <row r="69" spans="1:5" x14ac:dyDescent="0.25">
      <c r="A69" s="109">
        <v>59</v>
      </c>
      <c r="B69" s="110">
        <v>13.47</v>
      </c>
      <c r="C69" s="110">
        <v>2.16</v>
      </c>
      <c r="D69" s="110">
        <v>13.47</v>
      </c>
      <c r="E69" s="110">
        <v>2.16</v>
      </c>
    </row>
    <row r="70" spans="1:5" x14ac:dyDescent="0.25">
      <c r="A70" s="109">
        <v>60</v>
      </c>
      <c r="B70" s="110">
        <v>13.99</v>
      </c>
      <c r="C70" s="110">
        <v>2.2000000000000002</v>
      </c>
      <c r="D70" s="110">
        <v>13.99</v>
      </c>
      <c r="E70" s="110">
        <v>2.2000000000000002</v>
      </c>
    </row>
    <row r="71" spans="1:5" x14ac:dyDescent="0.25">
      <c r="A71" s="109">
        <v>61</v>
      </c>
      <c r="B71" s="110">
        <v>14.52</v>
      </c>
      <c r="C71" s="110">
        <v>2.23</v>
      </c>
      <c r="D71" s="110">
        <v>14.52</v>
      </c>
      <c r="E71" s="110">
        <v>2.23</v>
      </c>
    </row>
    <row r="72" spans="1:5" x14ac:dyDescent="0.25">
      <c r="A72" s="109">
        <v>62</v>
      </c>
      <c r="B72" s="110">
        <v>15.09</v>
      </c>
      <c r="C72" s="110">
        <v>2.27</v>
      </c>
      <c r="D72" s="110">
        <v>15.09</v>
      </c>
      <c r="E72" s="110">
        <v>2.27</v>
      </c>
    </row>
    <row r="73" spans="1:5" x14ac:dyDescent="0.25">
      <c r="A73" s="109">
        <v>63</v>
      </c>
      <c r="B73" s="110">
        <v>15.7</v>
      </c>
      <c r="C73" s="110">
        <v>2.29</v>
      </c>
      <c r="D73" s="110">
        <v>15.7</v>
      </c>
      <c r="E73" s="110">
        <v>2.29</v>
      </c>
    </row>
    <row r="74" spans="1:5" x14ac:dyDescent="0.25">
      <c r="A74" s="109">
        <v>64</v>
      </c>
      <c r="B74" s="110">
        <v>16.329999999999998</v>
      </c>
      <c r="C74" s="110">
        <v>2.3199999999999998</v>
      </c>
      <c r="D74" s="110">
        <v>16.329999999999998</v>
      </c>
      <c r="E74" s="110">
        <v>2.3199999999999998</v>
      </c>
    </row>
    <row r="75" spans="1:5" x14ac:dyDescent="0.25">
      <c r="A75" s="109">
        <v>65</v>
      </c>
      <c r="B75" s="110">
        <v>17.010000000000002</v>
      </c>
      <c r="C75" s="110">
        <v>2.34</v>
      </c>
      <c r="D75" s="110">
        <v>17.010000000000002</v>
      </c>
      <c r="E75" s="110">
        <v>2.34</v>
      </c>
    </row>
    <row r="76" spans="1:5" x14ac:dyDescent="0.25">
      <c r="A76" s="109">
        <v>66</v>
      </c>
      <c r="B76" s="110">
        <v>17.03</v>
      </c>
      <c r="C76" s="110">
        <v>2.34</v>
      </c>
      <c r="D76" s="110">
        <v>17.03</v>
      </c>
      <c r="E76" s="110">
        <v>2.34</v>
      </c>
    </row>
    <row r="77" spans="1:5" x14ac:dyDescent="0.25">
      <c r="A77" s="109">
        <v>67</v>
      </c>
      <c r="B77" s="110">
        <v>16.37</v>
      </c>
      <c r="C77" s="110">
        <v>2.33</v>
      </c>
      <c r="D77" s="110">
        <v>16.37</v>
      </c>
      <c r="E77" s="110">
        <v>2.33</v>
      </c>
    </row>
    <row r="78" spans="1:5" x14ac:dyDescent="0.25">
      <c r="A78" s="109">
        <v>68</v>
      </c>
      <c r="B78" s="110">
        <v>15.71</v>
      </c>
      <c r="C78" s="110">
        <v>2.3199999999999998</v>
      </c>
      <c r="D78" s="110">
        <v>15.71</v>
      </c>
      <c r="E78" s="110">
        <v>2.3199999999999998</v>
      </c>
    </row>
    <row r="79" spans="1:5" x14ac:dyDescent="0.25">
      <c r="A79" s="109">
        <v>69</v>
      </c>
      <c r="B79" s="110">
        <v>15.07</v>
      </c>
      <c r="C79" s="110">
        <v>2.2999999999999998</v>
      </c>
      <c r="D79" s="110">
        <v>15.07</v>
      </c>
      <c r="E79" s="110">
        <v>2.2999999999999998</v>
      </c>
    </row>
    <row r="80" spans="1:5" x14ac:dyDescent="0.25">
      <c r="A80" s="109">
        <v>70</v>
      </c>
      <c r="B80" s="110">
        <v>14.43</v>
      </c>
      <c r="C80" s="110">
        <v>2.2799999999999998</v>
      </c>
      <c r="D80" s="110">
        <v>14.43</v>
      </c>
      <c r="E80" s="110">
        <v>2.2799999999999998</v>
      </c>
    </row>
    <row r="81" spans="1:5" x14ac:dyDescent="0.25">
      <c r="A81" s="109">
        <v>71</v>
      </c>
      <c r="B81" s="110">
        <v>13.8</v>
      </c>
      <c r="C81" s="110">
        <v>2.25</v>
      </c>
      <c r="D81" s="110">
        <v>13.8</v>
      </c>
      <c r="E81" s="110">
        <v>2.25</v>
      </c>
    </row>
    <row r="82" spans="1:5" x14ac:dyDescent="0.25">
      <c r="A82" s="109">
        <v>72</v>
      </c>
      <c r="B82" s="110">
        <v>13.18</v>
      </c>
      <c r="C82" s="110">
        <v>2.23</v>
      </c>
      <c r="D82" s="110">
        <v>13.18</v>
      </c>
      <c r="E82" s="110">
        <v>2.23</v>
      </c>
    </row>
    <row r="83" spans="1:5" x14ac:dyDescent="0.25">
      <c r="A83" s="109">
        <v>73</v>
      </c>
      <c r="B83" s="110">
        <v>12.57</v>
      </c>
      <c r="C83" s="110">
        <v>2.19</v>
      </c>
      <c r="D83" s="110">
        <v>12.57</v>
      </c>
      <c r="E83" s="110">
        <v>2.19</v>
      </c>
    </row>
    <row r="84" spans="1:5" x14ac:dyDescent="0.25">
      <c r="A84" s="109">
        <v>74</v>
      </c>
      <c r="B84" s="110">
        <v>11.96</v>
      </c>
      <c r="C84" s="110">
        <v>2.16</v>
      </c>
      <c r="D84" s="110">
        <v>11.96</v>
      </c>
      <c r="E84" s="110">
        <v>2.16</v>
      </c>
    </row>
    <row r="85" spans="1:5" x14ac:dyDescent="0.25">
      <c r="A85" s="109">
        <v>75</v>
      </c>
      <c r="B85" s="110">
        <v>11.37</v>
      </c>
      <c r="C85" s="110">
        <v>2.12</v>
      </c>
      <c r="D85" s="110">
        <v>11.37</v>
      </c>
      <c r="E85" s="110">
        <v>2.12</v>
      </c>
    </row>
  </sheetData>
  <conditionalFormatting sqref="A6:A21">
    <cfRule type="expression" dxfId="1159" priority="3" stopIfTrue="1">
      <formula>MOD(ROW(),2)=0</formula>
    </cfRule>
    <cfRule type="expression" dxfId="1158" priority="4" stopIfTrue="1">
      <formula>MOD(ROW(),2)&lt;&gt;0</formula>
    </cfRule>
  </conditionalFormatting>
  <conditionalFormatting sqref="A26:A85">
    <cfRule type="expression" dxfId="1157" priority="7" stopIfTrue="1">
      <formula>MOD(ROW(),2)=0</formula>
    </cfRule>
    <cfRule type="expression" dxfId="1156" priority="8" stopIfTrue="1">
      <formula>MOD(ROW(),2)&lt;&gt;0</formula>
    </cfRule>
  </conditionalFormatting>
  <conditionalFormatting sqref="B12">
    <cfRule type="expression" dxfId="1155" priority="15" stopIfTrue="1">
      <formula>MOD(ROW(),2)=0</formula>
    </cfRule>
    <cfRule type="expression" dxfId="1154" priority="16" stopIfTrue="1">
      <formula>MOD(ROW(),2)&lt;&gt;0</formula>
    </cfRule>
  </conditionalFormatting>
  <conditionalFormatting sqref="B17:B21">
    <cfRule type="expression" dxfId="1153" priority="1" stopIfTrue="1">
      <formula>MOD(ROW(),2)=0</formula>
    </cfRule>
    <cfRule type="expression" dxfId="1152" priority="2" stopIfTrue="1">
      <formula>MOD(ROW(),2)&lt;&gt;0</formula>
    </cfRule>
  </conditionalFormatting>
  <conditionalFormatting sqref="B6:E6 C7:E7 B8:E11 C12:E12 B13:E16 C17:E21">
    <cfRule type="expression" dxfId="1151" priority="39" stopIfTrue="1">
      <formula>MOD(ROW(),2)=0</formula>
    </cfRule>
    <cfRule type="expression" dxfId="1150" priority="40" stopIfTrue="1">
      <formula>MOD(ROW(),2)&lt;&gt;0</formula>
    </cfRule>
  </conditionalFormatting>
  <conditionalFormatting sqref="B6:E21">
    <cfRule type="expression" dxfId="1149" priority="27" stopIfTrue="1">
      <formula>MOD(ROW(),2)=0</formula>
    </cfRule>
    <cfRule type="expression" dxfId="1148" priority="28" stopIfTrue="1">
      <formula>MOD(ROW(),2)&lt;&gt;0</formula>
    </cfRule>
  </conditionalFormatting>
  <conditionalFormatting sqref="B26:E85">
    <cfRule type="expression" dxfId="1147" priority="9" stopIfTrue="1">
      <formula>MOD(ROW(),2)=0</formula>
    </cfRule>
    <cfRule type="expression" dxfId="1146" priority="10" stopIfTrue="1">
      <formula>MOD(ROW(),2)&lt;&gt;0</formula>
    </cfRule>
  </conditionalFormatting>
  <hyperlinks>
    <hyperlink ref="B24" location="Assumptions!A1" display="Assumptions" xr:uid="{1DF5F269-BE85-49A2-AC63-0D5622D8AE9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A1:E85"/>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5" ht="20" x14ac:dyDescent="0.4">
      <c r="A1" s="53" t="s">
        <v>0</v>
      </c>
      <c r="B1" s="54"/>
      <c r="C1" s="54"/>
      <c r="D1" s="54"/>
      <c r="E1" s="54"/>
    </row>
    <row r="2" spans="1:5" ht="15.5" x14ac:dyDescent="0.35">
      <c r="A2" s="55" t="str">
        <f>IF(title="&gt; Enter workbook title here","Enter workbook title in Cover sheet",title)</f>
        <v>Northern Ireland Civil Service Pension Schemes - Consolidated Factor Spreadsheet</v>
      </c>
      <c r="B2" s="56"/>
      <c r="C2" s="56"/>
      <c r="D2" s="56"/>
      <c r="E2" s="56"/>
    </row>
    <row r="3" spans="1:5" ht="15.5" x14ac:dyDescent="0.35">
      <c r="A3" s="57" t="str">
        <f>TABLE_FACTOR_TYPE_1&amp;" - x-"&amp;TABLE_SERIES_NUMBER_1</f>
        <v>CETV - x-203</v>
      </c>
      <c r="B3" s="56"/>
      <c r="C3" s="56"/>
      <c r="D3" s="56"/>
      <c r="E3" s="56"/>
    </row>
    <row r="4" spans="1:5" x14ac:dyDescent="0.25">
      <c r="A4" s="58"/>
    </row>
    <row r="6" spans="1:5" ht="13" x14ac:dyDescent="0.3">
      <c r="A6" s="86" t="s">
        <v>716</v>
      </c>
      <c r="B6" s="111" t="s">
        <v>717</v>
      </c>
      <c r="C6" s="111"/>
      <c r="D6" s="111"/>
      <c r="E6" s="111"/>
    </row>
    <row r="7" spans="1:5" x14ac:dyDescent="0.25">
      <c r="A7" s="87" t="s">
        <v>797</v>
      </c>
      <c r="B7" s="111" t="s">
        <v>316</v>
      </c>
      <c r="C7" s="111"/>
      <c r="D7" s="111"/>
      <c r="E7" s="111"/>
    </row>
    <row r="8" spans="1:5" x14ac:dyDescent="0.25">
      <c r="A8" s="87" t="s">
        <v>798</v>
      </c>
      <c r="B8" s="111" t="s">
        <v>92</v>
      </c>
      <c r="C8" s="111"/>
      <c r="D8" s="111"/>
      <c r="E8" s="111"/>
    </row>
    <row r="9" spans="1:5" x14ac:dyDescent="0.25">
      <c r="A9" s="87" t="s">
        <v>300</v>
      </c>
      <c r="B9" s="111" t="s">
        <v>332</v>
      </c>
      <c r="C9" s="111"/>
      <c r="D9" s="111"/>
      <c r="E9" s="111"/>
    </row>
    <row r="10" spans="1:5" x14ac:dyDescent="0.25">
      <c r="A10" s="87" t="s">
        <v>6</v>
      </c>
      <c r="B10" s="111" t="s">
        <v>342</v>
      </c>
      <c r="C10" s="111"/>
      <c r="D10" s="111"/>
      <c r="E10" s="111"/>
    </row>
    <row r="11" spans="1:5" x14ac:dyDescent="0.25">
      <c r="A11" s="87" t="s">
        <v>301</v>
      </c>
      <c r="B11" s="111" t="s">
        <v>334</v>
      </c>
      <c r="C11" s="111"/>
      <c r="D11" s="111"/>
      <c r="E11" s="111"/>
    </row>
    <row r="12" spans="1:5" x14ac:dyDescent="0.25">
      <c r="A12" s="87" t="s">
        <v>302</v>
      </c>
      <c r="B12" s="111" t="s">
        <v>335</v>
      </c>
      <c r="C12" s="111"/>
      <c r="D12" s="111"/>
      <c r="E12" s="111"/>
    </row>
    <row r="13" spans="1:5" x14ac:dyDescent="0.25">
      <c r="A13" s="87" t="s">
        <v>724</v>
      </c>
      <c r="B13" s="111">
        <v>0</v>
      </c>
      <c r="C13" s="111"/>
      <c r="D13" s="111"/>
      <c r="E13" s="111"/>
    </row>
    <row r="14" spans="1:5" x14ac:dyDescent="0.25">
      <c r="A14" s="87" t="s">
        <v>304</v>
      </c>
      <c r="B14" s="111">
        <v>203</v>
      </c>
      <c r="C14" s="111"/>
      <c r="D14" s="111"/>
      <c r="E14" s="111"/>
    </row>
    <row r="15" spans="1:5" x14ac:dyDescent="0.25">
      <c r="A15" s="87" t="s">
        <v>727</v>
      </c>
      <c r="B15" s="111" t="s">
        <v>343</v>
      </c>
      <c r="C15" s="111"/>
      <c r="D15" s="111"/>
      <c r="E15" s="111"/>
    </row>
    <row r="16" spans="1:5" x14ac:dyDescent="0.25">
      <c r="A16" s="87" t="s">
        <v>306</v>
      </c>
      <c r="B16" s="111" t="s">
        <v>344</v>
      </c>
      <c r="C16" s="111"/>
      <c r="D16" s="111"/>
      <c r="E16" s="111"/>
    </row>
    <row r="17" spans="1:5" ht="36.65" customHeight="1" x14ac:dyDescent="0.25">
      <c r="A17" s="87" t="s">
        <v>800</v>
      </c>
      <c r="B17" s="111"/>
      <c r="C17" s="111"/>
      <c r="D17" s="111"/>
      <c r="E17" s="111"/>
    </row>
    <row r="18" spans="1:5" x14ac:dyDescent="0.25">
      <c r="A18" s="87" t="s">
        <v>308</v>
      </c>
      <c r="B18" s="122">
        <v>45071</v>
      </c>
      <c r="C18" s="111"/>
      <c r="D18" s="111"/>
      <c r="E18" s="111"/>
    </row>
    <row r="19" spans="1:5" x14ac:dyDescent="0.25">
      <c r="A19" s="87" t="s">
        <v>309</v>
      </c>
      <c r="B19" s="122">
        <v>45014</v>
      </c>
      <c r="C19" s="111"/>
      <c r="D19" s="111"/>
      <c r="E19" s="111"/>
    </row>
    <row r="20" spans="1:5" x14ac:dyDescent="0.25">
      <c r="A20" s="87" t="s">
        <v>310</v>
      </c>
      <c r="B20" s="111" t="s">
        <v>324</v>
      </c>
      <c r="C20" s="111"/>
      <c r="D20" s="111"/>
      <c r="E20" s="111"/>
    </row>
    <row r="21" spans="1:5" x14ac:dyDescent="0.25">
      <c r="A21" s="87" t="s">
        <v>311</v>
      </c>
      <c r="B21" s="111" t="s">
        <v>325</v>
      </c>
      <c r="C21" s="111"/>
      <c r="D21" s="111"/>
      <c r="E21" s="111"/>
    </row>
    <row r="23" spans="1:5" x14ac:dyDescent="0.25">
      <c r="B23" s="104" t="str">
        <f>HYPERLINK("#'Factor List'!A1","Back to Factor List")</f>
        <v>Back to Factor List</v>
      </c>
    </row>
    <row r="24" spans="1:5" x14ac:dyDescent="0.25">
      <c r="B24" s="104" t="s">
        <v>13</v>
      </c>
    </row>
    <row r="26" spans="1:5" ht="26" x14ac:dyDescent="0.25">
      <c r="A26" s="108" t="s">
        <v>534</v>
      </c>
      <c r="B26" s="108" t="s">
        <v>803</v>
      </c>
      <c r="C26" s="108" t="s">
        <v>804</v>
      </c>
      <c r="D26" s="108" t="s">
        <v>805</v>
      </c>
      <c r="E26" s="108" t="s">
        <v>806</v>
      </c>
    </row>
    <row r="27" spans="1:5" x14ac:dyDescent="0.25">
      <c r="A27" s="109">
        <v>17</v>
      </c>
      <c r="B27" s="110">
        <v>2.99</v>
      </c>
      <c r="C27" s="110">
        <v>0.55000000000000004</v>
      </c>
      <c r="D27" s="110">
        <v>2.99</v>
      </c>
      <c r="E27" s="110">
        <v>0.55000000000000004</v>
      </c>
    </row>
    <row r="28" spans="1:5" x14ac:dyDescent="0.25">
      <c r="A28" s="109">
        <v>18</v>
      </c>
      <c r="B28" s="110">
        <v>3.09</v>
      </c>
      <c r="C28" s="110">
        <v>0.59</v>
      </c>
      <c r="D28" s="110">
        <v>3.09</v>
      </c>
      <c r="E28" s="110">
        <v>0.59</v>
      </c>
    </row>
    <row r="29" spans="1:5" x14ac:dyDescent="0.25">
      <c r="A29" s="109">
        <v>19</v>
      </c>
      <c r="B29" s="110">
        <v>3.2</v>
      </c>
      <c r="C29" s="110">
        <v>0.62</v>
      </c>
      <c r="D29" s="110">
        <v>3.2</v>
      </c>
      <c r="E29" s="110">
        <v>0.62</v>
      </c>
    </row>
    <row r="30" spans="1:5" x14ac:dyDescent="0.25">
      <c r="A30" s="109">
        <v>20</v>
      </c>
      <c r="B30" s="110">
        <v>3.3</v>
      </c>
      <c r="C30" s="110">
        <v>0.65</v>
      </c>
      <c r="D30" s="110">
        <v>3.3</v>
      </c>
      <c r="E30" s="110">
        <v>0.65</v>
      </c>
    </row>
    <row r="31" spans="1:5" x14ac:dyDescent="0.25">
      <c r="A31" s="109">
        <v>21</v>
      </c>
      <c r="B31" s="110">
        <v>3.42</v>
      </c>
      <c r="C31" s="110">
        <v>0.67</v>
      </c>
      <c r="D31" s="110">
        <v>3.42</v>
      </c>
      <c r="E31" s="110">
        <v>0.67</v>
      </c>
    </row>
    <row r="32" spans="1:5" x14ac:dyDescent="0.25">
      <c r="A32" s="109">
        <v>22</v>
      </c>
      <c r="B32" s="110">
        <v>3.53</v>
      </c>
      <c r="C32" s="110">
        <v>0.7</v>
      </c>
      <c r="D32" s="110">
        <v>3.53</v>
      </c>
      <c r="E32" s="110">
        <v>0.7</v>
      </c>
    </row>
    <row r="33" spans="1:5" x14ac:dyDescent="0.25">
      <c r="A33" s="109">
        <v>23</v>
      </c>
      <c r="B33" s="110">
        <v>3.65</v>
      </c>
      <c r="C33" s="110">
        <v>0.72</v>
      </c>
      <c r="D33" s="110">
        <v>3.65</v>
      </c>
      <c r="E33" s="110">
        <v>0.72</v>
      </c>
    </row>
    <row r="34" spans="1:5" x14ac:dyDescent="0.25">
      <c r="A34" s="109">
        <v>24</v>
      </c>
      <c r="B34" s="110">
        <v>3.78</v>
      </c>
      <c r="C34" s="110">
        <v>0.75</v>
      </c>
      <c r="D34" s="110">
        <v>3.78</v>
      </c>
      <c r="E34" s="110">
        <v>0.75</v>
      </c>
    </row>
    <row r="35" spans="1:5" x14ac:dyDescent="0.25">
      <c r="A35" s="109">
        <v>25</v>
      </c>
      <c r="B35" s="110">
        <v>3.9</v>
      </c>
      <c r="C35" s="110">
        <v>0.78</v>
      </c>
      <c r="D35" s="110">
        <v>3.9</v>
      </c>
      <c r="E35" s="110">
        <v>0.78</v>
      </c>
    </row>
    <row r="36" spans="1:5" x14ac:dyDescent="0.25">
      <c r="A36" s="109">
        <v>26</v>
      </c>
      <c r="B36" s="110">
        <v>4.04</v>
      </c>
      <c r="C36" s="110">
        <v>0.81</v>
      </c>
      <c r="D36" s="110">
        <v>4.04</v>
      </c>
      <c r="E36" s="110">
        <v>0.81</v>
      </c>
    </row>
    <row r="37" spans="1:5" x14ac:dyDescent="0.25">
      <c r="A37" s="109">
        <v>27</v>
      </c>
      <c r="B37" s="110">
        <v>4.17</v>
      </c>
      <c r="C37" s="110">
        <v>0.83</v>
      </c>
      <c r="D37" s="110">
        <v>4.17</v>
      </c>
      <c r="E37" s="110">
        <v>0.83</v>
      </c>
    </row>
    <row r="38" spans="1:5" x14ac:dyDescent="0.25">
      <c r="A38" s="109">
        <v>28</v>
      </c>
      <c r="B38" s="110">
        <v>4.3099999999999996</v>
      </c>
      <c r="C38" s="110">
        <v>0.87</v>
      </c>
      <c r="D38" s="110">
        <v>4.3099999999999996</v>
      </c>
      <c r="E38" s="110">
        <v>0.87</v>
      </c>
    </row>
    <row r="39" spans="1:5" x14ac:dyDescent="0.25">
      <c r="A39" s="109">
        <v>29</v>
      </c>
      <c r="B39" s="110">
        <v>4.46</v>
      </c>
      <c r="C39" s="110">
        <v>0.9</v>
      </c>
      <c r="D39" s="110">
        <v>4.46</v>
      </c>
      <c r="E39" s="110">
        <v>0.9</v>
      </c>
    </row>
    <row r="40" spans="1:5" x14ac:dyDescent="0.25">
      <c r="A40" s="109">
        <v>30</v>
      </c>
      <c r="B40" s="110">
        <v>4.6100000000000003</v>
      </c>
      <c r="C40" s="110">
        <v>0.93</v>
      </c>
      <c r="D40" s="110">
        <v>4.6100000000000003</v>
      </c>
      <c r="E40" s="110">
        <v>0.93</v>
      </c>
    </row>
    <row r="41" spans="1:5" x14ac:dyDescent="0.25">
      <c r="A41" s="109">
        <v>31</v>
      </c>
      <c r="B41" s="110">
        <v>4.7699999999999996</v>
      </c>
      <c r="C41" s="110">
        <v>0.96</v>
      </c>
      <c r="D41" s="110">
        <v>4.7699999999999996</v>
      </c>
      <c r="E41" s="110">
        <v>0.96</v>
      </c>
    </row>
    <row r="42" spans="1:5" x14ac:dyDescent="0.25">
      <c r="A42" s="109">
        <v>32</v>
      </c>
      <c r="B42" s="110">
        <v>4.93</v>
      </c>
      <c r="C42" s="110">
        <v>1</v>
      </c>
      <c r="D42" s="110">
        <v>4.93</v>
      </c>
      <c r="E42" s="110">
        <v>1</v>
      </c>
    </row>
    <row r="43" spans="1:5" x14ac:dyDescent="0.25">
      <c r="A43" s="109">
        <v>33</v>
      </c>
      <c r="B43" s="110">
        <v>5.0999999999999996</v>
      </c>
      <c r="C43" s="110">
        <v>1.03</v>
      </c>
      <c r="D43" s="110">
        <v>5.0999999999999996</v>
      </c>
      <c r="E43" s="110">
        <v>1.03</v>
      </c>
    </row>
    <row r="44" spans="1:5" x14ac:dyDescent="0.25">
      <c r="A44" s="109">
        <v>34</v>
      </c>
      <c r="B44" s="110">
        <v>5.27</v>
      </c>
      <c r="C44" s="110">
        <v>1.07</v>
      </c>
      <c r="D44" s="110">
        <v>5.27</v>
      </c>
      <c r="E44" s="110">
        <v>1.07</v>
      </c>
    </row>
    <row r="45" spans="1:5" x14ac:dyDescent="0.25">
      <c r="A45" s="109">
        <v>35</v>
      </c>
      <c r="B45" s="110">
        <v>5.45</v>
      </c>
      <c r="C45" s="110">
        <v>1.1000000000000001</v>
      </c>
      <c r="D45" s="110">
        <v>5.45</v>
      </c>
      <c r="E45" s="110">
        <v>1.1000000000000001</v>
      </c>
    </row>
    <row r="46" spans="1:5" x14ac:dyDescent="0.25">
      <c r="A46" s="109">
        <v>36</v>
      </c>
      <c r="B46" s="110">
        <v>5.64</v>
      </c>
      <c r="C46" s="110">
        <v>1.1399999999999999</v>
      </c>
      <c r="D46" s="110">
        <v>5.64</v>
      </c>
      <c r="E46" s="110">
        <v>1.1399999999999999</v>
      </c>
    </row>
    <row r="47" spans="1:5" x14ac:dyDescent="0.25">
      <c r="A47" s="109">
        <v>37</v>
      </c>
      <c r="B47" s="110">
        <v>5.83</v>
      </c>
      <c r="C47" s="110">
        <v>1.18</v>
      </c>
      <c r="D47" s="110">
        <v>5.83</v>
      </c>
      <c r="E47" s="110">
        <v>1.18</v>
      </c>
    </row>
    <row r="48" spans="1:5" x14ac:dyDescent="0.25">
      <c r="A48" s="109">
        <v>38</v>
      </c>
      <c r="B48" s="110">
        <v>6.03</v>
      </c>
      <c r="C48" s="110">
        <v>1.22</v>
      </c>
      <c r="D48" s="110">
        <v>6.03</v>
      </c>
      <c r="E48" s="110">
        <v>1.22</v>
      </c>
    </row>
    <row r="49" spans="1:5" x14ac:dyDescent="0.25">
      <c r="A49" s="109">
        <v>39</v>
      </c>
      <c r="B49" s="110">
        <v>6.23</v>
      </c>
      <c r="C49" s="110">
        <v>1.26</v>
      </c>
      <c r="D49" s="110">
        <v>6.23</v>
      </c>
      <c r="E49" s="110">
        <v>1.26</v>
      </c>
    </row>
    <row r="50" spans="1:5" x14ac:dyDescent="0.25">
      <c r="A50" s="109">
        <v>40</v>
      </c>
      <c r="B50" s="110">
        <v>6.45</v>
      </c>
      <c r="C50" s="110">
        <v>1.3</v>
      </c>
      <c r="D50" s="110">
        <v>6.45</v>
      </c>
      <c r="E50" s="110">
        <v>1.3</v>
      </c>
    </row>
    <row r="51" spans="1:5" x14ac:dyDescent="0.25">
      <c r="A51" s="109">
        <v>41</v>
      </c>
      <c r="B51" s="110">
        <v>6.67</v>
      </c>
      <c r="C51" s="110">
        <v>1.34</v>
      </c>
      <c r="D51" s="110">
        <v>6.67</v>
      </c>
      <c r="E51" s="110">
        <v>1.34</v>
      </c>
    </row>
    <row r="52" spans="1:5" x14ac:dyDescent="0.25">
      <c r="A52" s="109">
        <v>42</v>
      </c>
      <c r="B52" s="110">
        <v>6.9</v>
      </c>
      <c r="C52" s="110">
        <v>1.38</v>
      </c>
      <c r="D52" s="110">
        <v>6.9</v>
      </c>
      <c r="E52" s="110">
        <v>1.38</v>
      </c>
    </row>
    <row r="53" spans="1:5" x14ac:dyDescent="0.25">
      <c r="A53" s="109">
        <v>43</v>
      </c>
      <c r="B53" s="110">
        <v>7.13</v>
      </c>
      <c r="C53" s="110">
        <v>1.43</v>
      </c>
      <c r="D53" s="110">
        <v>7.13</v>
      </c>
      <c r="E53" s="110">
        <v>1.43</v>
      </c>
    </row>
    <row r="54" spans="1:5" x14ac:dyDescent="0.25">
      <c r="A54" s="109">
        <v>44</v>
      </c>
      <c r="B54" s="110">
        <v>7.38</v>
      </c>
      <c r="C54" s="110">
        <v>1.47</v>
      </c>
      <c r="D54" s="110">
        <v>7.38</v>
      </c>
      <c r="E54" s="110">
        <v>1.47</v>
      </c>
    </row>
    <row r="55" spans="1:5" x14ac:dyDescent="0.25">
      <c r="A55" s="109">
        <v>45</v>
      </c>
      <c r="B55" s="110">
        <v>7.63</v>
      </c>
      <c r="C55" s="110">
        <v>1.51</v>
      </c>
      <c r="D55" s="110">
        <v>7.63</v>
      </c>
      <c r="E55" s="110">
        <v>1.51</v>
      </c>
    </row>
    <row r="56" spans="1:5" x14ac:dyDescent="0.25">
      <c r="A56" s="109">
        <v>46</v>
      </c>
      <c r="B56" s="110">
        <v>7.9</v>
      </c>
      <c r="C56" s="110">
        <v>1.56</v>
      </c>
      <c r="D56" s="110">
        <v>7.9</v>
      </c>
      <c r="E56" s="110">
        <v>1.56</v>
      </c>
    </row>
    <row r="57" spans="1:5" x14ac:dyDescent="0.25">
      <c r="A57" s="109">
        <v>47</v>
      </c>
      <c r="B57" s="110">
        <v>8.17</v>
      </c>
      <c r="C57" s="110">
        <v>1.6</v>
      </c>
      <c r="D57" s="110">
        <v>8.17</v>
      </c>
      <c r="E57" s="110">
        <v>1.6</v>
      </c>
    </row>
    <row r="58" spans="1:5" x14ac:dyDescent="0.25">
      <c r="A58" s="109">
        <v>48</v>
      </c>
      <c r="B58" s="110">
        <v>8.4600000000000009</v>
      </c>
      <c r="C58" s="110">
        <v>1.65</v>
      </c>
      <c r="D58" s="110">
        <v>8.4600000000000009</v>
      </c>
      <c r="E58" s="110">
        <v>1.65</v>
      </c>
    </row>
    <row r="59" spans="1:5" x14ac:dyDescent="0.25">
      <c r="A59" s="109">
        <v>49</v>
      </c>
      <c r="B59" s="110">
        <v>8.75</v>
      </c>
      <c r="C59" s="110">
        <v>1.69</v>
      </c>
      <c r="D59" s="110">
        <v>8.75</v>
      </c>
      <c r="E59" s="110">
        <v>1.69</v>
      </c>
    </row>
    <row r="60" spans="1:5" x14ac:dyDescent="0.25">
      <c r="A60" s="109">
        <v>50</v>
      </c>
      <c r="B60" s="110">
        <v>9.06</v>
      </c>
      <c r="C60" s="110">
        <v>1.74</v>
      </c>
      <c r="D60" s="110">
        <v>9.06</v>
      </c>
      <c r="E60" s="110">
        <v>1.74</v>
      </c>
    </row>
    <row r="61" spans="1:5" x14ac:dyDescent="0.25">
      <c r="A61" s="109">
        <v>51</v>
      </c>
      <c r="B61" s="110">
        <v>9.3800000000000008</v>
      </c>
      <c r="C61" s="110">
        <v>1.78</v>
      </c>
      <c r="D61" s="110">
        <v>9.3800000000000008</v>
      </c>
      <c r="E61" s="110">
        <v>1.78</v>
      </c>
    </row>
    <row r="62" spans="1:5" x14ac:dyDescent="0.25">
      <c r="A62" s="109">
        <v>52</v>
      </c>
      <c r="B62" s="110">
        <v>9.7100000000000009</v>
      </c>
      <c r="C62" s="110">
        <v>1.83</v>
      </c>
      <c r="D62" s="110">
        <v>9.7100000000000009</v>
      </c>
      <c r="E62" s="110">
        <v>1.83</v>
      </c>
    </row>
    <row r="63" spans="1:5" x14ac:dyDescent="0.25">
      <c r="A63" s="109">
        <v>53</v>
      </c>
      <c r="B63" s="110">
        <v>10.06</v>
      </c>
      <c r="C63" s="110">
        <v>1.88</v>
      </c>
      <c r="D63" s="110">
        <v>10.06</v>
      </c>
      <c r="E63" s="110">
        <v>1.88</v>
      </c>
    </row>
    <row r="64" spans="1:5" x14ac:dyDescent="0.25">
      <c r="A64" s="109">
        <v>54</v>
      </c>
      <c r="B64" s="110">
        <v>10.42</v>
      </c>
      <c r="C64" s="110">
        <v>1.92</v>
      </c>
      <c r="D64" s="110">
        <v>10.42</v>
      </c>
      <c r="E64" s="110">
        <v>1.92</v>
      </c>
    </row>
    <row r="65" spans="1:5" x14ac:dyDescent="0.25">
      <c r="A65" s="109">
        <v>55</v>
      </c>
      <c r="B65" s="110">
        <v>10.8</v>
      </c>
      <c r="C65" s="110">
        <v>1.97</v>
      </c>
      <c r="D65" s="110">
        <v>10.8</v>
      </c>
      <c r="E65" s="110">
        <v>1.97</v>
      </c>
    </row>
    <row r="66" spans="1:5" x14ac:dyDescent="0.25">
      <c r="A66" s="109">
        <v>56</v>
      </c>
      <c r="B66" s="110">
        <v>11.19</v>
      </c>
      <c r="C66" s="110">
        <v>2.0099999999999998</v>
      </c>
      <c r="D66" s="110">
        <v>11.19</v>
      </c>
      <c r="E66" s="110">
        <v>2.0099999999999998</v>
      </c>
    </row>
    <row r="67" spans="1:5" x14ac:dyDescent="0.25">
      <c r="A67" s="109">
        <v>57</v>
      </c>
      <c r="B67" s="110">
        <v>11.6</v>
      </c>
      <c r="C67" s="110">
        <v>2.0499999999999998</v>
      </c>
      <c r="D67" s="110">
        <v>11.6</v>
      </c>
      <c r="E67" s="110">
        <v>2.0499999999999998</v>
      </c>
    </row>
    <row r="68" spans="1:5" x14ac:dyDescent="0.25">
      <c r="A68" s="109">
        <v>58</v>
      </c>
      <c r="B68" s="110">
        <v>12.03</v>
      </c>
      <c r="C68" s="110">
        <v>2.1</v>
      </c>
      <c r="D68" s="110">
        <v>12.03</v>
      </c>
      <c r="E68" s="110">
        <v>2.1</v>
      </c>
    </row>
    <row r="69" spans="1:5" x14ac:dyDescent="0.25">
      <c r="A69" s="109">
        <v>59</v>
      </c>
      <c r="B69" s="110">
        <v>12.48</v>
      </c>
      <c r="C69" s="110">
        <v>2.14</v>
      </c>
      <c r="D69" s="110">
        <v>12.48</v>
      </c>
      <c r="E69" s="110">
        <v>2.14</v>
      </c>
    </row>
    <row r="70" spans="1:5" x14ac:dyDescent="0.25">
      <c r="A70" s="109">
        <v>60</v>
      </c>
      <c r="B70" s="110">
        <v>12.95</v>
      </c>
      <c r="C70" s="110">
        <v>2.17</v>
      </c>
      <c r="D70" s="110">
        <v>12.95</v>
      </c>
      <c r="E70" s="110">
        <v>2.17</v>
      </c>
    </row>
    <row r="71" spans="1:5" x14ac:dyDescent="0.25">
      <c r="A71" s="109">
        <v>61</v>
      </c>
      <c r="B71" s="110">
        <v>13.45</v>
      </c>
      <c r="C71" s="110">
        <v>2.21</v>
      </c>
      <c r="D71" s="110">
        <v>13.45</v>
      </c>
      <c r="E71" s="110">
        <v>2.21</v>
      </c>
    </row>
    <row r="72" spans="1:5" x14ac:dyDescent="0.25">
      <c r="A72" s="109">
        <v>62</v>
      </c>
      <c r="B72" s="110">
        <v>13.97</v>
      </c>
      <c r="C72" s="110">
        <v>2.2400000000000002</v>
      </c>
      <c r="D72" s="110">
        <v>13.97</v>
      </c>
      <c r="E72" s="110">
        <v>2.2400000000000002</v>
      </c>
    </row>
    <row r="73" spans="1:5" x14ac:dyDescent="0.25">
      <c r="A73" s="109">
        <v>63</v>
      </c>
      <c r="B73" s="110">
        <v>14.53</v>
      </c>
      <c r="C73" s="110">
        <v>2.27</v>
      </c>
      <c r="D73" s="110">
        <v>14.53</v>
      </c>
      <c r="E73" s="110">
        <v>2.27</v>
      </c>
    </row>
    <row r="74" spans="1:5" x14ac:dyDescent="0.25">
      <c r="A74" s="109">
        <v>64</v>
      </c>
      <c r="B74" s="110">
        <v>15.11</v>
      </c>
      <c r="C74" s="110">
        <v>2.2999999999999998</v>
      </c>
      <c r="D74" s="110">
        <v>15.11</v>
      </c>
      <c r="E74" s="110">
        <v>2.2999999999999998</v>
      </c>
    </row>
    <row r="75" spans="1:5" x14ac:dyDescent="0.25">
      <c r="A75" s="109">
        <v>65</v>
      </c>
      <c r="B75" s="110">
        <v>15.74</v>
      </c>
      <c r="C75" s="110">
        <v>2.3199999999999998</v>
      </c>
      <c r="D75" s="110">
        <v>15.74</v>
      </c>
      <c r="E75" s="110">
        <v>2.3199999999999998</v>
      </c>
    </row>
    <row r="76" spans="1:5" x14ac:dyDescent="0.25">
      <c r="A76" s="109">
        <v>66</v>
      </c>
      <c r="B76" s="110">
        <v>16.399999999999999</v>
      </c>
      <c r="C76" s="110">
        <v>2.33</v>
      </c>
      <c r="D76" s="110">
        <v>16.399999999999999</v>
      </c>
      <c r="E76" s="110">
        <v>2.33</v>
      </c>
    </row>
    <row r="77" spans="1:5" x14ac:dyDescent="0.25">
      <c r="A77" s="109">
        <v>67</v>
      </c>
      <c r="B77" s="110">
        <v>16.41</v>
      </c>
      <c r="C77" s="110">
        <v>2.33</v>
      </c>
      <c r="D77" s="110">
        <v>16.41</v>
      </c>
      <c r="E77" s="110">
        <v>2.33</v>
      </c>
    </row>
    <row r="78" spans="1:5" x14ac:dyDescent="0.25">
      <c r="A78" s="109">
        <v>68</v>
      </c>
      <c r="B78" s="110">
        <v>15.75</v>
      </c>
      <c r="C78" s="110">
        <v>2.3199999999999998</v>
      </c>
      <c r="D78" s="110">
        <v>15.75</v>
      </c>
      <c r="E78" s="110">
        <v>2.3199999999999998</v>
      </c>
    </row>
    <row r="79" spans="1:5" x14ac:dyDescent="0.25">
      <c r="A79" s="109">
        <v>69</v>
      </c>
      <c r="B79" s="110">
        <v>15.09</v>
      </c>
      <c r="C79" s="110">
        <v>2.2999999999999998</v>
      </c>
      <c r="D79" s="110">
        <v>15.09</v>
      </c>
      <c r="E79" s="110">
        <v>2.2999999999999998</v>
      </c>
    </row>
    <row r="80" spans="1:5" x14ac:dyDescent="0.25">
      <c r="A80" s="109">
        <v>70</v>
      </c>
      <c r="B80" s="110">
        <v>14.44</v>
      </c>
      <c r="C80" s="110">
        <v>2.2799999999999998</v>
      </c>
      <c r="D80" s="110">
        <v>14.44</v>
      </c>
      <c r="E80" s="110">
        <v>2.2799999999999998</v>
      </c>
    </row>
    <row r="81" spans="1:5" x14ac:dyDescent="0.25">
      <c r="A81" s="109">
        <v>71</v>
      </c>
      <c r="B81" s="110">
        <v>13.8</v>
      </c>
      <c r="C81" s="110">
        <v>2.25</v>
      </c>
      <c r="D81" s="110">
        <v>13.8</v>
      </c>
      <c r="E81" s="110">
        <v>2.25</v>
      </c>
    </row>
    <row r="82" spans="1:5" x14ac:dyDescent="0.25">
      <c r="A82" s="109">
        <v>72</v>
      </c>
      <c r="B82" s="110">
        <v>13.18</v>
      </c>
      <c r="C82" s="110">
        <v>2.23</v>
      </c>
      <c r="D82" s="110">
        <v>13.18</v>
      </c>
      <c r="E82" s="110">
        <v>2.23</v>
      </c>
    </row>
    <row r="83" spans="1:5" x14ac:dyDescent="0.25">
      <c r="A83" s="109">
        <v>73</v>
      </c>
      <c r="B83" s="110">
        <v>12.57</v>
      </c>
      <c r="C83" s="110">
        <v>2.19</v>
      </c>
      <c r="D83" s="110">
        <v>12.57</v>
      </c>
      <c r="E83" s="110">
        <v>2.19</v>
      </c>
    </row>
    <row r="84" spans="1:5" x14ac:dyDescent="0.25">
      <c r="A84" s="109">
        <v>74</v>
      </c>
      <c r="B84" s="110">
        <v>11.96</v>
      </c>
      <c r="C84" s="110">
        <v>2.16</v>
      </c>
      <c r="D84" s="110">
        <v>11.96</v>
      </c>
      <c r="E84" s="110">
        <v>2.16</v>
      </c>
    </row>
    <row r="85" spans="1:5" x14ac:dyDescent="0.25">
      <c r="A85" s="109">
        <v>75</v>
      </c>
      <c r="B85" s="110">
        <v>11.37</v>
      </c>
      <c r="C85" s="110">
        <v>2.12</v>
      </c>
      <c r="D85" s="110">
        <v>11.37</v>
      </c>
      <c r="E85" s="110">
        <v>2.12</v>
      </c>
    </row>
  </sheetData>
  <conditionalFormatting sqref="A6:A21">
    <cfRule type="expression" dxfId="1145" priority="3" stopIfTrue="1">
      <formula>MOD(ROW(),2)=0</formula>
    </cfRule>
    <cfRule type="expression" dxfId="1144" priority="4" stopIfTrue="1">
      <formula>MOD(ROW(),2)&lt;&gt;0</formula>
    </cfRule>
  </conditionalFormatting>
  <conditionalFormatting sqref="A26:A85">
    <cfRule type="expression" dxfId="1143" priority="7" stopIfTrue="1">
      <formula>MOD(ROW(),2)=0</formula>
    </cfRule>
    <cfRule type="expression" dxfId="1142" priority="8" stopIfTrue="1">
      <formula>MOD(ROW(),2)&lt;&gt;0</formula>
    </cfRule>
  </conditionalFormatting>
  <conditionalFormatting sqref="B12">
    <cfRule type="expression" dxfId="1141" priority="15" stopIfTrue="1">
      <formula>MOD(ROW(),2)=0</formula>
    </cfRule>
    <cfRule type="expression" dxfId="1140" priority="16" stopIfTrue="1">
      <formula>MOD(ROW(),2)&lt;&gt;0</formula>
    </cfRule>
  </conditionalFormatting>
  <conditionalFormatting sqref="B17:B21">
    <cfRule type="expression" dxfId="1139" priority="1" stopIfTrue="1">
      <formula>MOD(ROW(),2)=0</formula>
    </cfRule>
    <cfRule type="expression" dxfId="1138" priority="2" stopIfTrue="1">
      <formula>MOD(ROW(),2)&lt;&gt;0</formula>
    </cfRule>
  </conditionalFormatting>
  <conditionalFormatting sqref="B6:E6 C7:E7 B8:E11 C12:E12 B13:E16 C17:E21">
    <cfRule type="expression" dxfId="1137" priority="39" stopIfTrue="1">
      <formula>MOD(ROW(),2)=0</formula>
    </cfRule>
    <cfRule type="expression" dxfId="1136" priority="40" stopIfTrue="1">
      <formula>MOD(ROW(),2)&lt;&gt;0</formula>
    </cfRule>
  </conditionalFormatting>
  <conditionalFormatting sqref="B6:E21">
    <cfRule type="expression" dxfId="1135" priority="27" stopIfTrue="1">
      <formula>MOD(ROW(),2)=0</formula>
    </cfRule>
    <cfRule type="expression" dxfId="1134" priority="28" stopIfTrue="1">
      <formula>MOD(ROW(),2)&lt;&gt;0</formula>
    </cfRule>
  </conditionalFormatting>
  <conditionalFormatting sqref="B26:E85">
    <cfRule type="expression" dxfId="1133" priority="9" stopIfTrue="1">
      <formula>MOD(ROW(),2)=0</formula>
    </cfRule>
    <cfRule type="expression" dxfId="1132" priority="10" stopIfTrue="1">
      <formula>MOD(ROW(),2)&lt;&gt;0</formula>
    </cfRule>
  </conditionalFormatting>
  <hyperlinks>
    <hyperlink ref="B24" location="Assumptions!A1" display="Assumptions" xr:uid="{23AF7AFA-7C6D-428A-AEB2-E1DD91CAD6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A1:E85"/>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5" ht="20" x14ac:dyDescent="0.4">
      <c r="A1" s="53" t="s">
        <v>0</v>
      </c>
      <c r="B1" s="54"/>
      <c r="C1" s="54"/>
      <c r="D1" s="54"/>
      <c r="E1" s="54"/>
    </row>
    <row r="2" spans="1:5" ht="15.5" x14ac:dyDescent="0.35">
      <c r="A2" s="55" t="str">
        <f>IF(title="&gt; Enter workbook title here","Enter workbook title in Cover sheet",title)</f>
        <v>Northern Ireland Civil Service Pension Schemes - Consolidated Factor Spreadsheet</v>
      </c>
      <c r="B2" s="56"/>
      <c r="C2" s="56"/>
      <c r="D2" s="56"/>
      <c r="E2" s="56"/>
    </row>
    <row r="3" spans="1:5" ht="15.5" x14ac:dyDescent="0.35">
      <c r="A3" s="57" t="str">
        <f>TABLE_FACTOR_TYPE_1&amp;" - x-"&amp;TABLE_SERIES_NUMBER_1</f>
        <v>CETV - x-204</v>
      </c>
      <c r="B3" s="56"/>
      <c r="C3" s="56"/>
      <c r="D3" s="56"/>
      <c r="E3" s="56"/>
    </row>
    <row r="4" spans="1:5" x14ac:dyDescent="0.25">
      <c r="A4" s="58"/>
    </row>
    <row r="6" spans="1:5" ht="13" x14ac:dyDescent="0.3">
      <c r="A6" s="86" t="s">
        <v>716</v>
      </c>
      <c r="B6" s="111" t="s">
        <v>717</v>
      </c>
      <c r="C6" s="111"/>
      <c r="D6" s="111"/>
      <c r="E6" s="111"/>
    </row>
    <row r="7" spans="1:5" x14ac:dyDescent="0.25">
      <c r="A7" s="87" t="s">
        <v>797</v>
      </c>
      <c r="B7" s="111" t="s">
        <v>316</v>
      </c>
      <c r="C7" s="111"/>
      <c r="D7" s="111"/>
      <c r="E7" s="111"/>
    </row>
    <row r="8" spans="1:5" x14ac:dyDescent="0.25">
      <c r="A8" s="87" t="s">
        <v>798</v>
      </c>
      <c r="B8" s="111" t="s">
        <v>92</v>
      </c>
      <c r="C8" s="111"/>
      <c r="D8" s="111"/>
      <c r="E8" s="111"/>
    </row>
    <row r="9" spans="1:5" x14ac:dyDescent="0.25">
      <c r="A9" s="87" t="s">
        <v>300</v>
      </c>
      <c r="B9" s="111" t="s">
        <v>332</v>
      </c>
      <c r="C9" s="111"/>
      <c r="D9" s="111"/>
      <c r="E9" s="111"/>
    </row>
    <row r="10" spans="1:5" x14ac:dyDescent="0.25">
      <c r="A10" s="87" t="s">
        <v>6</v>
      </c>
      <c r="B10" s="111" t="s">
        <v>346</v>
      </c>
      <c r="C10" s="111"/>
      <c r="D10" s="111"/>
      <c r="E10" s="111"/>
    </row>
    <row r="11" spans="1:5" x14ac:dyDescent="0.25">
      <c r="A11" s="87" t="s">
        <v>301</v>
      </c>
      <c r="B11" s="111" t="s">
        <v>334</v>
      </c>
      <c r="C11" s="111"/>
      <c r="D11" s="111"/>
      <c r="E11" s="111"/>
    </row>
    <row r="12" spans="1:5" x14ac:dyDescent="0.25">
      <c r="A12" s="87" t="s">
        <v>302</v>
      </c>
      <c r="B12" s="111" t="s">
        <v>335</v>
      </c>
      <c r="C12" s="111"/>
      <c r="D12" s="111"/>
      <c r="E12" s="111"/>
    </row>
    <row r="13" spans="1:5" x14ac:dyDescent="0.25">
      <c r="A13" s="87" t="s">
        <v>724</v>
      </c>
      <c r="B13" s="111">
        <v>0</v>
      </c>
      <c r="C13" s="111"/>
      <c r="D13" s="111"/>
      <c r="E13" s="111"/>
    </row>
    <row r="14" spans="1:5" x14ac:dyDescent="0.25">
      <c r="A14" s="87" t="s">
        <v>304</v>
      </c>
      <c r="B14" s="111">
        <v>204</v>
      </c>
      <c r="C14" s="111"/>
      <c r="D14" s="111"/>
      <c r="E14" s="111"/>
    </row>
    <row r="15" spans="1:5" x14ac:dyDescent="0.25">
      <c r="A15" s="87" t="s">
        <v>727</v>
      </c>
      <c r="B15" s="111" t="s">
        <v>347</v>
      </c>
      <c r="C15" s="111"/>
      <c r="D15" s="111"/>
      <c r="E15" s="111"/>
    </row>
    <row r="16" spans="1:5" x14ac:dyDescent="0.25">
      <c r="A16" s="87" t="s">
        <v>306</v>
      </c>
      <c r="B16" s="111" t="s">
        <v>348</v>
      </c>
      <c r="C16" s="111"/>
      <c r="D16" s="111"/>
      <c r="E16" s="111"/>
    </row>
    <row r="17" spans="1:5" ht="38.5" customHeight="1" x14ac:dyDescent="0.25">
      <c r="A17" s="87" t="s">
        <v>800</v>
      </c>
      <c r="B17" s="111"/>
      <c r="C17" s="111"/>
      <c r="D17" s="111"/>
      <c r="E17" s="111"/>
    </row>
    <row r="18" spans="1:5" x14ac:dyDescent="0.25">
      <c r="A18" s="87" t="s">
        <v>308</v>
      </c>
      <c r="B18" s="122">
        <v>45071</v>
      </c>
      <c r="C18" s="111"/>
      <c r="D18" s="111"/>
      <c r="E18" s="111"/>
    </row>
    <row r="19" spans="1:5" x14ac:dyDescent="0.25">
      <c r="A19" s="87" t="s">
        <v>309</v>
      </c>
      <c r="B19" s="122">
        <v>45014</v>
      </c>
      <c r="C19" s="111"/>
      <c r="D19" s="111"/>
      <c r="E19" s="111"/>
    </row>
    <row r="20" spans="1:5" x14ac:dyDescent="0.25">
      <c r="A20" s="87" t="s">
        <v>310</v>
      </c>
      <c r="B20" s="111" t="s">
        <v>324</v>
      </c>
      <c r="C20" s="111"/>
      <c r="D20" s="111"/>
      <c r="E20" s="111"/>
    </row>
    <row r="21" spans="1:5" x14ac:dyDescent="0.25">
      <c r="A21" s="87" t="s">
        <v>311</v>
      </c>
      <c r="B21" s="111" t="s">
        <v>325</v>
      </c>
      <c r="C21" s="111"/>
      <c r="D21" s="111"/>
      <c r="E21" s="111"/>
    </row>
    <row r="23" spans="1:5" x14ac:dyDescent="0.25">
      <c r="B23" s="104" t="str">
        <f>HYPERLINK("#'Factor List'!A1","Back to Factor List")</f>
        <v>Back to Factor List</v>
      </c>
    </row>
    <row r="24" spans="1:5" x14ac:dyDescent="0.25">
      <c r="B24" s="104" t="s">
        <v>13</v>
      </c>
    </row>
    <row r="26" spans="1:5" ht="26" x14ac:dyDescent="0.25">
      <c r="A26" s="108" t="s">
        <v>534</v>
      </c>
      <c r="B26" s="108" t="s">
        <v>803</v>
      </c>
      <c r="C26" s="108" t="s">
        <v>804</v>
      </c>
      <c r="D26" s="108" t="s">
        <v>805</v>
      </c>
      <c r="E26" s="108" t="s">
        <v>806</v>
      </c>
    </row>
    <row r="27" spans="1:5" x14ac:dyDescent="0.25">
      <c r="A27" s="109">
        <v>17</v>
      </c>
      <c r="B27" s="110">
        <v>2.78</v>
      </c>
      <c r="C27" s="110">
        <v>0.55000000000000004</v>
      </c>
      <c r="D27" s="110">
        <v>2.78</v>
      </c>
      <c r="E27" s="110">
        <v>0.55000000000000004</v>
      </c>
    </row>
    <row r="28" spans="1:5" x14ac:dyDescent="0.25">
      <c r="A28" s="109">
        <v>18</v>
      </c>
      <c r="B28" s="110">
        <v>2.88</v>
      </c>
      <c r="C28" s="110">
        <v>0.57999999999999996</v>
      </c>
      <c r="D28" s="110">
        <v>2.88</v>
      </c>
      <c r="E28" s="110">
        <v>0.57999999999999996</v>
      </c>
    </row>
    <row r="29" spans="1:5" x14ac:dyDescent="0.25">
      <c r="A29" s="109">
        <v>19</v>
      </c>
      <c r="B29" s="110">
        <v>2.97</v>
      </c>
      <c r="C29" s="110">
        <v>0.61</v>
      </c>
      <c r="D29" s="110">
        <v>2.97</v>
      </c>
      <c r="E29" s="110">
        <v>0.61</v>
      </c>
    </row>
    <row r="30" spans="1:5" x14ac:dyDescent="0.25">
      <c r="A30" s="109">
        <v>20</v>
      </c>
      <c r="B30" s="110">
        <v>3.07</v>
      </c>
      <c r="C30" s="110">
        <v>0.64</v>
      </c>
      <c r="D30" s="110">
        <v>3.07</v>
      </c>
      <c r="E30" s="110">
        <v>0.64</v>
      </c>
    </row>
    <row r="31" spans="1:5" x14ac:dyDescent="0.25">
      <c r="A31" s="109">
        <v>21</v>
      </c>
      <c r="B31" s="110">
        <v>3.18</v>
      </c>
      <c r="C31" s="110">
        <v>0.66</v>
      </c>
      <c r="D31" s="110">
        <v>3.18</v>
      </c>
      <c r="E31" s="110">
        <v>0.66</v>
      </c>
    </row>
    <row r="32" spans="1:5" x14ac:dyDescent="0.25">
      <c r="A32" s="109">
        <v>22</v>
      </c>
      <c r="B32" s="110">
        <v>3.29</v>
      </c>
      <c r="C32" s="110">
        <v>0.69</v>
      </c>
      <c r="D32" s="110">
        <v>3.29</v>
      </c>
      <c r="E32" s="110">
        <v>0.69</v>
      </c>
    </row>
    <row r="33" spans="1:5" x14ac:dyDescent="0.25">
      <c r="A33" s="109">
        <v>23</v>
      </c>
      <c r="B33" s="110">
        <v>3.4</v>
      </c>
      <c r="C33" s="110">
        <v>0.71</v>
      </c>
      <c r="D33" s="110">
        <v>3.4</v>
      </c>
      <c r="E33" s="110">
        <v>0.71</v>
      </c>
    </row>
    <row r="34" spans="1:5" x14ac:dyDescent="0.25">
      <c r="A34" s="109">
        <v>24</v>
      </c>
      <c r="B34" s="110">
        <v>3.51</v>
      </c>
      <c r="C34" s="110">
        <v>0.74</v>
      </c>
      <c r="D34" s="110">
        <v>3.51</v>
      </c>
      <c r="E34" s="110">
        <v>0.74</v>
      </c>
    </row>
    <row r="35" spans="1:5" x14ac:dyDescent="0.25">
      <c r="A35" s="109">
        <v>25</v>
      </c>
      <c r="B35" s="110">
        <v>3.63</v>
      </c>
      <c r="C35" s="110">
        <v>0.77</v>
      </c>
      <c r="D35" s="110">
        <v>3.63</v>
      </c>
      <c r="E35" s="110">
        <v>0.77</v>
      </c>
    </row>
    <row r="36" spans="1:5" x14ac:dyDescent="0.25">
      <c r="A36" s="109">
        <v>26</v>
      </c>
      <c r="B36" s="110">
        <v>3.75</v>
      </c>
      <c r="C36" s="110">
        <v>0.79</v>
      </c>
      <c r="D36" s="110">
        <v>3.75</v>
      </c>
      <c r="E36" s="110">
        <v>0.79</v>
      </c>
    </row>
    <row r="37" spans="1:5" x14ac:dyDescent="0.25">
      <c r="A37" s="109">
        <v>27</v>
      </c>
      <c r="B37" s="110">
        <v>3.88</v>
      </c>
      <c r="C37" s="110">
        <v>0.82</v>
      </c>
      <c r="D37" s="110">
        <v>3.88</v>
      </c>
      <c r="E37" s="110">
        <v>0.82</v>
      </c>
    </row>
    <row r="38" spans="1:5" x14ac:dyDescent="0.25">
      <c r="A38" s="109">
        <v>28</v>
      </c>
      <c r="B38" s="110">
        <v>4.01</v>
      </c>
      <c r="C38" s="110">
        <v>0.85</v>
      </c>
      <c r="D38" s="110">
        <v>4.01</v>
      </c>
      <c r="E38" s="110">
        <v>0.85</v>
      </c>
    </row>
    <row r="39" spans="1:5" x14ac:dyDescent="0.25">
      <c r="A39" s="109">
        <v>29</v>
      </c>
      <c r="B39" s="110">
        <v>4.1399999999999997</v>
      </c>
      <c r="C39" s="110">
        <v>0.89</v>
      </c>
      <c r="D39" s="110">
        <v>4.1399999999999997</v>
      </c>
      <c r="E39" s="110">
        <v>0.89</v>
      </c>
    </row>
    <row r="40" spans="1:5" x14ac:dyDescent="0.25">
      <c r="A40" s="109">
        <v>30</v>
      </c>
      <c r="B40" s="110">
        <v>4.28</v>
      </c>
      <c r="C40" s="110">
        <v>0.92</v>
      </c>
      <c r="D40" s="110">
        <v>4.28</v>
      </c>
      <c r="E40" s="110">
        <v>0.92</v>
      </c>
    </row>
    <row r="41" spans="1:5" x14ac:dyDescent="0.25">
      <c r="A41" s="109">
        <v>31</v>
      </c>
      <c r="B41" s="110">
        <v>4.43</v>
      </c>
      <c r="C41" s="110">
        <v>0.95</v>
      </c>
      <c r="D41" s="110">
        <v>4.43</v>
      </c>
      <c r="E41" s="110">
        <v>0.95</v>
      </c>
    </row>
    <row r="42" spans="1:5" x14ac:dyDescent="0.25">
      <c r="A42" s="109">
        <v>32</v>
      </c>
      <c r="B42" s="110">
        <v>4.58</v>
      </c>
      <c r="C42" s="110">
        <v>0.98</v>
      </c>
      <c r="D42" s="110">
        <v>4.58</v>
      </c>
      <c r="E42" s="110">
        <v>0.98</v>
      </c>
    </row>
    <row r="43" spans="1:5" x14ac:dyDescent="0.25">
      <c r="A43" s="109">
        <v>33</v>
      </c>
      <c r="B43" s="110">
        <v>4.7300000000000004</v>
      </c>
      <c r="C43" s="110">
        <v>1.02</v>
      </c>
      <c r="D43" s="110">
        <v>4.7300000000000004</v>
      </c>
      <c r="E43" s="110">
        <v>1.02</v>
      </c>
    </row>
    <row r="44" spans="1:5" x14ac:dyDescent="0.25">
      <c r="A44" s="109">
        <v>34</v>
      </c>
      <c r="B44" s="110">
        <v>4.8899999999999997</v>
      </c>
      <c r="C44" s="110">
        <v>1.05</v>
      </c>
      <c r="D44" s="110">
        <v>4.8899999999999997</v>
      </c>
      <c r="E44" s="110">
        <v>1.05</v>
      </c>
    </row>
    <row r="45" spans="1:5" x14ac:dyDescent="0.25">
      <c r="A45" s="109">
        <v>35</v>
      </c>
      <c r="B45" s="110">
        <v>5.0599999999999996</v>
      </c>
      <c r="C45" s="110">
        <v>1.0900000000000001</v>
      </c>
      <c r="D45" s="110">
        <v>5.0599999999999996</v>
      </c>
      <c r="E45" s="110">
        <v>1.0900000000000001</v>
      </c>
    </row>
    <row r="46" spans="1:5" x14ac:dyDescent="0.25">
      <c r="A46" s="109">
        <v>36</v>
      </c>
      <c r="B46" s="110">
        <v>5.23</v>
      </c>
      <c r="C46" s="110">
        <v>1.1299999999999999</v>
      </c>
      <c r="D46" s="110">
        <v>5.23</v>
      </c>
      <c r="E46" s="110">
        <v>1.1299999999999999</v>
      </c>
    </row>
    <row r="47" spans="1:5" x14ac:dyDescent="0.25">
      <c r="A47" s="109">
        <v>37</v>
      </c>
      <c r="B47" s="110">
        <v>5.41</v>
      </c>
      <c r="C47" s="110">
        <v>1.1599999999999999</v>
      </c>
      <c r="D47" s="110">
        <v>5.41</v>
      </c>
      <c r="E47" s="110">
        <v>1.1599999999999999</v>
      </c>
    </row>
    <row r="48" spans="1:5" x14ac:dyDescent="0.25">
      <c r="A48" s="109">
        <v>38</v>
      </c>
      <c r="B48" s="110">
        <v>5.59</v>
      </c>
      <c r="C48" s="110">
        <v>1.2</v>
      </c>
      <c r="D48" s="110">
        <v>5.59</v>
      </c>
      <c r="E48" s="110">
        <v>1.2</v>
      </c>
    </row>
    <row r="49" spans="1:5" x14ac:dyDescent="0.25">
      <c r="A49" s="109">
        <v>39</v>
      </c>
      <c r="B49" s="110">
        <v>5.78</v>
      </c>
      <c r="C49" s="110">
        <v>1.24</v>
      </c>
      <c r="D49" s="110">
        <v>5.78</v>
      </c>
      <c r="E49" s="110">
        <v>1.24</v>
      </c>
    </row>
    <row r="50" spans="1:5" x14ac:dyDescent="0.25">
      <c r="A50" s="109">
        <v>40</v>
      </c>
      <c r="B50" s="110">
        <v>5.98</v>
      </c>
      <c r="C50" s="110">
        <v>1.28</v>
      </c>
      <c r="D50" s="110">
        <v>5.98</v>
      </c>
      <c r="E50" s="110">
        <v>1.28</v>
      </c>
    </row>
    <row r="51" spans="1:5" x14ac:dyDescent="0.25">
      <c r="A51" s="109">
        <v>41</v>
      </c>
      <c r="B51" s="110">
        <v>6.18</v>
      </c>
      <c r="C51" s="110">
        <v>1.32</v>
      </c>
      <c r="D51" s="110">
        <v>6.18</v>
      </c>
      <c r="E51" s="110">
        <v>1.32</v>
      </c>
    </row>
    <row r="52" spans="1:5" x14ac:dyDescent="0.25">
      <c r="A52" s="109">
        <v>42</v>
      </c>
      <c r="B52" s="110">
        <v>6.39</v>
      </c>
      <c r="C52" s="110">
        <v>1.37</v>
      </c>
      <c r="D52" s="110">
        <v>6.39</v>
      </c>
      <c r="E52" s="110">
        <v>1.37</v>
      </c>
    </row>
    <row r="53" spans="1:5" x14ac:dyDescent="0.25">
      <c r="A53" s="109">
        <v>43</v>
      </c>
      <c r="B53" s="110">
        <v>6.61</v>
      </c>
      <c r="C53" s="110">
        <v>1.41</v>
      </c>
      <c r="D53" s="110">
        <v>6.61</v>
      </c>
      <c r="E53" s="110">
        <v>1.41</v>
      </c>
    </row>
    <row r="54" spans="1:5" x14ac:dyDescent="0.25">
      <c r="A54" s="109">
        <v>44</v>
      </c>
      <c r="B54" s="110">
        <v>6.84</v>
      </c>
      <c r="C54" s="110">
        <v>1.45</v>
      </c>
      <c r="D54" s="110">
        <v>6.84</v>
      </c>
      <c r="E54" s="110">
        <v>1.45</v>
      </c>
    </row>
    <row r="55" spans="1:5" x14ac:dyDescent="0.25">
      <c r="A55" s="109">
        <v>45</v>
      </c>
      <c r="B55" s="110">
        <v>7.08</v>
      </c>
      <c r="C55" s="110">
        <v>1.5</v>
      </c>
      <c r="D55" s="110">
        <v>7.08</v>
      </c>
      <c r="E55" s="110">
        <v>1.5</v>
      </c>
    </row>
    <row r="56" spans="1:5" x14ac:dyDescent="0.25">
      <c r="A56" s="109">
        <v>46</v>
      </c>
      <c r="B56" s="110">
        <v>7.32</v>
      </c>
      <c r="C56" s="110">
        <v>1.54</v>
      </c>
      <c r="D56" s="110">
        <v>7.32</v>
      </c>
      <c r="E56" s="110">
        <v>1.54</v>
      </c>
    </row>
    <row r="57" spans="1:5" x14ac:dyDescent="0.25">
      <c r="A57" s="109">
        <v>47</v>
      </c>
      <c r="B57" s="110">
        <v>7.57</v>
      </c>
      <c r="C57" s="110">
        <v>1.58</v>
      </c>
      <c r="D57" s="110">
        <v>7.57</v>
      </c>
      <c r="E57" s="110">
        <v>1.58</v>
      </c>
    </row>
    <row r="58" spans="1:5" x14ac:dyDescent="0.25">
      <c r="A58" s="109">
        <v>48</v>
      </c>
      <c r="B58" s="110">
        <v>7.83</v>
      </c>
      <c r="C58" s="110">
        <v>1.63</v>
      </c>
      <c r="D58" s="110">
        <v>7.83</v>
      </c>
      <c r="E58" s="110">
        <v>1.63</v>
      </c>
    </row>
    <row r="59" spans="1:5" x14ac:dyDescent="0.25">
      <c r="A59" s="109">
        <v>49</v>
      </c>
      <c r="B59" s="110">
        <v>8.11</v>
      </c>
      <c r="C59" s="110">
        <v>1.67</v>
      </c>
      <c r="D59" s="110">
        <v>8.11</v>
      </c>
      <c r="E59" s="110">
        <v>1.67</v>
      </c>
    </row>
    <row r="60" spans="1:5" x14ac:dyDescent="0.25">
      <c r="A60" s="109">
        <v>50</v>
      </c>
      <c r="B60" s="110">
        <v>8.39</v>
      </c>
      <c r="C60" s="110">
        <v>1.72</v>
      </c>
      <c r="D60" s="110">
        <v>8.39</v>
      </c>
      <c r="E60" s="110">
        <v>1.72</v>
      </c>
    </row>
    <row r="61" spans="1:5" x14ac:dyDescent="0.25">
      <c r="A61" s="109">
        <v>51</v>
      </c>
      <c r="B61" s="110">
        <v>8.68</v>
      </c>
      <c r="C61" s="110">
        <v>1.77</v>
      </c>
      <c r="D61" s="110">
        <v>8.68</v>
      </c>
      <c r="E61" s="110">
        <v>1.77</v>
      </c>
    </row>
    <row r="62" spans="1:5" x14ac:dyDescent="0.25">
      <c r="A62" s="109">
        <v>52</v>
      </c>
      <c r="B62" s="110">
        <v>8.99</v>
      </c>
      <c r="C62" s="110">
        <v>1.81</v>
      </c>
      <c r="D62" s="110">
        <v>8.99</v>
      </c>
      <c r="E62" s="110">
        <v>1.81</v>
      </c>
    </row>
    <row r="63" spans="1:5" x14ac:dyDescent="0.25">
      <c r="A63" s="109">
        <v>53</v>
      </c>
      <c r="B63" s="110">
        <v>9.31</v>
      </c>
      <c r="C63" s="110">
        <v>1.86</v>
      </c>
      <c r="D63" s="110">
        <v>9.31</v>
      </c>
      <c r="E63" s="110">
        <v>1.86</v>
      </c>
    </row>
    <row r="64" spans="1:5" x14ac:dyDescent="0.25">
      <c r="A64" s="109">
        <v>54</v>
      </c>
      <c r="B64" s="110">
        <v>9.64</v>
      </c>
      <c r="C64" s="110">
        <v>1.9</v>
      </c>
      <c r="D64" s="110">
        <v>9.64</v>
      </c>
      <c r="E64" s="110">
        <v>1.9</v>
      </c>
    </row>
    <row r="65" spans="1:5" x14ac:dyDescent="0.25">
      <c r="A65" s="109">
        <v>55</v>
      </c>
      <c r="B65" s="110">
        <v>9.99</v>
      </c>
      <c r="C65" s="110">
        <v>1.95</v>
      </c>
      <c r="D65" s="110">
        <v>9.99</v>
      </c>
      <c r="E65" s="110">
        <v>1.95</v>
      </c>
    </row>
    <row r="66" spans="1:5" x14ac:dyDescent="0.25">
      <c r="A66" s="109">
        <v>56</v>
      </c>
      <c r="B66" s="110">
        <v>10.35</v>
      </c>
      <c r="C66" s="110">
        <v>1.99</v>
      </c>
      <c r="D66" s="110">
        <v>10.35</v>
      </c>
      <c r="E66" s="110">
        <v>1.99</v>
      </c>
    </row>
    <row r="67" spans="1:5" x14ac:dyDescent="0.25">
      <c r="A67" s="109">
        <v>57</v>
      </c>
      <c r="B67" s="110">
        <v>10.72</v>
      </c>
      <c r="C67" s="110">
        <v>2.0299999999999998</v>
      </c>
      <c r="D67" s="110">
        <v>10.72</v>
      </c>
      <c r="E67" s="110">
        <v>2.0299999999999998</v>
      </c>
    </row>
    <row r="68" spans="1:5" x14ac:dyDescent="0.25">
      <c r="A68" s="109">
        <v>58</v>
      </c>
      <c r="B68" s="110">
        <v>11.12</v>
      </c>
      <c r="C68" s="110">
        <v>2.0699999999999998</v>
      </c>
      <c r="D68" s="110">
        <v>11.12</v>
      </c>
      <c r="E68" s="110">
        <v>2.0699999999999998</v>
      </c>
    </row>
    <row r="69" spans="1:5" x14ac:dyDescent="0.25">
      <c r="A69" s="109">
        <v>59</v>
      </c>
      <c r="B69" s="110">
        <v>11.53</v>
      </c>
      <c r="C69" s="110">
        <v>2.11</v>
      </c>
      <c r="D69" s="110">
        <v>11.53</v>
      </c>
      <c r="E69" s="110">
        <v>2.11</v>
      </c>
    </row>
    <row r="70" spans="1:5" x14ac:dyDescent="0.25">
      <c r="A70" s="109">
        <v>60</v>
      </c>
      <c r="B70" s="110">
        <v>11.97</v>
      </c>
      <c r="C70" s="110">
        <v>2.15</v>
      </c>
      <c r="D70" s="110">
        <v>11.97</v>
      </c>
      <c r="E70" s="110">
        <v>2.15</v>
      </c>
    </row>
    <row r="71" spans="1:5" x14ac:dyDescent="0.25">
      <c r="A71" s="109">
        <v>61</v>
      </c>
      <c r="B71" s="110">
        <v>12.43</v>
      </c>
      <c r="C71" s="110">
        <v>2.19</v>
      </c>
      <c r="D71" s="110">
        <v>12.43</v>
      </c>
      <c r="E71" s="110">
        <v>2.19</v>
      </c>
    </row>
    <row r="72" spans="1:5" x14ac:dyDescent="0.25">
      <c r="A72" s="109">
        <v>62</v>
      </c>
      <c r="B72" s="110">
        <v>12.91</v>
      </c>
      <c r="C72" s="110">
        <v>2.2200000000000002</v>
      </c>
      <c r="D72" s="110">
        <v>12.91</v>
      </c>
      <c r="E72" s="110">
        <v>2.2200000000000002</v>
      </c>
    </row>
    <row r="73" spans="1:5" x14ac:dyDescent="0.25">
      <c r="A73" s="109">
        <v>63</v>
      </c>
      <c r="B73" s="110">
        <v>13.42</v>
      </c>
      <c r="C73" s="110">
        <v>2.25</v>
      </c>
      <c r="D73" s="110">
        <v>13.42</v>
      </c>
      <c r="E73" s="110">
        <v>2.25</v>
      </c>
    </row>
    <row r="74" spans="1:5" x14ac:dyDescent="0.25">
      <c r="A74" s="109">
        <v>64</v>
      </c>
      <c r="B74" s="110">
        <v>13.96</v>
      </c>
      <c r="C74" s="110">
        <v>2.27</v>
      </c>
      <c r="D74" s="110">
        <v>13.96</v>
      </c>
      <c r="E74" s="110">
        <v>2.27</v>
      </c>
    </row>
    <row r="75" spans="1:5" x14ac:dyDescent="0.25">
      <c r="A75" s="109">
        <v>65</v>
      </c>
      <c r="B75" s="110">
        <v>14.53</v>
      </c>
      <c r="C75" s="110">
        <v>2.29</v>
      </c>
      <c r="D75" s="110">
        <v>14.53</v>
      </c>
      <c r="E75" s="110">
        <v>2.29</v>
      </c>
    </row>
    <row r="76" spans="1:5" x14ac:dyDescent="0.25">
      <c r="A76" s="109">
        <v>66</v>
      </c>
      <c r="B76" s="110">
        <v>15.14</v>
      </c>
      <c r="C76" s="110">
        <v>2.31</v>
      </c>
      <c r="D76" s="110">
        <v>15.14</v>
      </c>
      <c r="E76" s="110">
        <v>2.31</v>
      </c>
    </row>
    <row r="77" spans="1:5" x14ac:dyDescent="0.25">
      <c r="A77" s="109">
        <v>67</v>
      </c>
      <c r="B77" s="110">
        <v>15.79</v>
      </c>
      <c r="C77" s="110">
        <v>2.3199999999999998</v>
      </c>
      <c r="D77" s="110">
        <v>15.79</v>
      </c>
      <c r="E77" s="110">
        <v>2.3199999999999998</v>
      </c>
    </row>
    <row r="78" spans="1:5" x14ac:dyDescent="0.25">
      <c r="A78" s="109">
        <v>68</v>
      </c>
      <c r="B78" s="110">
        <v>15.79</v>
      </c>
      <c r="C78" s="110">
        <v>2.3199999999999998</v>
      </c>
      <c r="D78" s="110">
        <v>15.79</v>
      </c>
      <c r="E78" s="110">
        <v>2.3199999999999998</v>
      </c>
    </row>
    <row r="79" spans="1:5" x14ac:dyDescent="0.25">
      <c r="A79" s="109">
        <v>69</v>
      </c>
      <c r="B79" s="110">
        <v>15.13</v>
      </c>
      <c r="C79" s="110">
        <v>2.2999999999999998</v>
      </c>
      <c r="D79" s="110">
        <v>15.13</v>
      </c>
      <c r="E79" s="110">
        <v>2.2999999999999998</v>
      </c>
    </row>
    <row r="80" spans="1:5" x14ac:dyDescent="0.25">
      <c r="A80" s="109">
        <v>70</v>
      </c>
      <c r="B80" s="110">
        <v>14.47</v>
      </c>
      <c r="C80" s="110">
        <v>2.2799999999999998</v>
      </c>
      <c r="D80" s="110">
        <v>14.47</v>
      </c>
      <c r="E80" s="110">
        <v>2.2799999999999998</v>
      </c>
    </row>
    <row r="81" spans="1:5" x14ac:dyDescent="0.25">
      <c r="A81" s="109">
        <v>71</v>
      </c>
      <c r="B81" s="110">
        <v>13.82</v>
      </c>
      <c r="C81" s="110">
        <v>2.25</v>
      </c>
      <c r="D81" s="110">
        <v>13.82</v>
      </c>
      <c r="E81" s="110">
        <v>2.25</v>
      </c>
    </row>
    <row r="82" spans="1:5" x14ac:dyDescent="0.25">
      <c r="A82" s="109">
        <v>72</v>
      </c>
      <c r="B82" s="110">
        <v>13.19</v>
      </c>
      <c r="C82" s="110">
        <v>2.23</v>
      </c>
      <c r="D82" s="110">
        <v>13.19</v>
      </c>
      <c r="E82" s="110">
        <v>2.23</v>
      </c>
    </row>
    <row r="83" spans="1:5" x14ac:dyDescent="0.25">
      <c r="A83" s="109">
        <v>73</v>
      </c>
      <c r="B83" s="110">
        <v>12.57</v>
      </c>
      <c r="C83" s="110">
        <v>2.19</v>
      </c>
      <c r="D83" s="110">
        <v>12.57</v>
      </c>
      <c r="E83" s="110">
        <v>2.19</v>
      </c>
    </row>
    <row r="84" spans="1:5" x14ac:dyDescent="0.25">
      <c r="A84" s="109">
        <v>74</v>
      </c>
      <c r="B84" s="110">
        <v>11.96</v>
      </c>
      <c r="C84" s="110">
        <v>2.16</v>
      </c>
      <c r="D84" s="110">
        <v>11.96</v>
      </c>
      <c r="E84" s="110">
        <v>2.16</v>
      </c>
    </row>
    <row r="85" spans="1:5" x14ac:dyDescent="0.25">
      <c r="A85" s="109">
        <v>75</v>
      </c>
      <c r="B85" s="110">
        <v>11.37</v>
      </c>
      <c r="C85" s="110">
        <v>2.12</v>
      </c>
      <c r="D85" s="110">
        <v>11.37</v>
      </c>
      <c r="E85" s="110">
        <v>2.12</v>
      </c>
    </row>
  </sheetData>
  <conditionalFormatting sqref="A6:A21">
    <cfRule type="expression" dxfId="1131" priority="3" stopIfTrue="1">
      <formula>MOD(ROW(),2)=0</formula>
    </cfRule>
    <cfRule type="expression" dxfId="1130" priority="4" stopIfTrue="1">
      <formula>MOD(ROW(),2)&lt;&gt;0</formula>
    </cfRule>
  </conditionalFormatting>
  <conditionalFormatting sqref="A26:A85">
    <cfRule type="expression" dxfId="1129" priority="7" stopIfTrue="1">
      <formula>MOD(ROW(),2)=0</formula>
    </cfRule>
    <cfRule type="expression" dxfId="1128" priority="8" stopIfTrue="1">
      <formula>MOD(ROW(),2)&lt;&gt;0</formula>
    </cfRule>
  </conditionalFormatting>
  <conditionalFormatting sqref="B12">
    <cfRule type="expression" dxfId="1127" priority="15" stopIfTrue="1">
      <formula>MOD(ROW(),2)=0</formula>
    </cfRule>
    <cfRule type="expression" dxfId="1126" priority="16" stopIfTrue="1">
      <formula>MOD(ROW(),2)&lt;&gt;0</formula>
    </cfRule>
  </conditionalFormatting>
  <conditionalFormatting sqref="B17:B21">
    <cfRule type="expression" dxfId="1125" priority="1" stopIfTrue="1">
      <formula>MOD(ROW(),2)=0</formula>
    </cfRule>
    <cfRule type="expression" dxfId="1124" priority="2" stopIfTrue="1">
      <formula>MOD(ROW(),2)&lt;&gt;0</formula>
    </cfRule>
  </conditionalFormatting>
  <conditionalFormatting sqref="B6:E6 C7:E7 B8:E11 C12:E12 B13:E16 C17:E21">
    <cfRule type="expression" dxfId="1123" priority="39" stopIfTrue="1">
      <formula>MOD(ROW(),2)=0</formula>
    </cfRule>
    <cfRule type="expression" dxfId="1122" priority="40" stopIfTrue="1">
      <formula>MOD(ROW(),2)&lt;&gt;0</formula>
    </cfRule>
  </conditionalFormatting>
  <conditionalFormatting sqref="B6:E21">
    <cfRule type="expression" dxfId="1121" priority="27" stopIfTrue="1">
      <formula>MOD(ROW(),2)=0</formula>
    </cfRule>
    <cfRule type="expression" dxfId="1120" priority="28" stopIfTrue="1">
      <formula>MOD(ROW(),2)&lt;&gt;0</formula>
    </cfRule>
  </conditionalFormatting>
  <conditionalFormatting sqref="B26:E85">
    <cfRule type="expression" dxfId="1119" priority="9" stopIfTrue="1">
      <formula>MOD(ROW(),2)=0</formula>
    </cfRule>
    <cfRule type="expression" dxfId="1118" priority="10" stopIfTrue="1">
      <formula>MOD(ROW(),2)&lt;&gt;0</formula>
    </cfRule>
  </conditionalFormatting>
  <hyperlinks>
    <hyperlink ref="B24" location="Assumptions!A1" display="Assumptions" xr:uid="{89BC1086-F757-4F84-9FD1-E65B3B2EE62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4"/>
  <dimension ref="A1:I85"/>
  <sheetViews>
    <sheetView workbookViewId="0"/>
  </sheetViews>
  <sheetFormatPr defaultColWidth="10" defaultRowHeight="12.5" x14ac:dyDescent="0.25"/>
  <cols>
    <col min="1" max="1" width="31.54296875" style="28" customWidth="1"/>
    <col min="2" max="9" width="22.54296875" style="28" customWidth="1"/>
    <col min="10"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CETV - x-206</v>
      </c>
      <c r="B3" s="56"/>
      <c r="C3" s="56"/>
      <c r="D3" s="56"/>
      <c r="E3" s="56"/>
      <c r="F3" s="56"/>
      <c r="G3" s="56"/>
      <c r="H3" s="56"/>
      <c r="I3" s="56"/>
    </row>
    <row r="4" spans="1:9" x14ac:dyDescent="0.25">
      <c r="A4" s="58"/>
    </row>
    <row r="6" spans="1:9" ht="13" x14ac:dyDescent="0.3">
      <c r="A6" s="86" t="s">
        <v>716</v>
      </c>
      <c r="B6" s="111" t="s">
        <v>717</v>
      </c>
      <c r="C6" s="111"/>
      <c r="D6" s="111"/>
      <c r="E6" s="111"/>
      <c r="F6" s="111"/>
      <c r="G6" s="111"/>
      <c r="H6" s="111"/>
      <c r="I6" s="111"/>
    </row>
    <row r="7" spans="1:9" x14ac:dyDescent="0.25">
      <c r="A7" s="87" t="s">
        <v>797</v>
      </c>
      <c r="B7" s="111" t="s">
        <v>326</v>
      </c>
      <c r="C7" s="111"/>
      <c r="D7" s="111"/>
      <c r="E7" s="111"/>
      <c r="F7" s="111"/>
      <c r="G7" s="111"/>
      <c r="H7" s="111"/>
      <c r="I7" s="111"/>
    </row>
    <row r="8" spans="1:9" x14ac:dyDescent="0.25">
      <c r="A8" s="87" t="s">
        <v>798</v>
      </c>
      <c r="B8" s="111" t="s">
        <v>327</v>
      </c>
      <c r="C8" s="111"/>
      <c r="D8" s="111"/>
      <c r="E8" s="111"/>
      <c r="F8" s="111"/>
      <c r="G8" s="111"/>
      <c r="H8" s="111"/>
      <c r="I8" s="111"/>
    </row>
    <row r="9" spans="1:9" x14ac:dyDescent="0.25">
      <c r="A9" s="87" t="s">
        <v>300</v>
      </c>
      <c r="B9" s="111" t="s">
        <v>332</v>
      </c>
      <c r="C9" s="111"/>
      <c r="D9" s="111"/>
      <c r="E9" s="111"/>
      <c r="F9" s="111"/>
      <c r="G9" s="111"/>
      <c r="H9" s="111"/>
      <c r="I9" s="111"/>
    </row>
    <row r="10" spans="1:9" x14ac:dyDescent="0.25">
      <c r="A10" s="87" t="s">
        <v>6</v>
      </c>
      <c r="B10" s="111" t="s">
        <v>350</v>
      </c>
      <c r="C10" s="111"/>
      <c r="D10" s="111"/>
      <c r="E10" s="111"/>
      <c r="F10" s="111"/>
      <c r="G10" s="111"/>
      <c r="H10" s="111"/>
      <c r="I10" s="111"/>
    </row>
    <row r="11" spans="1:9" x14ac:dyDescent="0.25">
      <c r="A11" s="87" t="s">
        <v>301</v>
      </c>
      <c r="B11" s="111" t="s">
        <v>334</v>
      </c>
      <c r="C11" s="111"/>
      <c r="D11" s="111"/>
      <c r="E11" s="111"/>
      <c r="F11" s="111"/>
      <c r="G11" s="111"/>
      <c r="H11" s="111"/>
      <c r="I11" s="111"/>
    </row>
    <row r="12" spans="1:9" x14ac:dyDescent="0.25">
      <c r="A12" s="87" t="s">
        <v>302</v>
      </c>
      <c r="B12" s="111" t="s">
        <v>335</v>
      </c>
      <c r="C12" s="111"/>
      <c r="D12" s="111"/>
      <c r="E12" s="111"/>
      <c r="F12" s="111"/>
      <c r="G12" s="111"/>
      <c r="H12" s="111"/>
      <c r="I12" s="111"/>
    </row>
    <row r="13" spans="1:9" x14ac:dyDescent="0.25">
      <c r="A13" s="87" t="s">
        <v>724</v>
      </c>
      <c r="B13" s="111">
        <v>1</v>
      </c>
      <c r="C13" s="111"/>
      <c r="D13" s="111"/>
      <c r="E13" s="111"/>
      <c r="F13" s="111"/>
      <c r="G13" s="111"/>
      <c r="H13" s="111"/>
      <c r="I13" s="111"/>
    </row>
    <row r="14" spans="1:9" x14ac:dyDescent="0.25">
      <c r="A14" s="87" t="s">
        <v>304</v>
      </c>
      <c r="B14" s="111">
        <v>206</v>
      </c>
      <c r="C14" s="111"/>
      <c r="D14" s="111"/>
      <c r="E14" s="111"/>
      <c r="F14" s="111"/>
      <c r="G14" s="111"/>
      <c r="H14" s="111"/>
      <c r="I14" s="111"/>
    </row>
    <row r="15" spans="1:9" x14ac:dyDescent="0.25">
      <c r="A15" s="87" t="s">
        <v>727</v>
      </c>
      <c r="B15" s="111" t="s">
        <v>351</v>
      </c>
      <c r="C15" s="111"/>
      <c r="D15" s="111"/>
      <c r="E15" s="111"/>
      <c r="F15" s="111"/>
      <c r="G15" s="111"/>
      <c r="H15" s="111"/>
      <c r="I15" s="111"/>
    </row>
    <row r="16" spans="1:9" x14ac:dyDescent="0.25">
      <c r="A16" s="87" t="s">
        <v>306</v>
      </c>
      <c r="B16" s="111" t="s">
        <v>352</v>
      </c>
      <c r="C16" s="111"/>
      <c r="D16" s="111"/>
      <c r="E16" s="111"/>
      <c r="F16" s="111"/>
      <c r="G16" s="111"/>
      <c r="H16" s="111"/>
      <c r="I16" s="111"/>
    </row>
    <row r="17" spans="1:9" ht="30.65" customHeight="1" x14ac:dyDescent="0.25">
      <c r="A17" s="87" t="s">
        <v>800</v>
      </c>
      <c r="B17" s="111"/>
      <c r="C17" s="111"/>
      <c r="D17" s="111"/>
      <c r="E17" s="111"/>
      <c r="F17" s="111"/>
      <c r="G17" s="111"/>
      <c r="H17" s="111"/>
      <c r="I17" s="111"/>
    </row>
    <row r="18" spans="1:9" x14ac:dyDescent="0.25">
      <c r="A18" s="87" t="s">
        <v>308</v>
      </c>
      <c r="B18" s="122">
        <v>45071</v>
      </c>
      <c r="C18" s="111"/>
      <c r="D18" s="111"/>
      <c r="E18" s="111"/>
      <c r="F18" s="111"/>
      <c r="G18" s="111"/>
      <c r="H18" s="111"/>
      <c r="I18" s="111"/>
    </row>
    <row r="19" spans="1:9" x14ac:dyDescent="0.25">
      <c r="A19" s="87" t="s">
        <v>309</v>
      </c>
      <c r="B19" s="122">
        <v>45014</v>
      </c>
      <c r="C19" s="111"/>
      <c r="D19" s="111"/>
      <c r="E19" s="111"/>
      <c r="F19" s="111"/>
      <c r="G19" s="111"/>
      <c r="H19" s="111"/>
      <c r="I19" s="111"/>
    </row>
    <row r="20" spans="1:9" x14ac:dyDescent="0.25">
      <c r="A20" s="87" t="s">
        <v>310</v>
      </c>
      <c r="B20" s="111" t="s">
        <v>324</v>
      </c>
      <c r="C20" s="111"/>
      <c r="D20" s="111"/>
      <c r="E20" s="111"/>
      <c r="F20" s="111"/>
      <c r="G20" s="111"/>
      <c r="H20" s="111"/>
      <c r="I20" s="111"/>
    </row>
    <row r="21" spans="1:9" x14ac:dyDescent="0.25">
      <c r="A21" s="87" t="s">
        <v>311</v>
      </c>
      <c r="B21" s="111" t="s">
        <v>325</v>
      </c>
      <c r="C21" s="111"/>
      <c r="D21" s="111"/>
      <c r="E21" s="111"/>
      <c r="F21" s="111"/>
      <c r="G21" s="111"/>
      <c r="H21" s="111"/>
      <c r="I21" s="111"/>
    </row>
    <row r="23" spans="1:9" x14ac:dyDescent="0.25">
      <c r="B23" s="104" t="str">
        <f>HYPERLINK("#'Factor List'!A1","Back to Factor List")</f>
        <v>Back to Factor List</v>
      </c>
    </row>
    <row r="24" spans="1:9" x14ac:dyDescent="0.25">
      <c r="B24" s="104" t="s">
        <v>13</v>
      </c>
    </row>
    <row r="26" spans="1:9" ht="26" x14ac:dyDescent="0.25">
      <c r="A26" s="108" t="s">
        <v>534</v>
      </c>
      <c r="B26" s="108" t="s">
        <v>803</v>
      </c>
      <c r="C26" s="108" t="s">
        <v>807</v>
      </c>
      <c r="D26" s="108" t="s">
        <v>808</v>
      </c>
      <c r="E26" s="108" t="s">
        <v>804</v>
      </c>
      <c r="F26" s="108" t="s">
        <v>805</v>
      </c>
      <c r="G26" s="108" t="s">
        <v>809</v>
      </c>
      <c r="H26" s="108" t="s">
        <v>810</v>
      </c>
      <c r="I26" s="108" t="s">
        <v>806</v>
      </c>
    </row>
    <row r="27" spans="1:9" x14ac:dyDescent="0.25">
      <c r="A27" s="109">
        <v>17</v>
      </c>
      <c r="B27" s="110">
        <v>11.03</v>
      </c>
      <c r="C27" s="110">
        <v>0</v>
      </c>
      <c r="D27" s="110">
        <v>0.49</v>
      </c>
      <c r="E27" s="110">
        <v>1.4</v>
      </c>
      <c r="F27" s="110">
        <v>11.03</v>
      </c>
      <c r="G27" s="110">
        <v>0</v>
      </c>
      <c r="H27" s="110">
        <v>0.49</v>
      </c>
      <c r="I27" s="110">
        <v>1.4</v>
      </c>
    </row>
    <row r="28" spans="1:9" x14ac:dyDescent="0.25">
      <c r="A28" s="109">
        <v>18</v>
      </c>
      <c r="B28" s="110">
        <v>11.19</v>
      </c>
      <c r="C28" s="110">
        <v>0</v>
      </c>
      <c r="D28" s="110">
        <v>0.5</v>
      </c>
      <c r="E28" s="110">
        <v>1.48</v>
      </c>
      <c r="F28" s="110">
        <v>11.19</v>
      </c>
      <c r="G28" s="110">
        <v>0</v>
      </c>
      <c r="H28" s="110">
        <v>0.5</v>
      </c>
      <c r="I28" s="110">
        <v>1.48</v>
      </c>
    </row>
    <row r="29" spans="1:9" x14ac:dyDescent="0.25">
      <c r="A29" s="109">
        <v>19</v>
      </c>
      <c r="B29" s="110">
        <v>11.35</v>
      </c>
      <c r="C29" s="110">
        <v>0</v>
      </c>
      <c r="D29" s="110">
        <v>0.51</v>
      </c>
      <c r="E29" s="110">
        <v>1.54</v>
      </c>
      <c r="F29" s="110">
        <v>11.35</v>
      </c>
      <c r="G29" s="110">
        <v>0</v>
      </c>
      <c r="H29" s="110">
        <v>0.51</v>
      </c>
      <c r="I29" s="110">
        <v>1.54</v>
      </c>
    </row>
    <row r="30" spans="1:9" x14ac:dyDescent="0.25">
      <c r="A30" s="109">
        <v>20</v>
      </c>
      <c r="B30" s="110">
        <v>11.52</v>
      </c>
      <c r="C30" s="110">
        <v>0</v>
      </c>
      <c r="D30" s="110">
        <v>0.51</v>
      </c>
      <c r="E30" s="110">
        <v>1.57</v>
      </c>
      <c r="F30" s="110">
        <v>11.52</v>
      </c>
      <c r="G30" s="110">
        <v>0</v>
      </c>
      <c r="H30" s="110">
        <v>0.51</v>
      </c>
      <c r="I30" s="110">
        <v>1.57</v>
      </c>
    </row>
    <row r="31" spans="1:9" x14ac:dyDescent="0.25">
      <c r="A31" s="109">
        <v>21</v>
      </c>
      <c r="B31" s="110">
        <v>11.68</v>
      </c>
      <c r="C31" s="110">
        <v>0</v>
      </c>
      <c r="D31" s="110">
        <v>0.52</v>
      </c>
      <c r="E31" s="110">
        <v>1.6</v>
      </c>
      <c r="F31" s="110">
        <v>11.68</v>
      </c>
      <c r="G31" s="110">
        <v>0</v>
      </c>
      <c r="H31" s="110">
        <v>0.52</v>
      </c>
      <c r="I31" s="110">
        <v>1.6</v>
      </c>
    </row>
    <row r="32" spans="1:9" x14ac:dyDescent="0.25">
      <c r="A32" s="109">
        <v>22</v>
      </c>
      <c r="B32" s="110">
        <v>11.85</v>
      </c>
      <c r="C32" s="110">
        <v>0</v>
      </c>
      <c r="D32" s="110">
        <v>0.53</v>
      </c>
      <c r="E32" s="110">
        <v>1.62</v>
      </c>
      <c r="F32" s="110">
        <v>11.85</v>
      </c>
      <c r="G32" s="110">
        <v>0</v>
      </c>
      <c r="H32" s="110">
        <v>0.53</v>
      </c>
      <c r="I32" s="110">
        <v>1.62</v>
      </c>
    </row>
    <row r="33" spans="1:9" x14ac:dyDescent="0.25">
      <c r="A33" s="109">
        <v>23</v>
      </c>
      <c r="B33" s="110">
        <v>12.03</v>
      </c>
      <c r="C33" s="110">
        <v>0</v>
      </c>
      <c r="D33" s="110">
        <v>0.54</v>
      </c>
      <c r="E33" s="110">
        <v>1.65</v>
      </c>
      <c r="F33" s="110">
        <v>12.03</v>
      </c>
      <c r="G33" s="110">
        <v>0</v>
      </c>
      <c r="H33" s="110">
        <v>0.54</v>
      </c>
      <c r="I33" s="110">
        <v>1.65</v>
      </c>
    </row>
    <row r="34" spans="1:9" x14ac:dyDescent="0.25">
      <c r="A34" s="109">
        <v>24</v>
      </c>
      <c r="B34" s="110">
        <v>12.2</v>
      </c>
      <c r="C34" s="110">
        <v>0</v>
      </c>
      <c r="D34" s="110">
        <v>0.55000000000000004</v>
      </c>
      <c r="E34" s="110">
        <v>1.68</v>
      </c>
      <c r="F34" s="110">
        <v>12.2</v>
      </c>
      <c r="G34" s="110">
        <v>0</v>
      </c>
      <c r="H34" s="110">
        <v>0.55000000000000004</v>
      </c>
      <c r="I34" s="110">
        <v>1.68</v>
      </c>
    </row>
    <row r="35" spans="1:9" x14ac:dyDescent="0.25">
      <c r="A35" s="109">
        <v>25</v>
      </c>
      <c r="B35" s="110">
        <v>12.38</v>
      </c>
      <c r="C35" s="110">
        <v>0</v>
      </c>
      <c r="D35" s="110">
        <v>0.56000000000000005</v>
      </c>
      <c r="E35" s="110">
        <v>1.71</v>
      </c>
      <c r="F35" s="110">
        <v>12.38</v>
      </c>
      <c r="G35" s="110">
        <v>0</v>
      </c>
      <c r="H35" s="110">
        <v>0.56000000000000005</v>
      </c>
      <c r="I35" s="110">
        <v>1.71</v>
      </c>
    </row>
    <row r="36" spans="1:9" x14ac:dyDescent="0.25">
      <c r="A36" s="109">
        <v>26</v>
      </c>
      <c r="B36" s="110">
        <v>12.56</v>
      </c>
      <c r="C36" s="110">
        <v>0</v>
      </c>
      <c r="D36" s="110">
        <v>0.56999999999999995</v>
      </c>
      <c r="E36" s="110">
        <v>1.73</v>
      </c>
      <c r="F36" s="110">
        <v>12.56</v>
      </c>
      <c r="G36" s="110">
        <v>0</v>
      </c>
      <c r="H36" s="110">
        <v>0.56999999999999995</v>
      </c>
      <c r="I36" s="110">
        <v>1.73</v>
      </c>
    </row>
    <row r="37" spans="1:9" x14ac:dyDescent="0.25">
      <c r="A37" s="109">
        <v>27</v>
      </c>
      <c r="B37" s="110">
        <v>12.74</v>
      </c>
      <c r="C37" s="110">
        <v>0</v>
      </c>
      <c r="D37" s="110">
        <v>0.57999999999999996</v>
      </c>
      <c r="E37" s="110">
        <v>1.76</v>
      </c>
      <c r="F37" s="110">
        <v>12.74</v>
      </c>
      <c r="G37" s="110">
        <v>0</v>
      </c>
      <c r="H37" s="110">
        <v>0.57999999999999996</v>
      </c>
      <c r="I37" s="110">
        <v>1.76</v>
      </c>
    </row>
    <row r="38" spans="1:9" x14ac:dyDescent="0.25">
      <c r="A38" s="109">
        <v>28</v>
      </c>
      <c r="B38" s="110">
        <v>12.92</v>
      </c>
      <c r="C38" s="110">
        <v>0</v>
      </c>
      <c r="D38" s="110">
        <v>0.59</v>
      </c>
      <c r="E38" s="110">
        <v>1.79</v>
      </c>
      <c r="F38" s="110">
        <v>12.92</v>
      </c>
      <c r="G38" s="110">
        <v>0</v>
      </c>
      <c r="H38" s="110">
        <v>0.59</v>
      </c>
      <c r="I38" s="110">
        <v>1.79</v>
      </c>
    </row>
    <row r="39" spans="1:9" x14ac:dyDescent="0.25">
      <c r="A39" s="109">
        <v>29</v>
      </c>
      <c r="B39" s="110">
        <v>13.11</v>
      </c>
      <c r="C39" s="110">
        <v>0</v>
      </c>
      <c r="D39" s="110">
        <v>0.6</v>
      </c>
      <c r="E39" s="110">
        <v>1.82</v>
      </c>
      <c r="F39" s="110">
        <v>13.11</v>
      </c>
      <c r="G39" s="110">
        <v>0</v>
      </c>
      <c r="H39" s="110">
        <v>0.6</v>
      </c>
      <c r="I39" s="110">
        <v>1.82</v>
      </c>
    </row>
    <row r="40" spans="1:9" x14ac:dyDescent="0.25">
      <c r="A40" s="109">
        <v>30</v>
      </c>
      <c r="B40" s="110">
        <v>13.3</v>
      </c>
      <c r="C40" s="110">
        <v>0</v>
      </c>
      <c r="D40" s="110">
        <v>0.61</v>
      </c>
      <c r="E40" s="110">
        <v>1.84</v>
      </c>
      <c r="F40" s="110">
        <v>13.3</v>
      </c>
      <c r="G40" s="110">
        <v>0</v>
      </c>
      <c r="H40" s="110">
        <v>0.61</v>
      </c>
      <c r="I40" s="110">
        <v>1.84</v>
      </c>
    </row>
    <row r="41" spans="1:9" x14ac:dyDescent="0.25">
      <c r="A41" s="109">
        <v>31</v>
      </c>
      <c r="B41" s="110">
        <v>13.49</v>
      </c>
      <c r="C41" s="110">
        <v>0</v>
      </c>
      <c r="D41" s="110">
        <v>0.62</v>
      </c>
      <c r="E41" s="110">
        <v>1.87</v>
      </c>
      <c r="F41" s="110">
        <v>13.49</v>
      </c>
      <c r="G41" s="110">
        <v>0</v>
      </c>
      <c r="H41" s="110">
        <v>0.62</v>
      </c>
      <c r="I41" s="110">
        <v>1.87</v>
      </c>
    </row>
    <row r="42" spans="1:9" x14ac:dyDescent="0.25">
      <c r="A42" s="109">
        <v>32</v>
      </c>
      <c r="B42" s="110">
        <v>13.69</v>
      </c>
      <c r="C42" s="110">
        <v>0</v>
      </c>
      <c r="D42" s="110">
        <v>0.63</v>
      </c>
      <c r="E42" s="110">
        <v>1.9</v>
      </c>
      <c r="F42" s="110">
        <v>13.69</v>
      </c>
      <c r="G42" s="110">
        <v>0</v>
      </c>
      <c r="H42" s="110">
        <v>0.63</v>
      </c>
      <c r="I42" s="110">
        <v>1.9</v>
      </c>
    </row>
    <row r="43" spans="1:9" x14ac:dyDescent="0.25">
      <c r="A43" s="109">
        <v>33</v>
      </c>
      <c r="B43" s="110">
        <v>13.89</v>
      </c>
      <c r="C43" s="110">
        <v>0</v>
      </c>
      <c r="D43" s="110">
        <v>0.64</v>
      </c>
      <c r="E43" s="110">
        <v>1.92</v>
      </c>
      <c r="F43" s="110">
        <v>13.89</v>
      </c>
      <c r="G43" s="110">
        <v>0</v>
      </c>
      <c r="H43" s="110">
        <v>0.64</v>
      </c>
      <c r="I43" s="110">
        <v>1.92</v>
      </c>
    </row>
    <row r="44" spans="1:9" x14ac:dyDescent="0.25">
      <c r="A44" s="109">
        <v>34</v>
      </c>
      <c r="B44" s="110">
        <v>14.1</v>
      </c>
      <c r="C44" s="110">
        <v>0</v>
      </c>
      <c r="D44" s="110">
        <v>0.65</v>
      </c>
      <c r="E44" s="110">
        <v>1.95</v>
      </c>
      <c r="F44" s="110">
        <v>14.1</v>
      </c>
      <c r="G44" s="110">
        <v>0</v>
      </c>
      <c r="H44" s="110">
        <v>0.65</v>
      </c>
      <c r="I44" s="110">
        <v>1.95</v>
      </c>
    </row>
    <row r="45" spans="1:9" x14ac:dyDescent="0.25">
      <c r="A45" s="109">
        <v>35</v>
      </c>
      <c r="B45" s="110">
        <v>14.3</v>
      </c>
      <c r="C45" s="110">
        <v>0</v>
      </c>
      <c r="D45" s="110">
        <v>0.66</v>
      </c>
      <c r="E45" s="110">
        <v>1.98</v>
      </c>
      <c r="F45" s="110">
        <v>14.3</v>
      </c>
      <c r="G45" s="110">
        <v>0</v>
      </c>
      <c r="H45" s="110">
        <v>0.66</v>
      </c>
      <c r="I45" s="110">
        <v>1.98</v>
      </c>
    </row>
    <row r="46" spans="1:9" x14ac:dyDescent="0.25">
      <c r="A46" s="109">
        <v>36</v>
      </c>
      <c r="B46" s="110">
        <v>14.51</v>
      </c>
      <c r="C46" s="110">
        <v>0</v>
      </c>
      <c r="D46" s="110">
        <v>0.67</v>
      </c>
      <c r="E46" s="110">
        <v>2</v>
      </c>
      <c r="F46" s="110">
        <v>14.51</v>
      </c>
      <c r="G46" s="110">
        <v>0</v>
      </c>
      <c r="H46" s="110">
        <v>0.67</v>
      </c>
      <c r="I46" s="110">
        <v>2</v>
      </c>
    </row>
    <row r="47" spans="1:9" x14ac:dyDescent="0.25">
      <c r="A47" s="109">
        <v>37</v>
      </c>
      <c r="B47" s="110">
        <v>14.73</v>
      </c>
      <c r="C47" s="110">
        <v>0</v>
      </c>
      <c r="D47" s="110">
        <v>0.68</v>
      </c>
      <c r="E47" s="110">
        <v>2.0299999999999998</v>
      </c>
      <c r="F47" s="110">
        <v>14.73</v>
      </c>
      <c r="G47" s="110">
        <v>0</v>
      </c>
      <c r="H47" s="110">
        <v>0.68</v>
      </c>
      <c r="I47" s="110">
        <v>2.0299999999999998</v>
      </c>
    </row>
    <row r="48" spans="1:9" x14ac:dyDescent="0.25">
      <c r="A48" s="109">
        <v>38</v>
      </c>
      <c r="B48" s="110">
        <v>14.95</v>
      </c>
      <c r="C48" s="110">
        <v>0</v>
      </c>
      <c r="D48" s="110">
        <v>0.7</v>
      </c>
      <c r="E48" s="110">
        <v>2.0499999999999998</v>
      </c>
      <c r="F48" s="110">
        <v>14.95</v>
      </c>
      <c r="G48" s="110">
        <v>0</v>
      </c>
      <c r="H48" s="110">
        <v>0.7</v>
      </c>
      <c r="I48" s="110">
        <v>2.0499999999999998</v>
      </c>
    </row>
    <row r="49" spans="1:9" x14ac:dyDescent="0.25">
      <c r="A49" s="109">
        <v>39</v>
      </c>
      <c r="B49" s="110">
        <v>15.17</v>
      </c>
      <c r="C49" s="110">
        <v>0</v>
      </c>
      <c r="D49" s="110">
        <v>0.71</v>
      </c>
      <c r="E49" s="110">
        <v>2.08</v>
      </c>
      <c r="F49" s="110">
        <v>15.17</v>
      </c>
      <c r="G49" s="110">
        <v>0</v>
      </c>
      <c r="H49" s="110">
        <v>0.71</v>
      </c>
      <c r="I49" s="110">
        <v>2.08</v>
      </c>
    </row>
    <row r="50" spans="1:9" x14ac:dyDescent="0.25">
      <c r="A50" s="109">
        <v>40</v>
      </c>
      <c r="B50" s="110">
        <v>15.39</v>
      </c>
      <c r="C50" s="110">
        <v>0</v>
      </c>
      <c r="D50" s="110">
        <v>0.72</v>
      </c>
      <c r="E50" s="110">
        <v>2.1</v>
      </c>
      <c r="F50" s="110">
        <v>15.39</v>
      </c>
      <c r="G50" s="110">
        <v>0</v>
      </c>
      <c r="H50" s="110">
        <v>0.72</v>
      </c>
      <c r="I50" s="110">
        <v>2.1</v>
      </c>
    </row>
    <row r="51" spans="1:9" x14ac:dyDescent="0.25">
      <c r="A51" s="109">
        <v>41</v>
      </c>
      <c r="B51" s="110">
        <v>15.62</v>
      </c>
      <c r="C51" s="110">
        <v>0</v>
      </c>
      <c r="D51" s="110">
        <v>0.73</v>
      </c>
      <c r="E51" s="110">
        <v>2.13</v>
      </c>
      <c r="F51" s="110">
        <v>15.62</v>
      </c>
      <c r="G51" s="110">
        <v>0</v>
      </c>
      <c r="H51" s="110">
        <v>0.73</v>
      </c>
      <c r="I51" s="110">
        <v>2.13</v>
      </c>
    </row>
    <row r="52" spans="1:9" x14ac:dyDescent="0.25">
      <c r="A52" s="109">
        <v>42</v>
      </c>
      <c r="B52" s="110">
        <v>15.86</v>
      </c>
      <c r="C52" s="110">
        <v>0</v>
      </c>
      <c r="D52" s="110">
        <v>0.74</v>
      </c>
      <c r="E52" s="110">
        <v>2.15</v>
      </c>
      <c r="F52" s="110">
        <v>15.86</v>
      </c>
      <c r="G52" s="110">
        <v>0</v>
      </c>
      <c r="H52" s="110">
        <v>0.74</v>
      </c>
      <c r="I52" s="110">
        <v>2.15</v>
      </c>
    </row>
    <row r="53" spans="1:9" x14ac:dyDescent="0.25">
      <c r="A53" s="109">
        <v>43</v>
      </c>
      <c r="B53" s="110">
        <v>16.100000000000001</v>
      </c>
      <c r="C53" s="110">
        <v>0</v>
      </c>
      <c r="D53" s="110">
        <v>0.76</v>
      </c>
      <c r="E53" s="110">
        <v>2.17</v>
      </c>
      <c r="F53" s="110">
        <v>16.100000000000001</v>
      </c>
      <c r="G53" s="110">
        <v>0</v>
      </c>
      <c r="H53" s="110">
        <v>0.76</v>
      </c>
      <c r="I53" s="110">
        <v>2.17</v>
      </c>
    </row>
    <row r="54" spans="1:9" x14ac:dyDescent="0.25">
      <c r="A54" s="109">
        <v>44</v>
      </c>
      <c r="B54" s="110">
        <v>16.34</v>
      </c>
      <c r="C54" s="110">
        <v>0</v>
      </c>
      <c r="D54" s="110">
        <v>0.77</v>
      </c>
      <c r="E54" s="110">
        <v>2.19</v>
      </c>
      <c r="F54" s="110">
        <v>16.34</v>
      </c>
      <c r="G54" s="110">
        <v>0</v>
      </c>
      <c r="H54" s="110">
        <v>0.77</v>
      </c>
      <c r="I54" s="110">
        <v>2.19</v>
      </c>
    </row>
    <row r="55" spans="1:9" x14ac:dyDescent="0.25">
      <c r="A55" s="109">
        <v>45</v>
      </c>
      <c r="B55" s="110">
        <v>16.59</v>
      </c>
      <c r="C55" s="110">
        <v>0</v>
      </c>
      <c r="D55" s="110">
        <v>0.78</v>
      </c>
      <c r="E55" s="110">
        <v>2.21</v>
      </c>
      <c r="F55" s="110">
        <v>16.59</v>
      </c>
      <c r="G55" s="110">
        <v>0</v>
      </c>
      <c r="H55" s="110">
        <v>0.78</v>
      </c>
      <c r="I55" s="110">
        <v>2.21</v>
      </c>
    </row>
    <row r="56" spans="1:9" x14ac:dyDescent="0.25">
      <c r="A56" s="109">
        <v>46</v>
      </c>
      <c r="B56" s="110">
        <v>16.850000000000001</v>
      </c>
      <c r="C56" s="110">
        <v>0</v>
      </c>
      <c r="D56" s="110">
        <v>0.8</v>
      </c>
      <c r="E56" s="110">
        <v>2.23</v>
      </c>
      <c r="F56" s="110">
        <v>16.850000000000001</v>
      </c>
      <c r="G56" s="110">
        <v>0</v>
      </c>
      <c r="H56" s="110">
        <v>0.8</v>
      </c>
      <c r="I56" s="110">
        <v>2.23</v>
      </c>
    </row>
    <row r="57" spans="1:9" x14ac:dyDescent="0.25">
      <c r="A57" s="109">
        <v>47</v>
      </c>
      <c r="B57" s="110">
        <v>17.11</v>
      </c>
      <c r="C57" s="110">
        <v>0</v>
      </c>
      <c r="D57" s="110">
        <v>0.81</v>
      </c>
      <c r="E57" s="110">
        <v>2.25</v>
      </c>
      <c r="F57" s="110">
        <v>17.11</v>
      </c>
      <c r="G57" s="110">
        <v>0</v>
      </c>
      <c r="H57" s="110">
        <v>0.81</v>
      </c>
      <c r="I57" s="110">
        <v>2.25</v>
      </c>
    </row>
    <row r="58" spans="1:9" x14ac:dyDescent="0.25">
      <c r="A58" s="109">
        <v>48</v>
      </c>
      <c r="B58" s="110">
        <v>17.37</v>
      </c>
      <c r="C58" s="110">
        <v>0</v>
      </c>
      <c r="D58" s="110">
        <v>0.82</v>
      </c>
      <c r="E58" s="110">
        <v>2.27</v>
      </c>
      <c r="F58" s="110">
        <v>17.37</v>
      </c>
      <c r="G58" s="110">
        <v>0</v>
      </c>
      <c r="H58" s="110">
        <v>0.82</v>
      </c>
      <c r="I58" s="110">
        <v>2.27</v>
      </c>
    </row>
    <row r="59" spans="1:9" x14ac:dyDescent="0.25">
      <c r="A59" s="109">
        <v>49</v>
      </c>
      <c r="B59" s="110">
        <v>17.649999999999999</v>
      </c>
      <c r="C59" s="110">
        <v>0</v>
      </c>
      <c r="D59" s="110">
        <v>0.84</v>
      </c>
      <c r="E59" s="110">
        <v>2.29</v>
      </c>
      <c r="F59" s="110">
        <v>17.649999999999999</v>
      </c>
      <c r="G59" s="110">
        <v>0</v>
      </c>
      <c r="H59" s="110">
        <v>0.84</v>
      </c>
      <c r="I59" s="110">
        <v>2.29</v>
      </c>
    </row>
    <row r="60" spans="1:9" x14ac:dyDescent="0.25">
      <c r="A60" s="109">
        <v>50</v>
      </c>
      <c r="B60" s="110">
        <v>17.93</v>
      </c>
      <c r="C60" s="110">
        <v>0</v>
      </c>
      <c r="D60" s="110">
        <v>0.85</v>
      </c>
      <c r="E60" s="110">
        <v>2.2999999999999998</v>
      </c>
      <c r="F60" s="110">
        <v>17.93</v>
      </c>
      <c r="G60" s="110">
        <v>0</v>
      </c>
      <c r="H60" s="110">
        <v>0.85</v>
      </c>
      <c r="I60" s="110">
        <v>2.2999999999999998</v>
      </c>
    </row>
    <row r="61" spans="1:9" x14ac:dyDescent="0.25">
      <c r="A61" s="109">
        <v>51</v>
      </c>
      <c r="B61" s="110">
        <v>18.22</v>
      </c>
      <c r="C61" s="110">
        <v>0</v>
      </c>
      <c r="D61" s="110">
        <v>0.87</v>
      </c>
      <c r="E61" s="110">
        <v>2.31</v>
      </c>
      <c r="F61" s="110">
        <v>18.22</v>
      </c>
      <c r="G61" s="110">
        <v>0</v>
      </c>
      <c r="H61" s="110">
        <v>0.87</v>
      </c>
      <c r="I61" s="110">
        <v>2.31</v>
      </c>
    </row>
    <row r="62" spans="1:9" x14ac:dyDescent="0.25">
      <c r="A62" s="109">
        <v>52</v>
      </c>
      <c r="B62" s="110">
        <v>18.510000000000002</v>
      </c>
      <c r="C62" s="110">
        <v>0</v>
      </c>
      <c r="D62" s="110">
        <v>0.88</v>
      </c>
      <c r="E62" s="110">
        <v>2.3199999999999998</v>
      </c>
      <c r="F62" s="110">
        <v>18.510000000000002</v>
      </c>
      <c r="G62" s="110">
        <v>0</v>
      </c>
      <c r="H62" s="110">
        <v>0.88</v>
      </c>
      <c r="I62" s="110">
        <v>2.3199999999999998</v>
      </c>
    </row>
    <row r="63" spans="1:9" x14ac:dyDescent="0.25">
      <c r="A63" s="109">
        <v>53</v>
      </c>
      <c r="B63" s="110">
        <v>18.809999999999999</v>
      </c>
      <c r="C63" s="110">
        <v>0</v>
      </c>
      <c r="D63" s="110">
        <v>0.9</v>
      </c>
      <c r="E63" s="110">
        <v>2.33</v>
      </c>
      <c r="F63" s="110">
        <v>18.809999999999999</v>
      </c>
      <c r="G63" s="110">
        <v>0</v>
      </c>
      <c r="H63" s="110">
        <v>0.9</v>
      </c>
      <c r="I63" s="110">
        <v>2.33</v>
      </c>
    </row>
    <row r="64" spans="1:9" x14ac:dyDescent="0.25">
      <c r="A64" s="109">
        <v>54</v>
      </c>
      <c r="B64" s="110">
        <v>19.13</v>
      </c>
      <c r="C64" s="110">
        <v>0</v>
      </c>
      <c r="D64" s="110">
        <v>0.91</v>
      </c>
      <c r="E64" s="110">
        <v>2.34</v>
      </c>
      <c r="F64" s="110">
        <v>19.13</v>
      </c>
      <c r="G64" s="110">
        <v>0</v>
      </c>
      <c r="H64" s="110">
        <v>0.91</v>
      </c>
      <c r="I64" s="110">
        <v>2.34</v>
      </c>
    </row>
    <row r="65" spans="1:9" x14ac:dyDescent="0.25">
      <c r="A65" s="109">
        <v>55</v>
      </c>
      <c r="B65" s="110">
        <v>19.45</v>
      </c>
      <c r="C65" s="110">
        <v>0</v>
      </c>
      <c r="D65" s="110">
        <v>0.93</v>
      </c>
      <c r="E65" s="110">
        <v>2.35</v>
      </c>
      <c r="F65" s="110">
        <v>19.45</v>
      </c>
      <c r="G65" s="110">
        <v>0</v>
      </c>
      <c r="H65" s="110">
        <v>0.93</v>
      </c>
      <c r="I65" s="110">
        <v>2.35</v>
      </c>
    </row>
    <row r="66" spans="1:9" x14ac:dyDescent="0.25">
      <c r="A66" s="109">
        <v>56</v>
      </c>
      <c r="B66" s="110">
        <v>19.78</v>
      </c>
      <c r="C66" s="110">
        <v>0</v>
      </c>
      <c r="D66" s="110">
        <v>0.94</v>
      </c>
      <c r="E66" s="110">
        <v>2.35</v>
      </c>
      <c r="F66" s="110">
        <v>19.78</v>
      </c>
      <c r="G66" s="110">
        <v>0</v>
      </c>
      <c r="H66" s="110">
        <v>0.94</v>
      </c>
      <c r="I66" s="110">
        <v>2.35</v>
      </c>
    </row>
    <row r="67" spans="1:9" x14ac:dyDescent="0.25">
      <c r="A67" s="109">
        <v>57</v>
      </c>
      <c r="B67" s="110">
        <v>20.12</v>
      </c>
      <c r="C67" s="110">
        <v>0</v>
      </c>
      <c r="D67" s="110">
        <v>0.96</v>
      </c>
      <c r="E67" s="110">
        <v>2.36</v>
      </c>
      <c r="F67" s="110">
        <v>20.12</v>
      </c>
      <c r="G67" s="110">
        <v>0</v>
      </c>
      <c r="H67" s="110">
        <v>0.96</v>
      </c>
      <c r="I67" s="110">
        <v>2.36</v>
      </c>
    </row>
    <row r="68" spans="1:9" x14ac:dyDescent="0.25">
      <c r="A68" s="109">
        <v>58</v>
      </c>
      <c r="B68" s="110">
        <v>20.48</v>
      </c>
      <c r="C68" s="110">
        <v>0</v>
      </c>
      <c r="D68" s="110">
        <v>0.98</v>
      </c>
      <c r="E68" s="110">
        <v>2.36</v>
      </c>
      <c r="F68" s="110">
        <v>20.48</v>
      </c>
      <c r="G68" s="110">
        <v>0</v>
      </c>
      <c r="H68" s="110">
        <v>0.98</v>
      </c>
      <c r="I68" s="110">
        <v>2.36</v>
      </c>
    </row>
    <row r="69" spans="1:9" x14ac:dyDescent="0.25">
      <c r="A69" s="109">
        <v>59</v>
      </c>
      <c r="B69" s="110">
        <v>20.85</v>
      </c>
      <c r="C69" s="110">
        <v>0</v>
      </c>
      <c r="D69" s="110">
        <v>0.99</v>
      </c>
      <c r="E69" s="110">
        <v>2.35</v>
      </c>
      <c r="F69" s="110">
        <v>20.85</v>
      </c>
      <c r="G69" s="110">
        <v>0</v>
      </c>
      <c r="H69" s="110">
        <v>0.99</v>
      </c>
      <c r="I69" s="110">
        <v>2.35</v>
      </c>
    </row>
    <row r="70" spans="1:9" x14ac:dyDescent="0.25">
      <c r="A70" s="109">
        <v>60</v>
      </c>
      <c r="B70" s="110">
        <v>20.73</v>
      </c>
      <c r="C70" s="110">
        <v>0</v>
      </c>
      <c r="D70" s="110">
        <v>1</v>
      </c>
      <c r="E70" s="110">
        <v>2.35</v>
      </c>
      <c r="F70" s="110">
        <v>20.73</v>
      </c>
      <c r="G70" s="110">
        <v>0</v>
      </c>
      <c r="H70" s="110">
        <v>1</v>
      </c>
      <c r="I70" s="110">
        <v>2.35</v>
      </c>
    </row>
    <row r="71" spans="1:9" x14ac:dyDescent="0.25">
      <c r="A71" s="109">
        <v>61</v>
      </c>
      <c r="B71" s="110">
        <v>20.09</v>
      </c>
      <c r="C71" s="110">
        <v>0</v>
      </c>
      <c r="D71" s="110">
        <v>1</v>
      </c>
      <c r="E71" s="110">
        <v>2.36</v>
      </c>
      <c r="F71" s="110">
        <v>20.09</v>
      </c>
      <c r="G71" s="110">
        <v>0</v>
      </c>
      <c r="H71" s="110">
        <v>1</v>
      </c>
      <c r="I71" s="110">
        <v>2.36</v>
      </c>
    </row>
    <row r="72" spans="1:9" x14ac:dyDescent="0.25">
      <c r="A72" s="109">
        <v>62</v>
      </c>
      <c r="B72" s="110">
        <v>19.46</v>
      </c>
      <c r="C72" s="110">
        <v>0</v>
      </c>
      <c r="D72" s="110">
        <v>1</v>
      </c>
      <c r="E72" s="110">
        <v>2.36</v>
      </c>
      <c r="F72" s="110">
        <v>19.46</v>
      </c>
      <c r="G72" s="110">
        <v>0</v>
      </c>
      <c r="H72" s="110">
        <v>1</v>
      </c>
      <c r="I72" s="110">
        <v>2.36</v>
      </c>
    </row>
    <row r="73" spans="1:9" x14ac:dyDescent="0.25">
      <c r="A73" s="109">
        <v>63</v>
      </c>
      <c r="B73" s="110">
        <v>18.82</v>
      </c>
      <c r="C73" s="110">
        <v>0</v>
      </c>
      <c r="D73" s="110">
        <v>1</v>
      </c>
      <c r="E73" s="110">
        <v>2.36</v>
      </c>
      <c r="F73" s="110">
        <v>18.82</v>
      </c>
      <c r="G73" s="110">
        <v>0</v>
      </c>
      <c r="H73" s="110">
        <v>1</v>
      </c>
      <c r="I73" s="110">
        <v>2.36</v>
      </c>
    </row>
    <row r="74" spans="1:9" x14ac:dyDescent="0.25">
      <c r="A74" s="109">
        <v>64</v>
      </c>
      <c r="B74" s="110">
        <v>18.190000000000001</v>
      </c>
      <c r="C74" s="110">
        <v>0</v>
      </c>
      <c r="D74" s="110">
        <v>1</v>
      </c>
      <c r="E74" s="110">
        <v>2.36</v>
      </c>
      <c r="F74" s="110">
        <v>18.190000000000001</v>
      </c>
      <c r="G74" s="110">
        <v>0</v>
      </c>
      <c r="H74" s="110">
        <v>1</v>
      </c>
      <c r="I74" s="110">
        <v>2.36</v>
      </c>
    </row>
    <row r="75" spans="1:9" x14ac:dyDescent="0.25">
      <c r="A75" s="109">
        <v>65</v>
      </c>
      <c r="B75" s="110">
        <v>17.559999999999999</v>
      </c>
      <c r="C75" s="110">
        <v>0</v>
      </c>
      <c r="D75" s="110">
        <v>1</v>
      </c>
      <c r="E75" s="110">
        <v>2.35</v>
      </c>
      <c r="F75" s="110">
        <v>17.559999999999999</v>
      </c>
      <c r="G75" s="110">
        <v>0</v>
      </c>
      <c r="H75" s="110">
        <v>1</v>
      </c>
      <c r="I75" s="110">
        <v>2.35</v>
      </c>
    </row>
    <row r="76" spans="1:9" x14ac:dyDescent="0.25">
      <c r="A76" s="109">
        <v>66</v>
      </c>
      <c r="B76" s="110">
        <v>16.940000000000001</v>
      </c>
      <c r="C76" s="110">
        <v>0</v>
      </c>
      <c r="D76" s="110">
        <v>1</v>
      </c>
      <c r="E76" s="110">
        <v>2.34</v>
      </c>
      <c r="F76" s="110">
        <v>16.940000000000001</v>
      </c>
      <c r="G76" s="110">
        <v>0</v>
      </c>
      <c r="H76" s="110">
        <v>1</v>
      </c>
      <c r="I76" s="110">
        <v>2.34</v>
      </c>
    </row>
    <row r="77" spans="1:9" x14ac:dyDescent="0.25">
      <c r="A77" s="109">
        <v>67</v>
      </c>
      <c r="B77" s="110">
        <v>16.309999999999999</v>
      </c>
      <c r="C77" s="110">
        <v>0</v>
      </c>
      <c r="D77" s="110">
        <v>1</v>
      </c>
      <c r="E77" s="110">
        <v>2.33</v>
      </c>
      <c r="F77" s="110">
        <v>16.309999999999999</v>
      </c>
      <c r="G77" s="110">
        <v>0</v>
      </c>
      <c r="H77" s="110">
        <v>1</v>
      </c>
      <c r="I77" s="110">
        <v>2.33</v>
      </c>
    </row>
    <row r="78" spans="1:9" x14ac:dyDescent="0.25">
      <c r="A78" s="109">
        <v>68</v>
      </c>
      <c r="B78" s="110">
        <v>15.68</v>
      </c>
      <c r="C78" s="110">
        <v>0</v>
      </c>
      <c r="D78" s="110">
        <v>1</v>
      </c>
      <c r="E78" s="110">
        <v>2.3199999999999998</v>
      </c>
      <c r="F78" s="110">
        <v>15.68</v>
      </c>
      <c r="G78" s="110">
        <v>0</v>
      </c>
      <c r="H78" s="110">
        <v>1</v>
      </c>
      <c r="I78" s="110">
        <v>2.3199999999999998</v>
      </c>
    </row>
    <row r="79" spans="1:9" x14ac:dyDescent="0.25">
      <c r="A79" s="109">
        <v>69</v>
      </c>
      <c r="B79" s="110">
        <v>15.05</v>
      </c>
      <c r="C79" s="110">
        <v>0</v>
      </c>
      <c r="D79" s="110">
        <v>1</v>
      </c>
      <c r="E79" s="110">
        <v>2.2999999999999998</v>
      </c>
      <c r="F79" s="110">
        <v>15.05</v>
      </c>
      <c r="G79" s="110">
        <v>0</v>
      </c>
      <c r="H79" s="110">
        <v>1</v>
      </c>
      <c r="I79" s="110">
        <v>2.2999999999999998</v>
      </c>
    </row>
    <row r="80" spans="1:9" x14ac:dyDescent="0.25">
      <c r="A80" s="109">
        <v>70</v>
      </c>
      <c r="B80" s="110">
        <v>14.43</v>
      </c>
      <c r="C80" s="110">
        <v>0</v>
      </c>
      <c r="D80" s="110">
        <v>1</v>
      </c>
      <c r="E80" s="110">
        <v>2.2799999999999998</v>
      </c>
      <c r="F80" s="110">
        <v>14.43</v>
      </c>
      <c r="G80" s="110">
        <v>0</v>
      </c>
      <c r="H80" s="110">
        <v>1</v>
      </c>
      <c r="I80" s="110">
        <v>2.2799999999999998</v>
      </c>
    </row>
    <row r="81" spans="1:9" x14ac:dyDescent="0.25">
      <c r="A81" s="109">
        <v>71</v>
      </c>
      <c r="B81" s="110">
        <v>13.8</v>
      </c>
      <c r="C81" s="110">
        <v>0</v>
      </c>
      <c r="D81" s="110">
        <v>1</v>
      </c>
      <c r="E81" s="110">
        <v>2.25</v>
      </c>
      <c r="F81" s="110">
        <v>13.8</v>
      </c>
      <c r="G81" s="110">
        <v>0</v>
      </c>
      <c r="H81" s="110">
        <v>1</v>
      </c>
      <c r="I81" s="110">
        <v>2.25</v>
      </c>
    </row>
    <row r="82" spans="1:9" x14ac:dyDescent="0.25">
      <c r="A82" s="109">
        <v>72</v>
      </c>
      <c r="B82" s="110">
        <v>13.18</v>
      </c>
      <c r="C82" s="110">
        <v>0</v>
      </c>
      <c r="D82" s="110">
        <v>1</v>
      </c>
      <c r="E82" s="110">
        <v>2.23</v>
      </c>
      <c r="F82" s="110">
        <v>13.18</v>
      </c>
      <c r="G82" s="110">
        <v>0</v>
      </c>
      <c r="H82" s="110">
        <v>1</v>
      </c>
      <c r="I82" s="110">
        <v>2.23</v>
      </c>
    </row>
    <row r="83" spans="1:9" x14ac:dyDescent="0.25">
      <c r="A83" s="109">
        <v>73</v>
      </c>
      <c r="B83" s="110">
        <v>12.57</v>
      </c>
      <c r="C83" s="110">
        <v>0</v>
      </c>
      <c r="D83" s="110">
        <v>1</v>
      </c>
      <c r="E83" s="110">
        <v>2.19</v>
      </c>
      <c r="F83" s="110">
        <v>12.57</v>
      </c>
      <c r="G83" s="110">
        <v>0</v>
      </c>
      <c r="H83" s="110">
        <v>1</v>
      </c>
      <c r="I83" s="110">
        <v>2.19</v>
      </c>
    </row>
    <row r="84" spans="1:9" x14ac:dyDescent="0.25">
      <c r="A84" s="109">
        <v>74</v>
      </c>
      <c r="B84" s="110">
        <v>11.96</v>
      </c>
      <c r="C84" s="110">
        <v>0</v>
      </c>
      <c r="D84" s="110">
        <v>1</v>
      </c>
      <c r="E84" s="110">
        <v>2.16</v>
      </c>
      <c r="F84" s="110">
        <v>11.96</v>
      </c>
      <c r="G84" s="110">
        <v>0</v>
      </c>
      <c r="H84" s="110">
        <v>1</v>
      </c>
      <c r="I84" s="110">
        <v>2.16</v>
      </c>
    </row>
    <row r="85" spans="1:9" x14ac:dyDescent="0.25">
      <c r="A85" s="109">
        <v>75</v>
      </c>
      <c r="B85" s="110">
        <v>11.37</v>
      </c>
      <c r="C85" s="110">
        <v>0</v>
      </c>
      <c r="D85" s="110">
        <v>1</v>
      </c>
      <c r="E85" s="110">
        <v>2.12</v>
      </c>
      <c r="F85" s="110">
        <v>11.37</v>
      </c>
      <c r="G85" s="110">
        <v>0</v>
      </c>
      <c r="H85" s="110">
        <v>1</v>
      </c>
      <c r="I85" s="110">
        <v>2.12</v>
      </c>
    </row>
  </sheetData>
  <conditionalFormatting sqref="A6:A21">
    <cfRule type="expression" dxfId="1117" priority="3" stopIfTrue="1">
      <formula>MOD(ROW(),2)=0</formula>
    </cfRule>
    <cfRule type="expression" dxfId="1116" priority="4" stopIfTrue="1">
      <formula>MOD(ROW(),2)&lt;&gt;0</formula>
    </cfRule>
  </conditionalFormatting>
  <conditionalFormatting sqref="A26:A85">
    <cfRule type="expression" dxfId="1115" priority="9" stopIfTrue="1">
      <formula>MOD(ROW(),2)=0</formula>
    </cfRule>
    <cfRule type="expression" dxfId="1114" priority="10" stopIfTrue="1">
      <formula>MOD(ROW(),2)&lt;&gt;0</formula>
    </cfRule>
  </conditionalFormatting>
  <conditionalFormatting sqref="B12">
    <cfRule type="expression" dxfId="1113" priority="17" stopIfTrue="1">
      <formula>MOD(ROW(),2)=0</formula>
    </cfRule>
    <cfRule type="expression" dxfId="1112" priority="18" stopIfTrue="1">
      <formula>MOD(ROW(),2)&lt;&gt;0</formula>
    </cfRule>
  </conditionalFormatting>
  <conditionalFormatting sqref="B17:B21">
    <cfRule type="expression" dxfId="1111" priority="1" stopIfTrue="1">
      <formula>MOD(ROW(),2)=0</formula>
    </cfRule>
    <cfRule type="expression" dxfId="1110" priority="2" stopIfTrue="1">
      <formula>MOD(ROW(),2)&lt;&gt;0</formula>
    </cfRule>
  </conditionalFormatting>
  <conditionalFormatting sqref="B6:I21">
    <cfRule type="expression" dxfId="1109" priority="41" stopIfTrue="1">
      <formula>MOD(ROW(),2)=0</formula>
    </cfRule>
    <cfRule type="expression" dxfId="1108" priority="42" stopIfTrue="1">
      <formula>MOD(ROW(),2)&lt;&gt;0</formula>
    </cfRule>
  </conditionalFormatting>
  <conditionalFormatting sqref="B26:I85">
    <cfRule type="expression" dxfId="1107" priority="11" stopIfTrue="1">
      <formula>MOD(ROW(),2)=0</formula>
    </cfRule>
    <cfRule type="expression" dxfId="1106" priority="12" stopIfTrue="1">
      <formula>MOD(ROW(),2)&lt;&gt;0</formula>
    </cfRule>
  </conditionalFormatting>
  <hyperlinks>
    <hyperlink ref="B24" location="Assumptions!A1" display="Assumptions" xr:uid="{700BB018-A966-4C7B-907D-007729872A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A1:I85"/>
  <sheetViews>
    <sheetView workbookViewId="0"/>
  </sheetViews>
  <sheetFormatPr defaultColWidth="10" defaultRowHeight="12.5" x14ac:dyDescent="0.25"/>
  <cols>
    <col min="1" max="1" width="31.54296875" style="28" customWidth="1"/>
    <col min="2" max="9" width="22.54296875" style="28" customWidth="1"/>
    <col min="10"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CETV - x-207</v>
      </c>
      <c r="B3" s="56"/>
      <c r="C3" s="56"/>
      <c r="D3" s="56"/>
      <c r="E3" s="56"/>
      <c r="F3" s="56"/>
      <c r="G3" s="56"/>
      <c r="H3" s="56"/>
      <c r="I3" s="56"/>
    </row>
    <row r="4" spans="1:9" x14ac:dyDescent="0.25">
      <c r="A4" s="58"/>
    </row>
    <row r="6" spans="1:9" ht="13" x14ac:dyDescent="0.3">
      <c r="A6" s="86" t="s">
        <v>716</v>
      </c>
      <c r="B6" s="111" t="s">
        <v>717</v>
      </c>
      <c r="C6" s="111"/>
      <c r="D6" s="111"/>
      <c r="E6" s="111"/>
      <c r="F6" s="111"/>
      <c r="G6" s="111"/>
      <c r="H6" s="111"/>
      <c r="I6" s="111"/>
    </row>
    <row r="7" spans="1:9" x14ac:dyDescent="0.25">
      <c r="A7" s="87" t="s">
        <v>797</v>
      </c>
      <c r="B7" s="111" t="s">
        <v>326</v>
      </c>
      <c r="C7" s="111"/>
      <c r="D7" s="111"/>
      <c r="E7" s="111"/>
      <c r="F7" s="111"/>
      <c r="G7" s="111"/>
      <c r="H7" s="111"/>
      <c r="I7" s="111"/>
    </row>
    <row r="8" spans="1:9" x14ac:dyDescent="0.25">
      <c r="A8" s="87" t="s">
        <v>798</v>
      </c>
      <c r="B8" s="111" t="s">
        <v>327</v>
      </c>
      <c r="C8" s="111"/>
      <c r="D8" s="111"/>
      <c r="E8" s="111"/>
      <c r="F8" s="111"/>
      <c r="G8" s="111"/>
      <c r="H8" s="111"/>
      <c r="I8" s="111"/>
    </row>
    <row r="9" spans="1:9" x14ac:dyDescent="0.25">
      <c r="A9" s="87" t="s">
        <v>300</v>
      </c>
      <c r="B9" s="111" t="s">
        <v>332</v>
      </c>
      <c r="C9" s="111"/>
      <c r="D9" s="111"/>
      <c r="E9" s="111"/>
      <c r="F9" s="111"/>
      <c r="G9" s="111"/>
      <c r="H9" s="111"/>
      <c r="I9" s="111"/>
    </row>
    <row r="10" spans="1:9" x14ac:dyDescent="0.25">
      <c r="A10" s="87" t="s">
        <v>6</v>
      </c>
      <c r="B10" s="111" t="s">
        <v>354</v>
      </c>
      <c r="C10" s="111"/>
      <c r="D10" s="111"/>
      <c r="E10" s="111"/>
      <c r="F10" s="111"/>
      <c r="G10" s="111"/>
      <c r="H10" s="111"/>
      <c r="I10" s="111"/>
    </row>
    <row r="11" spans="1:9" x14ac:dyDescent="0.25">
      <c r="A11" s="87" t="s">
        <v>301</v>
      </c>
      <c r="B11" s="111" t="s">
        <v>334</v>
      </c>
      <c r="C11" s="111"/>
      <c r="D11" s="111"/>
      <c r="E11" s="111"/>
      <c r="F11" s="111"/>
      <c r="G11" s="111"/>
      <c r="H11" s="111"/>
      <c r="I11" s="111"/>
    </row>
    <row r="12" spans="1:9" x14ac:dyDescent="0.25">
      <c r="A12" s="87" t="s">
        <v>302</v>
      </c>
      <c r="B12" s="111" t="s">
        <v>335</v>
      </c>
      <c r="C12" s="111"/>
      <c r="D12" s="111"/>
      <c r="E12" s="111"/>
      <c r="F12" s="111"/>
      <c r="G12" s="111"/>
      <c r="H12" s="111"/>
      <c r="I12" s="111"/>
    </row>
    <row r="13" spans="1:9" x14ac:dyDescent="0.25">
      <c r="A13" s="87" t="s">
        <v>724</v>
      </c>
      <c r="B13" s="111">
        <v>1</v>
      </c>
      <c r="C13" s="111"/>
      <c r="D13" s="111"/>
      <c r="E13" s="111"/>
      <c r="F13" s="111"/>
      <c r="G13" s="111"/>
      <c r="H13" s="111"/>
      <c r="I13" s="111"/>
    </row>
    <row r="14" spans="1:9" x14ac:dyDescent="0.25">
      <c r="A14" s="87" t="s">
        <v>304</v>
      </c>
      <c r="B14" s="111">
        <v>207</v>
      </c>
      <c r="C14" s="111"/>
      <c r="D14" s="111"/>
      <c r="E14" s="111"/>
      <c r="F14" s="111"/>
      <c r="G14" s="111"/>
      <c r="H14" s="111"/>
      <c r="I14" s="111"/>
    </row>
    <row r="15" spans="1:9" x14ac:dyDescent="0.25">
      <c r="A15" s="87" t="s">
        <v>727</v>
      </c>
      <c r="B15" s="111" t="s">
        <v>355</v>
      </c>
      <c r="C15" s="111"/>
      <c r="D15" s="111"/>
      <c r="E15" s="111"/>
      <c r="F15" s="111"/>
      <c r="G15" s="111"/>
      <c r="H15" s="111"/>
      <c r="I15" s="111"/>
    </row>
    <row r="16" spans="1:9" x14ac:dyDescent="0.25">
      <c r="A16" s="87" t="s">
        <v>306</v>
      </c>
      <c r="B16" s="111" t="s">
        <v>356</v>
      </c>
      <c r="C16" s="111"/>
      <c r="D16" s="111"/>
      <c r="E16" s="111"/>
      <c r="F16" s="111"/>
      <c r="G16" s="111"/>
      <c r="H16" s="111"/>
      <c r="I16" s="111"/>
    </row>
    <row r="17" spans="1:9" x14ac:dyDescent="0.25">
      <c r="A17" s="87" t="s">
        <v>800</v>
      </c>
      <c r="B17" s="111"/>
      <c r="C17" s="111"/>
      <c r="D17" s="111"/>
      <c r="E17" s="111"/>
      <c r="F17" s="111"/>
      <c r="G17" s="111"/>
      <c r="H17" s="111"/>
      <c r="I17" s="111"/>
    </row>
    <row r="18" spans="1:9" x14ac:dyDescent="0.25">
      <c r="A18" s="87" t="s">
        <v>308</v>
      </c>
      <c r="B18" s="122">
        <v>45071</v>
      </c>
      <c r="C18" s="111"/>
      <c r="D18" s="111"/>
      <c r="E18" s="111"/>
      <c r="F18" s="111"/>
      <c r="G18" s="111"/>
      <c r="H18" s="111"/>
      <c r="I18" s="111"/>
    </row>
    <row r="19" spans="1:9" x14ac:dyDescent="0.25">
      <c r="A19" s="87" t="s">
        <v>309</v>
      </c>
      <c r="B19" s="122">
        <v>45014</v>
      </c>
      <c r="C19" s="111"/>
      <c r="D19" s="111"/>
      <c r="E19" s="111"/>
      <c r="F19" s="111"/>
      <c r="G19" s="111"/>
      <c r="H19" s="111"/>
      <c r="I19" s="111"/>
    </row>
    <row r="20" spans="1:9" x14ac:dyDescent="0.25">
      <c r="A20" s="87" t="s">
        <v>310</v>
      </c>
      <c r="B20" s="111" t="s">
        <v>324</v>
      </c>
      <c r="C20" s="111"/>
      <c r="D20" s="111"/>
      <c r="E20" s="111"/>
      <c r="F20" s="111"/>
      <c r="G20" s="111"/>
      <c r="H20" s="111"/>
      <c r="I20" s="111"/>
    </row>
    <row r="21" spans="1:9" x14ac:dyDescent="0.25">
      <c r="A21" s="87" t="s">
        <v>311</v>
      </c>
      <c r="B21" s="111" t="s">
        <v>325</v>
      </c>
      <c r="C21" s="111"/>
      <c r="D21" s="111"/>
      <c r="E21" s="111"/>
      <c r="F21" s="111"/>
      <c r="G21" s="111"/>
      <c r="H21" s="111"/>
      <c r="I21" s="111"/>
    </row>
    <row r="23" spans="1:9" x14ac:dyDescent="0.25">
      <c r="B23" s="104" t="str">
        <f>HYPERLINK("#'Factor List'!A1","Back to Factor List")</f>
        <v>Back to Factor List</v>
      </c>
    </row>
    <row r="24" spans="1:9" x14ac:dyDescent="0.25">
      <c r="B24" s="104" t="s">
        <v>13</v>
      </c>
    </row>
    <row r="26" spans="1:9" ht="26" x14ac:dyDescent="0.25">
      <c r="A26" s="108" t="s">
        <v>534</v>
      </c>
      <c r="B26" s="108" t="s">
        <v>803</v>
      </c>
      <c r="C26" s="108" t="s">
        <v>807</v>
      </c>
      <c r="D26" s="108" t="s">
        <v>808</v>
      </c>
      <c r="E26" s="108" t="s">
        <v>804</v>
      </c>
      <c r="F26" s="108" t="s">
        <v>805</v>
      </c>
      <c r="G26" s="108" t="s">
        <v>809</v>
      </c>
      <c r="H26" s="108" t="s">
        <v>810</v>
      </c>
      <c r="I26" s="108" t="s">
        <v>806</v>
      </c>
    </row>
    <row r="27" spans="1:9" x14ac:dyDescent="0.25">
      <c r="A27" s="109">
        <v>17</v>
      </c>
      <c r="B27" s="110">
        <v>8.8000000000000007</v>
      </c>
      <c r="C27" s="110">
        <v>0</v>
      </c>
      <c r="D27" s="110">
        <v>0.45</v>
      </c>
      <c r="E27" s="110">
        <v>1.43</v>
      </c>
      <c r="F27" s="110">
        <v>8.8000000000000007</v>
      </c>
      <c r="G27" s="110">
        <v>0</v>
      </c>
      <c r="H27" s="110">
        <v>0.45</v>
      </c>
      <c r="I27" s="110">
        <v>1.43</v>
      </c>
    </row>
    <row r="28" spans="1:9" x14ac:dyDescent="0.25">
      <c r="A28" s="109">
        <v>18</v>
      </c>
      <c r="B28" s="110">
        <v>8.92</v>
      </c>
      <c r="C28" s="110">
        <v>0</v>
      </c>
      <c r="D28" s="110">
        <v>0.46</v>
      </c>
      <c r="E28" s="110">
        <v>1.52</v>
      </c>
      <c r="F28" s="110">
        <v>8.92</v>
      </c>
      <c r="G28" s="110">
        <v>0</v>
      </c>
      <c r="H28" s="110">
        <v>0.46</v>
      </c>
      <c r="I28" s="110">
        <v>1.52</v>
      </c>
    </row>
    <row r="29" spans="1:9" x14ac:dyDescent="0.25">
      <c r="A29" s="109">
        <v>19</v>
      </c>
      <c r="B29" s="110">
        <v>9.0399999999999991</v>
      </c>
      <c r="C29" s="110">
        <v>0</v>
      </c>
      <c r="D29" s="110">
        <v>0.46</v>
      </c>
      <c r="E29" s="110">
        <v>1.58</v>
      </c>
      <c r="F29" s="110">
        <v>9.0399999999999991</v>
      </c>
      <c r="G29" s="110">
        <v>0</v>
      </c>
      <c r="H29" s="110">
        <v>0.46</v>
      </c>
      <c r="I29" s="110">
        <v>1.58</v>
      </c>
    </row>
    <row r="30" spans="1:9" x14ac:dyDescent="0.25">
      <c r="A30" s="109">
        <v>20</v>
      </c>
      <c r="B30" s="110">
        <v>9.17</v>
      </c>
      <c r="C30" s="110">
        <v>0</v>
      </c>
      <c r="D30" s="110">
        <v>0.47</v>
      </c>
      <c r="E30" s="110">
        <v>1.6</v>
      </c>
      <c r="F30" s="110">
        <v>9.17</v>
      </c>
      <c r="G30" s="110">
        <v>0</v>
      </c>
      <c r="H30" s="110">
        <v>0.47</v>
      </c>
      <c r="I30" s="110">
        <v>1.6</v>
      </c>
    </row>
    <row r="31" spans="1:9" x14ac:dyDescent="0.25">
      <c r="A31" s="109">
        <v>21</v>
      </c>
      <c r="B31" s="110">
        <v>9.3000000000000007</v>
      </c>
      <c r="C31" s="110">
        <v>0</v>
      </c>
      <c r="D31" s="110">
        <v>0.48</v>
      </c>
      <c r="E31" s="110">
        <v>1.63</v>
      </c>
      <c r="F31" s="110">
        <v>9.3000000000000007</v>
      </c>
      <c r="G31" s="110">
        <v>0</v>
      </c>
      <c r="H31" s="110">
        <v>0.48</v>
      </c>
      <c r="I31" s="110">
        <v>1.63</v>
      </c>
    </row>
    <row r="32" spans="1:9" x14ac:dyDescent="0.25">
      <c r="A32" s="109">
        <v>22</v>
      </c>
      <c r="B32" s="110">
        <v>9.43</v>
      </c>
      <c r="C32" s="110">
        <v>0</v>
      </c>
      <c r="D32" s="110">
        <v>0.49</v>
      </c>
      <c r="E32" s="110">
        <v>1.66</v>
      </c>
      <c r="F32" s="110">
        <v>9.43</v>
      </c>
      <c r="G32" s="110">
        <v>0</v>
      </c>
      <c r="H32" s="110">
        <v>0.49</v>
      </c>
      <c r="I32" s="110">
        <v>1.66</v>
      </c>
    </row>
    <row r="33" spans="1:9" x14ac:dyDescent="0.25">
      <c r="A33" s="109">
        <v>23</v>
      </c>
      <c r="B33" s="110">
        <v>9.56</v>
      </c>
      <c r="C33" s="110">
        <v>0</v>
      </c>
      <c r="D33" s="110">
        <v>0.5</v>
      </c>
      <c r="E33" s="110">
        <v>1.69</v>
      </c>
      <c r="F33" s="110">
        <v>9.56</v>
      </c>
      <c r="G33" s="110">
        <v>0</v>
      </c>
      <c r="H33" s="110">
        <v>0.5</v>
      </c>
      <c r="I33" s="110">
        <v>1.69</v>
      </c>
    </row>
    <row r="34" spans="1:9" x14ac:dyDescent="0.25">
      <c r="A34" s="109">
        <v>24</v>
      </c>
      <c r="B34" s="110">
        <v>9.69</v>
      </c>
      <c r="C34" s="110">
        <v>0</v>
      </c>
      <c r="D34" s="110">
        <v>0.51</v>
      </c>
      <c r="E34" s="110">
        <v>1.72</v>
      </c>
      <c r="F34" s="110">
        <v>9.69</v>
      </c>
      <c r="G34" s="110">
        <v>0</v>
      </c>
      <c r="H34" s="110">
        <v>0.51</v>
      </c>
      <c r="I34" s="110">
        <v>1.72</v>
      </c>
    </row>
    <row r="35" spans="1:9" x14ac:dyDescent="0.25">
      <c r="A35" s="109">
        <v>25</v>
      </c>
      <c r="B35" s="110">
        <v>9.82</v>
      </c>
      <c r="C35" s="110">
        <v>0</v>
      </c>
      <c r="D35" s="110">
        <v>0.51</v>
      </c>
      <c r="E35" s="110">
        <v>1.75</v>
      </c>
      <c r="F35" s="110">
        <v>9.82</v>
      </c>
      <c r="G35" s="110">
        <v>0</v>
      </c>
      <c r="H35" s="110">
        <v>0.51</v>
      </c>
      <c r="I35" s="110">
        <v>1.75</v>
      </c>
    </row>
    <row r="36" spans="1:9" x14ac:dyDescent="0.25">
      <c r="A36" s="109">
        <v>26</v>
      </c>
      <c r="B36" s="110">
        <v>9.9600000000000009</v>
      </c>
      <c r="C36" s="110">
        <v>0</v>
      </c>
      <c r="D36" s="110">
        <v>0.52</v>
      </c>
      <c r="E36" s="110">
        <v>1.77</v>
      </c>
      <c r="F36" s="110">
        <v>9.9600000000000009</v>
      </c>
      <c r="G36" s="110">
        <v>0</v>
      </c>
      <c r="H36" s="110">
        <v>0.52</v>
      </c>
      <c r="I36" s="110">
        <v>1.77</v>
      </c>
    </row>
    <row r="37" spans="1:9" x14ac:dyDescent="0.25">
      <c r="A37" s="109">
        <v>27</v>
      </c>
      <c r="B37" s="110">
        <v>10.1</v>
      </c>
      <c r="C37" s="110">
        <v>0</v>
      </c>
      <c r="D37" s="110">
        <v>0.53</v>
      </c>
      <c r="E37" s="110">
        <v>1.8</v>
      </c>
      <c r="F37" s="110">
        <v>10.1</v>
      </c>
      <c r="G37" s="110">
        <v>0</v>
      </c>
      <c r="H37" s="110">
        <v>0.53</v>
      </c>
      <c r="I37" s="110">
        <v>1.8</v>
      </c>
    </row>
    <row r="38" spans="1:9" x14ac:dyDescent="0.25">
      <c r="A38" s="109">
        <v>28</v>
      </c>
      <c r="B38" s="110">
        <v>10.24</v>
      </c>
      <c r="C38" s="110">
        <v>0</v>
      </c>
      <c r="D38" s="110">
        <v>0.54</v>
      </c>
      <c r="E38" s="110">
        <v>1.83</v>
      </c>
      <c r="F38" s="110">
        <v>10.24</v>
      </c>
      <c r="G38" s="110">
        <v>0</v>
      </c>
      <c r="H38" s="110">
        <v>0.54</v>
      </c>
      <c r="I38" s="110">
        <v>1.83</v>
      </c>
    </row>
    <row r="39" spans="1:9" x14ac:dyDescent="0.25">
      <c r="A39" s="109">
        <v>29</v>
      </c>
      <c r="B39" s="110">
        <v>10.38</v>
      </c>
      <c r="C39" s="110">
        <v>0</v>
      </c>
      <c r="D39" s="110">
        <v>0.55000000000000004</v>
      </c>
      <c r="E39" s="110">
        <v>1.86</v>
      </c>
      <c r="F39" s="110">
        <v>10.38</v>
      </c>
      <c r="G39" s="110">
        <v>0</v>
      </c>
      <c r="H39" s="110">
        <v>0.55000000000000004</v>
      </c>
      <c r="I39" s="110">
        <v>1.86</v>
      </c>
    </row>
    <row r="40" spans="1:9" x14ac:dyDescent="0.25">
      <c r="A40" s="109">
        <v>30</v>
      </c>
      <c r="B40" s="110">
        <v>10.53</v>
      </c>
      <c r="C40" s="110">
        <v>0</v>
      </c>
      <c r="D40" s="110">
        <v>0.56000000000000005</v>
      </c>
      <c r="E40" s="110">
        <v>1.89</v>
      </c>
      <c r="F40" s="110">
        <v>10.53</v>
      </c>
      <c r="G40" s="110">
        <v>0</v>
      </c>
      <c r="H40" s="110">
        <v>0.56000000000000005</v>
      </c>
      <c r="I40" s="110">
        <v>1.89</v>
      </c>
    </row>
    <row r="41" spans="1:9" x14ac:dyDescent="0.25">
      <c r="A41" s="109">
        <v>31</v>
      </c>
      <c r="B41" s="110">
        <v>10.67</v>
      </c>
      <c r="C41" s="110">
        <v>0</v>
      </c>
      <c r="D41" s="110">
        <v>0.56999999999999995</v>
      </c>
      <c r="E41" s="110">
        <v>1.92</v>
      </c>
      <c r="F41" s="110">
        <v>10.67</v>
      </c>
      <c r="G41" s="110">
        <v>0</v>
      </c>
      <c r="H41" s="110">
        <v>0.56999999999999995</v>
      </c>
      <c r="I41" s="110">
        <v>1.92</v>
      </c>
    </row>
    <row r="42" spans="1:9" x14ac:dyDescent="0.25">
      <c r="A42" s="109">
        <v>32</v>
      </c>
      <c r="B42" s="110">
        <v>10.82</v>
      </c>
      <c r="C42" s="110">
        <v>0</v>
      </c>
      <c r="D42" s="110">
        <v>0.57999999999999996</v>
      </c>
      <c r="E42" s="110">
        <v>1.95</v>
      </c>
      <c r="F42" s="110">
        <v>10.82</v>
      </c>
      <c r="G42" s="110">
        <v>0</v>
      </c>
      <c r="H42" s="110">
        <v>0.57999999999999996</v>
      </c>
      <c r="I42" s="110">
        <v>1.95</v>
      </c>
    </row>
    <row r="43" spans="1:9" x14ac:dyDescent="0.25">
      <c r="A43" s="109">
        <v>33</v>
      </c>
      <c r="B43" s="110">
        <v>10.98</v>
      </c>
      <c r="C43" s="110">
        <v>0</v>
      </c>
      <c r="D43" s="110">
        <v>0.59</v>
      </c>
      <c r="E43" s="110">
        <v>1.97</v>
      </c>
      <c r="F43" s="110">
        <v>10.98</v>
      </c>
      <c r="G43" s="110">
        <v>0</v>
      </c>
      <c r="H43" s="110">
        <v>0.59</v>
      </c>
      <c r="I43" s="110">
        <v>1.97</v>
      </c>
    </row>
    <row r="44" spans="1:9" x14ac:dyDescent="0.25">
      <c r="A44" s="109">
        <v>34</v>
      </c>
      <c r="B44" s="110">
        <v>11.13</v>
      </c>
      <c r="C44" s="110">
        <v>0</v>
      </c>
      <c r="D44" s="110">
        <v>0.6</v>
      </c>
      <c r="E44" s="110">
        <v>2</v>
      </c>
      <c r="F44" s="110">
        <v>11.13</v>
      </c>
      <c r="G44" s="110">
        <v>0</v>
      </c>
      <c r="H44" s="110">
        <v>0.6</v>
      </c>
      <c r="I44" s="110">
        <v>2</v>
      </c>
    </row>
    <row r="45" spans="1:9" x14ac:dyDescent="0.25">
      <c r="A45" s="109">
        <v>35</v>
      </c>
      <c r="B45" s="110">
        <v>11.29</v>
      </c>
      <c r="C45" s="110">
        <v>0</v>
      </c>
      <c r="D45" s="110">
        <v>0.61</v>
      </c>
      <c r="E45" s="110">
        <v>2.0299999999999998</v>
      </c>
      <c r="F45" s="110">
        <v>11.29</v>
      </c>
      <c r="G45" s="110">
        <v>0</v>
      </c>
      <c r="H45" s="110">
        <v>0.61</v>
      </c>
      <c r="I45" s="110">
        <v>2.0299999999999998</v>
      </c>
    </row>
    <row r="46" spans="1:9" x14ac:dyDescent="0.25">
      <c r="A46" s="109">
        <v>36</v>
      </c>
      <c r="B46" s="110">
        <v>11.45</v>
      </c>
      <c r="C46" s="110">
        <v>0</v>
      </c>
      <c r="D46" s="110">
        <v>0.62</v>
      </c>
      <c r="E46" s="110">
        <v>2.06</v>
      </c>
      <c r="F46" s="110">
        <v>11.45</v>
      </c>
      <c r="G46" s="110">
        <v>0</v>
      </c>
      <c r="H46" s="110">
        <v>0.62</v>
      </c>
      <c r="I46" s="110">
        <v>2.06</v>
      </c>
    </row>
    <row r="47" spans="1:9" x14ac:dyDescent="0.25">
      <c r="A47" s="109">
        <v>37</v>
      </c>
      <c r="B47" s="110">
        <v>11.61</v>
      </c>
      <c r="C47" s="110">
        <v>0</v>
      </c>
      <c r="D47" s="110">
        <v>0.63</v>
      </c>
      <c r="E47" s="110">
        <v>2.08</v>
      </c>
      <c r="F47" s="110">
        <v>11.61</v>
      </c>
      <c r="G47" s="110">
        <v>0</v>
      </c>
      <c r="H47" s="110">
        <v>0.63</v>
      </c>
      <c r="I47" s="110">
        <v>2.08</v>
      </c>
    </row>
    <row r="48" spans="1:9" x14ac:dyDescent="0.25">
      <c r="A48" s="109">
        <v>38</v>
      </c>
      <c r="B48" s="110">
        <v>11.77</v>
      </c>
      <c r="C48" s="110">
        <v>0</v>
      </c>
      <c r="D48" s="110">
        <v>0.64</v>
      </c>
      <c r="E48" s="110">
        <v>2.11</v>
      </c>
      <c r="F48" s="110">
        <v>11.77</v>
      </c>
      <c r="G48" s="110">
        <v>0</v>
      </c>
      <c r="H48" s="110">
        <v>0.64</v>
      </c>
      <c r="I48" s="110">
        <v>2.11</v>
      </c>
    </row>
    <row r="49" spans="1:9" x14ac:dyDescent="0.25">
      <c r="A49" s="109">
        <v>39</v>
      </c>
      <c r="B49" s="110">
        <v>11.94</v>
      </c>
      <c r="C49" s="110">
        <v>0</v>
      </c>
      <c r="D49" s="110">
        <v>0.65</v>
      </c>
      <c r="E49" s="110">
        <v>2.14</v>
      </c>
      <c r="F49" s="110">
        <v>11.94</v>
      </c>
      <c r="G49" s="110">
        <v>0</v>
      </c>
      <c r="H49" s="110">
        <v>0.65</v>
      </c>
      <c r="I49" s="110">
        <v>2.14</v>
      </c>
    </row>
    <row r="50" spans="1:9" x14ac:dyDescent="0.25">
      <c r="A50" s="109">
        <v>40</v>
      </c>
      <c r="B50" s="110">
        <v>12.11</v>
      </c>
      <c r="C50" s="110">
        <v>0</v>
      </c>
      <c r="D50" s="110">
        <v>0.66</v>
      </c>
      <c r="E50" s="110">
        <v>2.16</v>
      </c>
      <c r="F50" s="110">
        <v>12.11</v>
      </c>
      <c r="G50" s="110">
        <v>0</v>
      </c>
      <c r="H50" s="110">
        <v>0.66</v>
      </c>
      <c r="I50" s="110">
        <v>2.16</v>
      </c>
    </row>
    <row r="51" spans="1:9" x14ac:dyDescent="0.25">
      <c r="A51" s="109">
        <v>41</v>
      </c>
      <c r="B51" s="110">
        <v>12.28</v>
      </c>
      <c r="C51" s="110">
        <v>0</v>
      </c>
      <c r="D51" s="110">
        <v>0.67</v>
      </c>
      <c r="E51" s="110">
        <v>2.19</v>
      </c>
      <c r="F51" s="110">
        <v>12.28</v>
      </c>
      <c r="G51" s="110">
        <v>0</v>
      </c>
      <c r="H51" s="110">
        <v>0.67</v>
      </c>
      <c r="I51" s="110">
        <v>2.19</v>
      </c>
    </row>
    <row r="52" spans="1:9" x14ac:dyDescent="0.25">
      <c r="A52" s="109">
        <v>42</v>
      </c>
      <c r="B52" s="110">
        <v>12.46</v>
      </c>
      <c r="C52" s="110">
        <v>0</v>
      </c>
      <c r="D52" s="110">
        <v>0.68</v>
      </c>
      <c r="E52" s="110">
        <v>2.21</v>
      </c>
      <c r="F52" s="110">
        <v>12.46</v>
      </c>
      <c r="G52" s="110">
        <v>0</v>
      </c>
      <c r="H52" s="110">
        <v>0.68</v>
      </c>
      <c r="I52" s="110">
        <v>2.21</v>
      </c>
    </row>
    <row r="53" spans="1:9" x14ac:dyDescent="0.25">
      <c r="A53" s="109">
        <v>43</v>
      </c>
      <c r="B53" s="110">
        <v>12.64</v>
      </c>
      <c r="C53" s="110">
        <v>0</v>
      </c>
      <c r="D53" s="110">
        <v>0.7</v>
      </c>
      <c r="E53" s="110">
        <v>2.2400000000000002</v>
      </c>
      <c r="F53" s="110">
        <v>12.64</v>
      </c>
      <c r="G53" s="110">
        <v>0</v>
      </c>
      <c r="H53" s="110">
        <v>0.7</v>
      </c>
      <c r="I53" s="110">
        <v>2.2400000000000002</v>
      </c>
    </row>
    <row r="54" spans="1:9" x14ac:dyDescent="0.25">
      <c r="A54" s="109">
        <v>44</v>
      </c>
      <c r="B54" s="110">
        <v>12.82</v>
      </c>
      <c r="C54" s="110">
        <v>0</v>
      </c>
      <c r="D54" s="110">
        <v>0.71</v>
      </c>
      <c r="E54" s="110">
        <v>2.2599999999999998</v>
      </c>
      <c r="F54" s="110">
        <v>12.82</v>
      </c>
      <c r="G54" s="110">
        <v>0</v>
      </c>
      <c r="H54" s="110">
        <v>0.71</v>
      </c>
      <c r="I54" s="110">
        <v>2.2599999999999998</v>
      </c>
    </row>
    <row r="55" spans="1:9" x14ac:dyDescent="0.25">
      <c r="A55" s="109">
        <v>45</v>
      </c>
      <c r="B55" s="110">
        <v>13.01</v>
      </c>
      <c r="C55" s="110">
        <v>0</v>
      </c>
      <c r="D55" s="110">
        <v>0.72</v>
      </c>
      <c r="E55" s="110">
        <v>2.2799999999999998</v>
      </c>
      <c r="F55" s="110">
        <v>13.01</v>
      </c>
      <c r="G55" s="110">
        <v>0</v>
      </c>
      <c r="H55" s="110">
        <v>0.72</v>
      </c>
      <c r="I55" s="110">
        <v>2.2799999999999998</v>
      </c>
    </row>
    <row r="56" spans="1:9" x14ac:dyDescent="0.25">
      <c r="A56" s="109">
        <v>46</v>
      </c>
      <c r="B56" s="110">
        <v>13.2</v>
      </c>
      <c r="C56" s="110">
        <v>0</v>
      </c>
      <c r="D56" s="110">
        <v>0.73</v>
      </c>
      <c r="E56" s="110">
        <v>2.2999999999999998</v>
      </c>
      <c r="F56" s="110">
        <v>13.2</v>
      </c>
      <c r="G56" s="110">
        <v>0</v>
      </c>
      <c r="H56" s="110">
        <v>0.73</v>
      </c>
      <c r="I56" s="110">
        <v>2.2999999999999998</v>
      </c>
    </row>
    <row r="57" spans="1:9" x14ac:dyDescent="0.25">
      <c r="A57" s="109">
        <v>47</v>
      </c>
      <c r="B57" s="110">
        <v>13.39</v>
      </c>
      <c r="C57" s="110">
        <v>0</v>
      </c>
      <c r="D57" s="110">
        <v>0.74</v>
      </c>
      <c r="E57" s="110">
        <v>2.3199999999999998</v>
      </c>
      <c r="F57" s="110">
        <v>13.39</v>
      </c>
      <c r="G57" s="110">
        <v>0</v>
      </c>
      <c r="H57" s="110">
        <v>0.74</v>
      </c>
      <c r="I57" s="110">
        <v>2.3199999999999998</v>
      </c>
    </row>
    <row r="58" spans="1:9" x14ac:dyDescent="0.25">
      <c r="A58" s="109">
        <v>48</v>
      </c>
      <c r="B58" s="110">
        <v>13.59</v>
      </c>
      <c r="C58" s="110">
        <v>0</v>
      </c>
      <c r="D58" s="110">
        <v>0.76</v>
      </c>
      <c r="E58" s="110">
        <v>2.34</v>
      </c>
      <c r="F58" s="110">
        <v>13.59</v>
      </c>
      <c r="G58" s="110">
        <v>0</v>
      </c>
      <c r="H58" s="110">
        <v>0.76</v>
      </c>
      <c r="I58" s="110">
        <v>2.34</v>
      </c>
    </row>
    <row r="59" spans="1:9" x14ac:dyDescent="0.25">
      <c r="A59" s="109">
        <v>49</v>
      </c>
      <c r="B59" s="110">
        <v>13.8</v>
      </c>
      <c r="C59" s="110">
        <v>0</v>
      </c>
      <c r="D59" s="110">
        <v>0.77</v>
      </c>
      <c r="E59" s="110">
        <v>2.36</v>
      </c>
      <c r="F59" s="110">
        <v>13.8</v>
      </c>
      <c r="G59" s="110">
        <v>0</v>
      </c>
      <c r="H59" s="110">
        <v>0.77</v>
      </c>
      <c r="I59" s="110">
        <v>2.36</v>
      </c>
    </row>
    <row r="60" spans="1:9" x14ac:dyDescent="0.25">
      <c r="A60" s="109">
        <v>50</v>
      </c>
      <c r="B60" s="110">
        <v>14.01</v>
      </c>
      <c r="C60" s="110">
        <v>0</v>
      </c>
      <c r="D60" s="110">
        <v>0.78</v>
      </c>
      <c r="E60" s="110">
        <v>2.37</v>
      </c>
      <c r="F60" s="110">
        <v>14.01</v>
      </c>
      <c r="G60" s="110">
        <v>0</v>
      </c>
      <c r="H60" s="110">
        <v>0.78</v>
      </c>
      <c r="I60" s="110">
        <v>2.37</v>
      </c>
    </row>
    <row r="61" spans="1:9" x14ac:dyDescent="0.25">
      <c r="A61" s="109">
        <v>51</v>
      </c>
      <c r="B61" s="110">
        <v>14.22</v>
      </c>
      <c r="C61" s="110">
        <v>0</v>
      </c>
      <c r="D61" s="110">
        <v>0.8</v>
      </c>
      <c r="E61" s="110">
        <v>2.39</v>
      </c>
      <c r="F61" s="110">
        <v>14.22</v>
      </c>
      <c r="G61" s="110">
        <v>0</v>
      </c>
      <c r="H61" s="110">
        <v>0.8</v>
      </c>
      <c r="I61" s="110">
        <v>2.39</v>
      </c>
    </row>
    <row r="62" spans="1:9" x14ac:dyDescent="0.25">
      <c r="A62" s="109">
        <v>52</v>
      </c>
      <c r="B62" s="110">
        <v>14.44</v>
      </c>
      <c r="C62" s="110">
        <v>0</v>
      </c>
      <c r="D62" s="110">
        <v>0.81</v>
      </c>
      <c r="E62" s="110">
        <v>2.4</v>
      </c>
      <c r="F62" s="110">
        <v>14.44</v>
      </c>
      <c r="G62" s="110">
        <v>0</v>
      </c>
      <c r="H62" s="110">
        <v>0.81</v>
      </c>
      <c r="I62" s="110">
        <v>2.4</v>
      </c>
    </row>
    <row r="63" spans="1:9" x14ac:dyDescent="0.25">
      <c r="A63" s="109">
        <v>53</v>
      </c>
      <c r="B63" s="110">
        <v>14.67</v>
      </c>
      <c r="C63" s="110">
        <v>0</v>
      </c>
      <c r="D63" s="110">
        <v>0.82</v>
      </c>
      <c r="E63" s="110">
        <v>2.41</v>
      </c>
      <c r="F63" s="110">
        <v>14.67</v>
      </c>
      <c r="G63" s="110">
        <v>0</v>
      </c>
      <c r="H63" s="110">
        <v>0.82</v>
      </c>
      <c r="I63" s="110">
        <v>2.41</v>
      </c>
    </row>
    <row r="64" spans="1:9" x14ac:dyDescent="0.25">
      <c r="A64" s="109">
        <v>54</v>
      </c>
      <c r="B64" s="110">
        <v>14.9</v>
      </c>
      <c r="C64" s="110">
        <v>0</v>
      </c>
      <c r="D64" s="110">
        <v>0.84</v>
      </c>
      <c r="E64" s="110">
        <v>2.42</v>
      </c>
      <c r="F64" s="110">
        <v>14.9</v>
      </c>
      <c r="G64" s="110">
        <v>0</v>
      </c>
      <c r="H64" s="110">
        <v>0.84</v>
      </c>
      <c r="I64" s="110">
        <v>2.42</v>
      </c>
    </row>
    <row r="65" spans="1:9" x14ac:dyDescent="0.25">
      <c r="A65" s="109">
        <v>55</v>
      </c>
      <c r="B65" s="110">
        <v>15.14</v>
      </c>
      <c r="C65" s="110">
        <v>0</v>
      </c>
      <c r="D65" s="110">
        <v>0.85</v>
      </c>
      <c r="E65" s="110">
        <v>2.4300000000000002</v>
      </c>
      <c r="F65" s="110">
        <v>15.14</v>
      </c>
      <c r="G65" s="110">
        <v>0</v>
      </c>
      <c r="H65" s="110">
        <v>0.85</v>
      </c>
      <c r="I65" s="110">
        <v>2.4300000000000002</v>
      </c>
    </row>
    <row r="66" spans="1:9" x14ac:dyDescent="0.25">
      <c r="A66" s="109">
        <v>56</v>
      </c>
      <c r="B66" s="110">
        <v>15.39</v>
      </c>
      <c r="C66" s="110">
        <v>0</v>
      </c>
      <c r="D66" s="110">
        <v>0.87</v>
      </c>
      <c r="E66" s="110">
        <v>2.4300000000000002</v>
      </c>
      <c r="F66" s="110">
        <v>15.39</v>
      </c>
      <c r="G66" s="110">
        <v>0</v>
      </c>
      <c r="H66" s="110">
        <v>0.87</v>
      </c>
      <c r="I66" s="110">
        <v>2.4300000000000002</v>
      </c>
    </row>
    <row r="67" spans="1:9" x14ac:dyDescent="0.25">
      <c r="A67" s="109">
        <v>57</v>
      </c>
      <c r="B67" s="110">
        <v>15.65</v>
      </c>
      <c r="C67" s="110">
        <v>0</v>
      </c>
      <c r="D67" s="110">
        <v>0.88</v>
      </c>
      <c r="E67" s="110">
        <v>2.44</v>
      </c>
      <c r="F67" s="110">
        <v>15.65</v>
      </c>
      <c r="G67" s="110">
        <v>0</v>
      </c>
      <c r="H67" s="110">
        <v>0.88</v>
      </c>
      <c r="I67" s="110">
        <v>2.44</v>
      </c>
    </row>
    <row r="68" spans="1:9" x14ac:dyDescent="0.25">
      <c r="A68" s="109">
        <v>58</v>
      </c>
      <c r="B68" s="110">
        <v>15.91</v>
      </c>
      <c r="C68" s="110">
        <v>0</v>
      </c>
      <c r="D68" s="110">
        <v>0.9</v>
      </c>
      <c r="E68" s="110">
        <v>2.44</v>
      </c>
      <c r="F68" s="110">
        <v>15.91</v>
      </c>
      <c r="G68" s="110">
        <v>0</v>
      </c>
      <c r="H68" s="110">
        <v>0.9</v>
      </c>
      <c r="I68" s="110">
        <v>2.44</v>
      </c>
    </row>
    <row r="69" spans="1:9" x14ac:dyDescent="0.25">
      <c r="A69" s="109">
        <v>59</v>
      </c>
      <c r="B69" s="110">
        <v>16.190000000000001</v>
      </c>
      <c r="C69" s="110">
        <v>0</v>
      </c>
      <c r="D69" s="110">
        <v>0.91</v>
      </c>
      <c r="E69" s="110">
        <v>2.4300000000000002</v>
      </c>
      <c r="F69" s="110">
        <v>16.190000000000001</v>
      </c>
      <c r="G69" s="110">
        <v>0</v>
      </c>
      <c r="H69" s="110">
        <v>0.91</v>
      </c>
      <c r="I69" s="110">
        <v>2.4300000000000002</v>
      </c>
    </row>
    <row r="70" spans="1:9" x14ac:dyDescent="0.25">
      <c r="A70" s="109">
        <v>60</v>
      </c>
      <c r="B70" s="110">
        <v>16.48</v>
      </c>
      <c r="C70" s="110">
        <v>0</v>
      </c>
      <c r="D70" s="110">
        <v>0.93</v>
      </c>
      <c r="E70" s="110">
        <v>2.4300000000000002</v>
      </c>
      <c r="F70" s="110">
        <v>16.48</v>
      </c>
      <c r="G70" s="110">
        <v>0</v>
      </c>
      <c r="H70" s="110">
        <v>0.93</v>
      </c>
      <c r="I70" s="110">
        <v>2.4300000000000002</v>
      </c>
    </row>
    <row r="71" spans="1:9" x14ac:dyDescent="0.25">
      <c r="A71" s="109">
        <v>61</v>
      </c>
      <c r="B71" s="110">
        <v>16.78</v>
      </c>
      <c r="C71" s="110">
        <v>0</v>
      </c>
      <c r="D71" s="110">
        <v>0.94</v>
      </c>
      <c r="E71" s="110">
        <v>2.42</v>
      </c>
      <c r="F71" s="110">
        <v>16.78</v>
      </c>
      <c r="G71" s="110">
        <v>0</v>
      </c>
      <c r="H71" s="110">
        <v>0.94</v>
      </c>
      <c r="I71" s="110">
        <v>2.42</v>
      </c>
    </row>
    <row r="72" spans="1:9" x14ac:dyDescent="0.25">
      <c r="A72" s="109">
        <v>62</v>
      </c>
      <c r="B72" s="110">
        <v>17.100000000000001</v>
      </c>
      <c r="C72" s="110">
        <v>0</v>
      </c>
      <c r="D72" s="110">
        <v>0.96</v>
      </c>
      <c r="E72" s="110">
        <v>2.41</v>
      </c>
      <c r="F72" s="110">
        <v>17.100000000000001</v>
      </c>
      <c r="G72" s="110">
        <v>0</v>
      </c>
      <c r="H72" s="110">
        <v>0.96</v>
      </c>
      <c r="I72" s="110">
        <v>2.41</v>
      </c>
    </row>
    <row r="73" spans="1:9" x14ac:dyDescent="0.25">
      <c r="A73" s="109">
        <v>63</v>
      </c>
      <c r="B73" s="110">
        <v>17.440000000000001</v>
      </c>
      <c r="C73" s="110">
        <v>0</v>
      </c>
      <c r="D73" s="110">
        <v>0.98</v>
      </c>
      <c r="E73" s="110">
        <v>2.39</v>
      </c>
      <c r="F73" s="110">
        <v>17.440000000000001</v>
      </c>
      <c r="G73" s="110">
        <v>0</v>
      </c>
      <c r="H73" s="110">
        <v>0.98</v>
      </c>
      <c r="I73" s="110">
        <v>2.39</v>
      </c>
    </row>
    <row r="74" spans="1:9" x14ac:dyDescent="0.25">
      <c r="A74" s="109">
        <v>64</v>
      </c>
      <c r="B74" s="110">
        <v>17.79</v>
      </c>
      <c r="C74" s="110">
        <v>0</v>
      </c>
      <c r="D74" s="110">
        <v>0.99</v>
      </c>
      <c r="E74" s="110">
        <v>2.37</v>
      </c>
      <c r="F74" s="110">
        <v>17.79</v>
      </c>
      <c r="G74" s="110">
        <v>0</v>
      </c>
      <c r="H74" s="110">
        <v>0.99</v>
      </c>
      <c r="I74" s="110">
        <v>2.37</v>
      </c>
    </row>
    <row r="75" spans="1:9" x14ac:dyDescent="0.25">
      <c r="A75" s="109">
        <v>65</v>
      </c>
      <c r="B75" s="110">
        <v>17.649999999999999</v>
      </c>
      <c r="C75" s="110">
        <v>0</v>
      </c>
      <c r="D75" s="110">
        <v>1</v>
      </c>
      <c r="E75" s="110">
        <v>2.35</v>
      </c>
      <c r="F75" s="110">
        <v>17.649999999999999</v>
      </c>
      <c r="G75" s="110">
        <v>0</v>
      </c>
      <c r="H75" s="110">
        <v>1</v>
      </c>
      <c r="I75" s="110">
        <v>2.35</v>
      </c>
    </row>
    <row r="76" spans="1:9" x14ac:dyDescent="0.25">
      <c r="A76" s="109">
        <v>66</v>
      </c>
      <c r="B76" s="110">
        <v>16.989999999999998</v>
      </c>
      <c r="C76" s="110">
        <v>0</v>
      </c>
      <c r="D76" s="110">
        <v>1</v>
      </c>
      <c r="E76" s="110">
        <v>2.34</v>
      </c>
      <c r="F76" s="110">
        <v>16.989999999999998</v>
      </c>
      <c r="G76" s="110">
        <v>0</v>
      </c>
      <c r="H76" s="110">
        <v>1</v>
      </c>
      <c r="I76" s="110">
        <v>2.34</v>
      </c>
    </row>
    <row r="77" spans="1:9" x14ac:dyDescent="0.25">
      <c r="A77" s="109">
        <v>67</v>
      </c>
      <c r="B77" s="110">
        <v>16.34</v>
      </c>
      <c r="C77" s="110">
        <v>0</v>
      </c>
      <c r="D77" s="110">
        <v>1</v>
      </c>
      <c r="E77" s="110">
        <v>2.33</v>
      </c>
      <c r="F77" s="110">
        <v>16.34</v>
      </c>
      <c r="G77" s="110">
        <v>0</v>
      </c>
      <c r="H77" s="110">
        <v>1</v>
      </c>
      <c r="I77" s="110">
        <v>2.33</v>
      </c>
    </row>
    <row r="78" spans="1:9" x14ac:dyDescent="0.25">
      <c r="A78" s="109">
        <v>68</v>
      </c>
      <c r="B78" s="110">
        <v>15.69</v>
      </c>
      <c r="C78" s="110">
        <v>0</v>
      </c>
      <c r="D78" s="110">
        <v>1</v>
      </c>
      <c r="E78" s="110">
        <v>2.3199999999999998</v>
      </c>
      <c r="F78" s="110">
        <v>15.69</v>
      </c>
      <c r="G78" s="110">
        <v>0</v>
      </c>
      <c r="H78" s="110">
        <v>1</v>
      </c>
      <c r="I78" s="110">
        <v>2.3199999999999998</v>
      </c>
    </row>
    <row r="79" spans="1:9" x14ac:dyDescent="0.25">
      <c r="A79" s="109">
        <v>69</v>
      </c>
      <c r="B79" s="110">
        <v>15.06</v>
      </c>
      <c r="C79" s="110">
        <v>0</v>
      </c>
      <c r="D79" s="110">
        <v>1</v>
      </c>
      <c r="E79" s="110">
        <v>2.2999999999999998</v>
      </c>
      <c r="F79" s="110">
        <v>15.06</v>
      </c>
      <c r="G79" s="110">
        <v>0</v>
      </c>
      <c r="H79" s="110">
        <v>1</v>
      </c>
      <c r="I79" s="110">
        <v>2.2999999999999998</v>
      </c>
    </row>
    <row r="80" spans="1:9" x14ac:dyDescent="0.25">
      <c r="A80" s="109">
        <v>70</v>
      </c>
      <c r="B80" s="110">
        <v>14.43</v>
      </c>
      <c r="C80" s="110">
        <v>0</v>
      </c>
      <c r="D80" s="110">
        <v>1</v>
      </c>
      <c r="E80" s="110">
        <v>2.2799999999999998</v>
      </c>
      <c r="F80" s="110">
        <v>14.43</v>
      </c>
      <c r="G80" s="110">
        <v>0</v>
      </c>
      <c r="H80" s="110">
        <v>1</v>
      </c>
      <c r="I80" s="110">
        <v>2.2799999999999998</v>
      </c>
    </row>
    <row r="81" spans="1:9" x14ac:dyDescent="0.25">
      <c r="A81" s="109">
        <v>71</v>
      </c>
      <c r="B81" s="110">
        <v>13.8</v>
      </c>
      <c r="C81" s="110">
        <v>0</v>
      </c>
      <c r="D81" s="110">
        <v>1</v>
      </c>
      <c r="E81" s="110">
        <v>2.25</v>
      </c>
      <c r="F81" s="110">
        <v>13.8</v>
      </c>
      <c r="G81" s="110">
        <v>0</v>
      </c>
      <c r="H81" s="110">
        <v>1</v>
      </c>
      <c r="I81" s="110">
        <v>2.25</v>
      </c>
    </row>
    <row r="82" spans="1:9" x14ac:dyDescent="0.25">
      <c r="A82" s="109">
        <v>72</v>
      </c>
      <c r="B82" s="110">
        <v>13.18</v>
      </c>
      <c r="C82" s="110">
        <v>0</v>
      </c>
      <c r="D82" s="110">
        <v>1</v>
      </c>
      <c r="E82" s="110">
        <v>2.23</v>
      </c>
      <c r="F82" s="110">
        <v>13.18</v>
      </c>
      <c r="G82" s="110">
        <v>0</v>
      </c>
      <c r="H82" s="110">
        <v>1</v>
      </c>
      <c r="I82" s="110">
        <v>2.23</v>
      </c>
    </row>
    <row r="83" spans="1:9" x14ac:dyDescent="0.25">
      <c r="A83" s="109">
        <v>73</v>
      </c>
      <c r="B83" s="110">
        <v>12.57</v>
      </c>
      <c r="C83" s="110">
        <v>0</v>
      </c>
      <c r="D83" s="110">
        <v>1</v>
      </c>
      <c r="E83" s="110">
        <v>2.19</v>
      </c>
      <c r="F83" s="110">
        <v>12.57</v>
      </c>
      <c r="G83" s="110">
        <v>0</v>
      </c>
      <c r="H83" s="110">
        <v>1</v>
      </c>
      <c r="I83" s="110">
        <v>2.19</v>
      </c>
    </row>
    <row r="84" spans="1:9" x14ac:dyDescent="0.25">
      <c r="A84" s="109">
        <v>74</v>
      </c>
      <c r="B84" s="110">
        <v>11.96</v>
      </c>
      <c r="C84" s="110">
        <v>0</v>
      </c>
      <c r="D84" s="110">
        <v>1</v>
      </c>
      <c r="E84" s="110">
        <v>2.16</v>
      </c>
      <c r="F84" s="110">
        <v>11.96</v>
      </c>
      <c r="G84" s="110">
        <v>0</v>
      </c>
      <c r="H84" s="110">
        <v>1</v>
      </c>
      <c r="I84" s="110">
        <v>2.16</v>
      </c>
    </row>
    <row r="85" spans="1:9" x14ac:dyDescent="0.25">
      <c r="A85" s="109">
        <v>75</v>
      </c>
      <c r="B85" s="110">
        <v>11.37</v>
      </c>
      <c r="C85" s="110">
        <v>0</v>
      </c>
      <c r="D85" s="110">
        <v>1</v>
      </c>
      <c r="E85" s="110">
        <v>2.12</v>
      </c>
      <c r="F85" s="110">
        <v>11.37</v>
      </c>
      <c r="G85" s="110">
        <v>0</v>
      </c>
      <c r="H85" s="110">
        <v>1</v>
      </c>
      <c r="I85" s="110">
        <v>2.12</v>
      </c>
    </row>
  </sheetData>
  <conditionalFormatting sqref="A6:A21">
    <cfRule type="expression" dxfId="1105" priority="3" stopIfTrue="1">
      <formula>MOD(ROW(),2)=0</formula>
    </cfRule>
    <cfRule type="expression" dxfId="1104" priority="4" stopIfTrue="1">
      <formula>MOD(ROW(),2)&lt;&gt;0</formula>
    </cfRule>
  </conditionalFormatting>
  <conditionalFormatting sqref="A26:A85">
    <cfRule type="expression" dxfId="1103" priority="9" stopIfTrue="1">
      <formula>MOD(ROW(),2)=0</formula>
    </cfRule>
    <cfRule type="expression" dxfId="1102" priority="10" stopIfTrue="1">
      <formula>MOD(ROW(),2)&lt;&gt;0</formula>
    </cfRule>
  </conditionalFormatting>
  <conditionalFormatting sqref="B12">
    <cfRule type="expression" dxfId="1101" priority="17" stopIfTrue="1">
      <formula>MOD(ROW(),2)=0</formula>
    </cfRule>
    <cfRule type="expression" dxfId="1100" priority="18" stopIfTrue="1">
      <formula>MOD(ROW(),2)&lt;&gt;0</formula>
    </cfRule>
  </conditionalFormatting>
  <conditionalFormatting sqref="B17:B21">
    <cfRule type="expression" dxfId="1099" priority="1" stopIfTrue="1">
      <formula>MOD(ROW(),2)=0</formula>
    </cfRule>
    <cfRule type="expression" dxfId="1098" priority="2" stopIfTrue="1">
      <formula>MOD(ROW(),2)&lt;&gt;0</formula>
    </cfRule>
  </conditionalFormatting>
  <conditionalFormatting sqref="B6:I6 C7:I7 B8:I11 C12:I12 B13:I16 C17:I21">
    <cfRule type="expression" dxfId="1097" priority="45" stopIfTrue="1">
      <formula>MOD(ROW(),2)=0</formula>
    </cfRule>
    <cfRule type="expression" dxfId="1096" priority="46" stopIfTrue="1">
      <formula>MOD(ROW(),2)&lt;&gt;0</formula>
    </cfRule>
  </conditionalFormatting>
  <conditionalFormatting sqref="B6:I21">
    <cfRule type="expression" dxfId="1095" priority="33" stopIfTrue="1">
      <formula>MOD(ROW(),2)=0</formula>
    </cfRule>
    <cfRule type="expression" dxfId="1094" priority="34" stopIfTrue="1">
      <formula>MOD(ROW(),2)&lt;&gt;0</formula>
    </cfRule>
  </conditionalFormatting>
  <conditionalFormatting sqref="B26:I85">
    <cfRule type="expression" dxfId="1093" priority="11" stopIfTrue="1">
      <formula>MOD(ROW(),2)=0</formula>
    </cfRule>
    <cfRule type="expression" dxfId="1092" priority="12" stopIfTrue="1">
      <formula>MOD(ROW(),2)&lt;&gt;0</formula>
    </cfRule>
  </conditionalFormatting>
  <hyperlinks>
    <hyperlink ref="B24" location="Assumptions!A1" display="Assumptions" xr:uid="{A406B776-458D-43FF-8DE4-480C49781D0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A1:E85"/>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5" ht="20" x14ac:dyDescent="0.4">
      <c r="A1" s="53" t="s">
        <v>0</v>
      </c>
      <c r="B1" s="54"/>
      <c r="C1" s="54"/>
      <c r="D1" s="54"/>
      <c r="E1" s="54"/>
    </row>
    <row r="2" spans="1:5" ht="15.5" x14ac:dyDescent="0.35">
      <c r="A2" s="55" t="str">
        <f>IF(title="&gt; Enter workbook title here","Enter workbook title in Cover sheet",title)</f>
        <v>Northern Ireland Civil Service Pension Schemes - Consolidated Factor Spreadsheet</v>
      </c>
      <c r="B2" s="56"/>
      <c r="C2" s="56"/>
      <c r="D2" s="56"/>
      <c r="E2" s="56"/>
    </row>
    <row r="3" spans="1:5" ht="15.5" x14ac:dyDescent="0.35">
      <c r="A3" s="57" t="str">
        <f>TABLE_FACTOR_TYPE_1&amp;" - x-"&amp;TABLE_SERIES_NUMBER_1</f>
        <v>CETV - x-208</v>
      </c>
      <c r="B3" s="56"/>
      <c r="C3" s="56"/>
      <c r="D3" s="56"/>
      <c r="E3" s="56"/>
    </row>
    <row r="4" spans="1:5" x14ac:dyDescent="0.25">
      <c r="A4" s="58"/>
    </row>
    <row r="6" spans="1:5" ht="13" x14ac:dyDescent="0.3">
      <c r="A6" s="86" t="s">
        <v>716</v>
      </c>
      <c r="B6" s="111" t="s">
        <v>717</v>
      </c>
      <c r="C6" s="111"/>
      <c r="D6" s="111"/>
      <c r="E6" s="111"/>
    </row>
    <row r="7" spans="1:5" x14ac:dyDescent="0.25">
      <c r="A7" s="87" t="s">
        <v>797</v>
      </c>
      <c r="B7" s="111" t="s">
        <v>326</v>
      </c>
      <c r="C7" s="111"/>
      <c r="D7" s="111"/>
      <c r="E7" s="111"/>
    </row>
    <row r="8" spans="1:5" x14ac:dyDescent="0.25">
      <c r="A8" s="87" t="s">
        <v>798</v>
      </c>
      <c r="B8" s="111" t="s">
        <v>96</v>
      </c>
      <c r="C8" s="111"/>
      <c r="D8" s="111"/>
      <c r="E8" s="111"/>
    </row>
    <row r="9" spans="1:5" x14ac:dyDescent="0.25">
      <c r="A9" s="87" t="s">
        <v>300</v>
      </c>
      <c r="B9" s="111" t="s">
        <v>332</v>
      </c>
      <c r="C9" s="111"/>
      <c r="D9" s="111"/>
      <c r="E9" s="111"/>
    </row>
    <row r="10" spans="1:5" x14ac:dyDescent="0.25">
      <c r="A10" s="87" t="s">
        <v>6</v>
      </c>
      <c r="B10" s="111" t="s">
        <v>358</v>
      </c>
      <c r="C10" s="111"/>
      <c r="D10" s="111"/>
      <c r="E10" s="111"/>
    </row>
    <row r="11" spans="1:5" x14ac:dyDescent="0.25">
      <c r="A11" s="87" t="s">
        <v>301</v>
      </c>
      <c r="B11" s="111" t="s">
        <v>334</v>
      </c>
      <c r="C11" s="111"/>
      <c r="D11" s="111"/>
      <c r="E11" s="111"/>
    </row>
    <row r="12" spans="1:5" x14ac:dyDescent="0.25">
      <c r="A12" s="87" t="s">
        <v>302</v>
      </c>
      <c r="B12" s="111" t="s">
        <v>335</v>
      </c>
      <c r="C12" s="111"/>
      <c r="D12" s="111"/>
      <c r="E12" s="111"/>
    </row>
    <row r="13" spans="1:5" x14ac:dyDescent="0.25">
      <c r="A13" s="87" t="s">
        <v>724</v>
      </c>
      <c r="B13" s="111">
        <v>1</v>
      </c>
      <c r="C13" s="111"/>
      <c r="D13" s="111"/>
      <c r="E13" s="111"/>
    </row>
    <row r="14" spans="1:5" x14ac:dyDescent="0.25">
      <c r="A14" s="87" t="s">
        <v>304</v>
      </c>
      <c r="B14" s="111">
        <v>208</v>
      </c>
      <c r="C14" s="111"/>
      <c r="D14" s="111"/>
      <c r="E14" s="111"/>
    </row>
    <row r="15" spans="1:5" x14ac:dyDescent="0.25">
      <c r="A15" s="87" t="s">
        <v>727</v>
      </c>
      <c r="B15" s="111" t="s">
        <v>359</v>
      </c>
      <c r="C15" s="111"/>
      <c r="D15" s="111"/>
      <c r="E15" s="111"/>
    </row>
    <row r="16" spans="1:5" x14ac:dyDescent="0.25">
      <c r="A16" s="87" t="s">
        <v>306</v>
      </c>
      <c r="B16" s="111" t="s">
        <v>360</v>
      </c>
      <c r="C16" s="111"/>
      <c r="D16" s="111"/>
      <c r="E16" s="111"/>
    </row>
    <row r="17" spans="1:5" x14ac:dyDescent="0.25">
      <c r="A17" s="87" t="s">
        <v>800</v>
      </c>
      <c r="B17" s="111"/>
      <c r="C17" s="111"/>
      <c r="D17" s="111"/>
      <c r="E17" s="111"/>
    </row>
    <row r="18" spans="1:5" x14ac:dyDescent="0.25">
      <c r="A18" s="87" t="s">
        <v>308</v>
      </c>
      <c r="B18" s="122">
        <v>45071</v>
      </c>
      <c r="C18" s="111"/>
      <c r="D18" s="111"/>
      <c r="E18" s="111"/>
    </row>
    <row r="19" spans="1:5" x14ac:dyDescent="0.25">
      <c r="A19" s="87" t="s">
        <v>309</v>
      </c>
      <c r="B19" s="122">
        <v>45014</v>
      </c>
      <c r="C19" s="111"/>
      <c r="D19" s="111"/>
      <c r="E19" s="111"/>
    </row>
    <row r="20" spans="1:5" x14ac:dyDescent="0.25">
      <c r="A20" s="87" t="s">
        <v>310</v>
      </c>
      <c r="B20" s="111" t="s">
        <v>324</v>
      </c>
      <c r="C20" s="111"/>
      <c r="D20" s="111"/>
      <c r="E20" s="111"/>
    </row>
    <row r="21" spans="1:5" x14ac:dyDescent="0.25">
      <c r="A21" s="87" t="s">
        <v>311</v>
      </c>
      <c r="B21" s="111" t="s">
        <v>325</v>
      </c>
      <c r="C21" s="111"/>
      <c r="D21" s="111"/>
      <c r="E21" s="111"/>
    </row>
    <row r="23" spans="1:5" x14ac:dyDescent="0.25">
      <c r="B23" s="104" t="str">
        <f>HYPERLINK("#'Factor List'!A1","Back to Factor List")</f>
        <v>Back to Factor List</v>
      </c>
    </row>
    <row r="24" spans="1:5" x14ac:dyDescent="0.25">
      <c r="B24" s="104" t="s">
        <v>13</v>
      </c>
    </row>
    <row r="26" spans="1:5" ht="26" x14ac:dyDescent="0.25">
      <c r="A26" s="108" t="s">
        <v>534</v>
      </c>
      <c r="B26" s="108" t="s">
        <v>803</v>
      </c>
      <c r="C26" s="108" t="s">
        <v>804</v>
      </c>
      <c r="D26" s="108" t="s">
        <v>805</v>
      </c>
      <c r="E26" s="108" t="s">
        <v>806</v>
      </c>
    </row>
    <row r="27" spans="1:5" x14ac:dyDescent="0.25">
      <c r="A27" s="109">
        <v>17</v>
      </c>
      <c r="B27" s="110">
        <v>3.43</v>
      </c>
      <c r="C27" s="110">
        <v>0.56999999999999995</v>
      </c>
      <c r="D27" s="110">
        <v>3.43</v>
      </c>
      <c r="E27" s="110">
        <v>0.56999999999999995</v>
      </c>
    </row>
    <row r="28" spans="1:5" x14ac:dyDescent="0.25">
      <c r="A28" s="109">
        <v>18</v>
      </c>
      <c r="B28" s="110">
        <v>3.55</v>
      </c>
      <c r="C28" s="110">
        <v>0.61</v>
      </c>
      <c r="D28" s="110">
        <v>3.55</v>
      </c>
      <c r="E28" s="110">
        <v>0.61</v>
      </c>
    </row>
    <row r="29" spans="1:5" x14ac:dyDescent="0.25">
      <c r="A29" s="109">
        <v>19</v>
      </c>
      <c r="B29" s="110">
        <v>3.67</v>
      </c>
      <c r="C29" s="110">
        <v>0.64</v>
      </c>
      <c r="D29" s="110">
        <v>3.67</v>
      </c>
      <c r="E29" s="110">
        <v>0.64</v>
      </c>
    </row>
    <row r="30" spans="1:5" x14ac:dyDescent="0.25">
      <c r="A30" s="109">
        <v>20</v>
      </c>
      <c r="B30" s="110">
        <v>3.8</v>
      </c>
      <c r="C30" s="110">
        <v>0.66</v>
      </c>
      <c r="D30" s="110">
        <v>3.8</v>
      </c>
      <c r="E30" s="110">
        <v>0.66</v>
      </c>
    </row>
    <row r="31" spans="1:5" x14ac:dyDescent="0.25">
      <c r="A31" s="109">
        <v>21</v>
      </c>
      <c r="B31" s="110">
        <v>3.93</v>
      </c>
      <c r="C31" s="110">
        <v>0.69</v>
      </c>
      <c r="D31" s="110">
        <v>3.93</v>
      </c>
      <c r="E31" s="110">
        <v>0.69</v>
      </c>
    </row>
    <row r="32" spans="1:5" x14ac:dyDescent="0.25">
      <c r="A32" s="109">
        <v>22</v>
      </c>
      <c r="B32" s="110">
        <v>4.0599999999999996</v>
      </c>
      <c r="C32" s="110">
        <v>0.72</v>
      </c>
      <c r="D32" s="110">
        <v>4.0599999999999996</v>
      </c>
      <c r="E32" s="110">
        <v>0.72</v>
      </c>
    </row>
    <row r="33" spans="1:5" x14ac:dyDescent="0.25">
      <c r="A33" s="109">
        <v>23</v>
      </c>
      <c r="B33" s="110">
        <v>4.2</v>
      </c>
      <c r="C33" s="110">
        <v>0.74</v>
      </c>
      <c r="D33" s="110">
        <v>4.2</v>
      </c>
      <c r="E33" s="110">
        <v>0.74</v>
      </c>
    </row>
    <row r="34" spans="1:5" x14ac:dyDescent="0.25">
      <c r="A34" s="109">
        <v>24</v>
      </c>
      <c r="B34" s="110">
        <v>4.3499999999999996</v>
      </c>
      <c r="C34" s="110">
        <v>0.77</v>
      </c>
      <c r="D34" s="110">
        <v>4.3499999999999996</v>
      </c>
      <c r="E34" s="110">
        <v>0.77</v>
      </c>
    </row>
    <row r="35" spans="1:5" x14ac:dyDescent="0.25">
      <c r="A35" s="109">
        <v>25</v>
      </c>
      <c r="B35" s="110">
        <v>4.49</v>
      </c>
      <c r="C35" s="110">
        <v>0.8</v>
      </c>
      <c r="D35" s="110">
        <v>4.49</v>
      </c>
      <c r="E35" s="110">
        <v>0.8</v>
      </c>
    </row>
    <row r="36" spans="1:5" x14ac:dyDescent="0.25">
      <c r="A36" s="109">
        <v>26</v>
      </c>
      <c r="B36" s="110">
        <v>4.6500000000000004</v>
      </c>
      <c r="C36" s="110">
        <v>0.83</v>
      </c>
      <c r="D36" s="110">
        <v>4.6500000000000004</v>
      </c>
      <c r="E36" s="110">
        <v>0.83</v>
      </c>
    </row>
    <row r="37" spans="1:5" x14ac:dyDescent="0.25">
      <c r="A37" s="109">
        <v>27</v>
      </c>
      <c r="B37" s="110">
        <v>4.8099999999999996</v>
      </c>
      <c r="C37" s="110">
        <v>0.86</v>
      </c>
      <c r="D37" s="110">
        <v>4.8099999999999996</v>
      </c>
      <c r="E37" s="110">
        <v>0.86</v>
      </c>
    </row>
    <row r="38" spans="1:5" x14ac:dyDescent="0.25">
      <c r="A38" s="109">
        <v>28</v>
      </c>
      <c r="B38" s="110">
        <v>4.97</v>
      </c>
      <c r="C38" s="110">
        <v>0.89</v>
      </c>
      <c r="D38" s="110">
        <v>4.97</v>
      </c>
      <c r="E38" s="110">
        <v>0.89</v>
      </c>
    </row>
    <row r="39" spans="1:5" x14ac:dyDescent="0.25">
      <c r="A39" s="109">
        <v>29</v>
      </c>
      <c r="B39" s="110">
        <v>5.14</v>
      </c>
      <c r="C39" s="110">
        <v>0.92</v>
      </c>
      <c r="D39" s="110">
        <v>5.14</v>
      </c>
      <c r="E39" s="110">
        <v>0.92</v>
      </c>
    </row>
    <row r="40" spans="1:5" x14ac:dyDescent="0.25">
      <c r="A40" s="109">
        <v>30</v>
      </c>
      <c r="B40" s="110">
        <v>5.32</v>
      </c>
      <c r="C40" s="110">
        <v>0.95</v>
      </c>
      <c r="D40" s="110">
        <v>5.32</v>
      </c>
      <c r="E40" s="110">
        <v>0.95</v>
      </c>
    </row>
    <row r="41" spans="1:5" x14ac:dyDescent="0.25">
      <c r="A41" s="109">
        <v>31</v>
      </c>
      <c r="B41" s="110">
        <v>5.5</v>
      </c>
      <c r="C41" s="110">
        <v>0.99</v>
      </c>
      <c r="D41" s="110">
        <v>5.5</v>
      </c>
      <c r="E41" s="110">
        <v>0.99</v>
      </c>
    </row>
    <row r="42" spans="1:5" x14ac:dyDescent="0.25">
      <c r="A42" s="109">
        <v>32</v>
      </c>
      <c r="B42" s="110">
        <v>5.69</v>
      </c>
      <c r="C42" s="110">
        <v>1.02</v>
      </c>
      <c r="D42" s="110">
        <v>5.69</v>
      </c>
      <c r="E42" s="110">
        <v>1.02</v>
      </c>
    </row>
    <row r="43" spans="1:5" x14ac:dyDescent="0.25">
      <c r="A43" s="109">
        <v>33</v>
      </c>
      <c r="B43" s="110">
        <v>5.88</v>
      </c>
      <c r="C43" s="110">
        <v>1.06</v>
      </c>
      <c r="D43" s="110">
        <v>5.88</v>
      </c>
      <c r="E43" s="110">
        <v>1.06</v>
      </c>
    </row>
    <row r="44" spans="1:5" x14ac:dyDescent="0.25">
      <c r="A44" s="109">
        <v>34</v>
      </c>
      <c r="B44" s="110">
        <v>6.08</v>
      </c>
      <c r="C44" s="110">
        <v>1.0900000000000001</v>
      </c>
      <c r="D44" s="110">
        <v>6.08</v>
      </c>
      <c r="E44" s="110">
        <v>1.0900000000000001</v>
      </c>
    </row>
    <row r="45" spans="1:5" x14ac:dyDescent="0.25">
      <c r="A45" s="109">
        <v>35</v>
      </c>
      <c r="B45" s="110">
        <v>6.29</v>
      </c>
      <c r="C45" s="110">
        <v>1.1299999999999999</v>
      </c>
      <c r="D45" s="110">
        <v>6.29</v>
      </c>
      <c r="E45" s="110">
        <v>1.1299999999999999</v>
      </c>
    </row>
    <row r="46" spans="1:5" x14ac:dyDescent="0.25">
      <c r="A46" s="109">
        <v>36</v>
      </c>
      <c r="B46" s="110">
        <v>6.51</v>
      </c>
      <c r="C46" s="110">
        <v>1.17</v>
      </c>
      <c r="D46" s="110">
        <v>6.51</v>
      </c>
      <c r="E46" s="110">
        <v>1.17</v>
      </c>
    </row>
    <row r="47" spans="1:5" x14ac:dyDescent="0.25">
      <c r="A47" s="109">
        <v>37</v>
      </c>
      <c r="B47" s="110">
        <v>6.73</v>
      </c>
      <c r="C47" s="110">
        <v>1.21</v>
      </c>
      <c r="D47" s="110">
        <v>6.73</v>
      </c>
      <c r="E47" s="110">
        <v>1.21</v>
      </c>
    </row>
    <row r="48" spans="1:5" x14ac:dyDescent="0.25">
      <c r="A48" s="109">
        <v>38</v>
      </c>
      <c r="B48" s="110">
        <v>6.97</v>
      </c>
      <c r="C48" s="110">
        <v>1.25</v>
      </c>
      <c r="D48" s="110">
        <v>6.97</v>
      </c>
      <c r="E48" s="110">
        <v>1.25</v>
      </c>
    </row>
    <row r="49" spans="1:5" x14ac:dyDescent="0.25">
      <c r="A49" s="109">
        <v>39</v>
      </c>
      <c r="B49" s="110">
        <v>7.21</v>
      </c>
      <c r="C49" s="110">
        <v>1.29</v>
      </c>
      <c r="D49" s="110">
        <v>7.21</v>
      </c>
      <c r="E49" s="110">
        <v>1.29</v>
      </c>
    </row>
    <row r="50" spans="1:5" x14ac:dyDescent="0.25">
      <c r="A50" s="109">
        <v>40</v>
      </c>
      <c r="B50" s="110">
        <v>7.45</v>
      </c>
      <c r="C50" s="110">
        <v>1.33</v>
      </c>
      <c r="D50" s="110">
        <v>7.45</v>
      </c>
      <c r="E50" s="110">
        <v>1.33</v>
      </c>
    </row>
    <row r="51" spans="1:5" x14ac:dyDescent="0.25">
      <c r="A51" s="109">
        <v>41</v>
      </c>
      <c r="B51" s="110">
        <v>7.71</v>
      </c>
      <c r="C51" s="110">
        <v>1.37</v>
      </c>
      <c r="D51" s="110">
        <v>7.71</v>
      </c>
      <c r="E51" s="110">
        <v>1.37</v>
      </c>
    </row>
    <row r="52" spans="1:5" x14ac:dyDescent="0.25">
      <c r="A52" s="109">
        <v>42</v>
      </c>
      <c r="B52" s="110">
        <v>7.98</v>
      </c>
      <c r="C52" s="110">
        <v>1.42</v>
      </c>
      <c r="D52" s="110">
        <v>7.98</v>
      </c>
      <c r="E52" s="110">
        <v>1.42</v>
      </c>
    </row>
    <row r="53" spans="1:5" x14ac:dyDescent="0.25">
      <c r="A53" s="109">
        <v>43</v>
      </c>
      <c r="B53" s="110">
        <v>8.26</v>
      </c>
      <c r="C53" s="110">
        <v>1.46</v>
      </c>
      <c r="D53" s="110">
        <v>8.26</v>
      </c>
      <c r="E53" s="110">
        <v>1.46</v>
      </c>
    </row>
    <row r="54" spans="1:5" x14ac:dyDescent="0.25">
      <c r="A54" s="109">
        <v>44</v>
      </c>
      <c r="B54" s="110">
        <v>8.5399999999999991</v>
      </c>
      <c r="C54" s="110">
        <v>1.51</v>
      </c>
      <c r="D54" s="110">
        <v>8.5399999999999991</v>
      </c>
      <c r="E54" s="110">
        <v>1.51</v>
      </c>
    </row>
    <row r="55" spans="1:5" x14ac:dyDescent="0.25">
      <c r="A55" s="109">
        <v>45</v>
      </c>
      <c r="B55" s="110">
        <v>8.84</v>
      </c>
      <c r="C55" s="110">
        <v>1.55</v>
      </c>
      <c r="D55" s="110">
        <v>8.84</v>
      </c>
      <c r="E55" s="110">
        <v>1.55</v>
      </c>
    </row>
    <row r="56" spans="1:5" x14ac:dyDescent="0.25">
      <c r="A56" s="109">
        <v>46</v>
      </c>
      <c r="B56" s="110">
        <v>9.15</v>
      </c>
      <c r="C56" s="110">
        <v>1.6</v>
      </c>
      <c r="D56" s="110">
        <v>9.15</v>
      </c>
      <c r="E56" s="110">
        <v>1.6</v>
      </c>
    </row>
    <row r="57" spans="1:5" x14ac:dyDescent="0.25">
      <c r="A57" s="109">
        <v>47</v>
      </c>
      <c r="B57" s="110">
        <v>9.4700000000000006</v>
      </c>
      <c r="C57" s="110">
        <v>1.64</v>
      </c>
      <c r="D57" s="110">
        <v>9.4700000000000006</v>
      </c>
      <c r="E57" s="110">
        <v>1.64</v>
      </c>
    </row>
    <row r="58" spans="1:5" x14ac:dyDescent="0.25">
      <c r="A58" s="109">
        <v>48</v>
      </c>
      <c r="B58" s="110">
        <v>9.81</v>
      </c>
      <c r="C58" s="110">
        <v>1.69</v>
      </c>
      <c r="D58" s="110">
        <v>9.81</v>
      </c>
      <c r="E58" s="110">
        <v>1.69</v>
      </c>
    </row>
    <row r="59" spans="1:5" x14ac:dyDescent="0.25">
      <c r="A59" s="109">
        <v>49</v>
      </c>
      <c r="B59" s="110">
        <v>10.15</v>
      </c>
      <c r="C59" s="110">
        <v>1.73</v>
      </c>
      <c r="D59" s="110">
        <v>10.15</v>
      </c>
      <c r="E59" s="110">
        <v>1.73</v>
      </c>
    </row>
    <row r="60" spans="1:5" x14ac:dyDescent="0.25">
      <c r="A60" s="109">
        <v>50</v>
      </c>
      <c r="B60" s="110">
        <v>10.51</v>
      </c>
      <c r="C60" s="110">
        <v>1.78</v>
      </c>
      <c r="D60" s="110">
        <v>10.51</v>
      </c>
      <c r="E60" s="110">
        <v>1.78</v>
      </c>
    </row>
    <row r="61" spans="1:5" x14ac:dyDescent="0.25">
      <c r="A61" s="109">
        <v>51</v>
      </c>
      <c r="B61" s="110">
        <v>10.89</v>
      </c>
      <c r="C61" s="110">
        <v>1.83</v>
      </c>
      <c r="D61" s="110">
        <v>10.89</v>
      </c>
      <c r="E61" s="110">
        <v>1.83</v>
      </c>
    </row>
    <row r="62" spans="1:5" x14ac:dyDescent="0.25">
      <c r="A62" s="109">
        <v>52</v>
      </c>
      <c r="B62" s="110">
        <v>11.28</v>
      </c>
      <c r="C62" s="110">
        <v>1.87</v>
      </c>
      <c r="D62" s="110">
        <v>11.28</v>
      </c>
      <c r="E62" s="110">
        <v>1.87</v>
      </c>
    </row>
    <row r="63" spans="1:5" x14ac:dyDescent="0.25">
      <c r="A63" s="109">
        <v>53</v>
      </c>
      <c r="B63" s="110">
        <v>11.68</v>
      </c>
      <c r="C63" s="110">
        <v>1.92</v>
      </c>
      <c r="D63" s="110">
        <v>11.68</v>
      </c>
      <c r="E63" s="110">
        <v>1.92</v>
      </c>
    </row>
    <row r="64" spans="1:5" x14ac:dyDescent="0.25">
      <c r="A64" s="109">
        <v>54</v>
      </c>
      <c r="B64" s="110">
        <v>12.11</v>
      </c>
      <c r="C64" s="110">
        <v>1.97</v>
      </c>
      <c r="D64" s="110">
        <v>12.11</v>
      </c>
      <c r="E64" s="110">
        <v>1.97</v>
      </c>
    </row>
    <row r="65" spans="1:5" x14ac:dyDescent="0.25">
      <c r="A65" s="109">
        <v>55</v>
      </c>
      <c r="B65" s="110">
        <v>12.55</v>
      </c>
      <c r="C65" s="110">
        <v>2.0099999999999998</v>
      </c>
      <c r="D65" s="110">
        <v>12.55</v>
      </c>
      <c r="E65" s="110">
        <v>2.0099999999999998</v>
      </c>
    </row>
    <row r="66" spans="1:5" x14ac:dyDescent="0.25">
      <c r="A66" s="109">
        <v>56</v>
      </c>
      <c r="B66" s="110">
        <v>13.01</v>
      </c>
      <c r="C66" s="110">
        <v>2.06</v>
      </c>
      <c r="D66" s="110">
        <v>13.01</v>
      </c>
      <c r="E66" s="110">
        <v>2.06</v>
      </c>
    </row>
    <row r="67" spans="1:5" x14ac:dyDescent="0.25">
      <c r="A67" s="109">
        <v>57</v>
      </c>
      <c r="B67" s="110">
        <v>13.49</v>
      </c>
      <c r="C67" s="110">
        <v>2.1</v>
      </c>
      <c r="D67" s="110">
        <v>13.49</v>
      </c>
      <c r="E67" s="110">
        <v>2.1</v>
      </c>
    </row>
    <row r="68" spans="1:5" x14ac:dyDescent="0.25">
      <c r="A68" s="109">
        <v>58</v>
      </c>
      <c r="B68" s="110">
        <v>13.99</v>
      </c>
      <c r="C68" s="110">
        <v>2.14</v>
      </c>
      <c r="D68" s="110">
        <v>13.99</v>
      </c>
      <c r="E68" s="110">
        <v>2.14</v>
      </c>
    </row>
    <row r="69" spans="1:5" x14ac:dyDescent="0.25">
      <c r="A69" s="109">
        <v>59</v>
      </c>
      <c r="B69" s="110">
        <v>14.52</v>
      </c>
      <c r="C69" s="110">
        <v>2.1800000000000002</v>
      </c>
      <c r="D69" s="110">
        <v>14.52</v>
      </c>
      <c r="E69" s="110">
        <v>2.1800000000000002</v>
      </c>
    </row>
    <row r="70" spans="1:5" x14ac:dyDescent="0.25">
      <c r="A70" s="109">
        <v>60</v>
      </c>
      <c r="B70" s="110">
        <v>15.08</v>
      </c>
      <c r="C70" s="110">
        <v>2.2200000000000002</v>
      </c>
      <c r="D70" s="110">
        <v>15.08</v>
      </c>
      <c r="E70" s="110">
        <v>2.2200000000000002</v>
      </c>
    </row>
    <row r="71" spans="1:5" x14ac:dyDescent="0.25">
      <c r="A71" s="109">
        <v>61</v>
      </c>
      <c r="B71" s="110">
        <v>15.66</v>
      </c>
      <c r="C71" s="110">
        <v>2.2599999999999998</v>
      </c>
      <c r="D71" s="110">
        <v>15.66</v>
      </c>
      <c r="E71" s="110">
        <v>2.2599999999999998</v>
      </c>
    </row>
    <row r="72" spans="1:5" x14ac:dyDescent="0.25">
      <c r="A72" s="109">
        <v>62</v>
      </c>
      <c r="B72" s="110">
        <v>16.28</v>
      </c>
      <c r="C72" s="110">
        <v>2.29</v>
      </c>
      <c r="D72" s="110">
        <v>16.28</v>
      </c>
      <c r="E72" s="110">
        <v>2.29</v>
      </c>
    </row>
    <row r="73" spans="1:5" x14ac:dyDescent="0.25">
      <c r="A73" s="109">
        <v>63</v>
      </c>
      <c r="B73" s="110">
        <v>16.93</v>
      </c>
      <c r="C73" s="110">
        <v>2.3199999999999998</v>
      </c>
      <c r="D73" s="110">
        <v>16.93</v>
      </c>
      <c r="E73" s="110">
        <v>2.3199999999999998</v>
      </c>
    </row>
    <row r="74" spans="1:5" x14ac:dyDescent="0.25">
      <c r="A74" s="109">
        <v>64</v>
      </c>
      <c r="B74" s="110">
        <v>17.62</v>
      </c>
      <c r="C74" s="110">
        <v>2.35</v>
      </c>
      <c r="D74" s="110">
        <v>17.62</v>
      </c>
      <c r="E74" s="110">
        <v>2.35</v>
      </c>
    </row>
    <row r="75" spans="1:5" x14ac:dyDescent="0.25">
      <c r="A75" s="109">
        <v>65</v>
      </c>
      <c r="B75" s="110">
        <v>17.649999999999999</v>
      </c>
      <c r="C75" s="110">
        <v>2.35</v>
      </c>
      <c r="D75" s="110">
        <v>17.649999999999999</v>
      </c>
      <c r="E75" s="110">
        <v>2.35</v>
      </c>
    </row>
    <row r="76" spans="1:5" x14ac:dyDescent="0.25">
      <c r="A76" s="109">
        <v>66</v>
      </c>
      <c r="B76" s="110">
        <v>16.989999999999998</v>
      </c>
      <c r="C76" s="110">
        <v>2.34</v>
      </c>
      <c r="D76" s="110">
        <v>16.989999999999998</v>
      </c>
      <c r="E76" s="110">
        <v>2.34</v>
      </c>
    </row>
    <row r="77" spans="1:5" x14ac:dyDescent="0.25">
      <c r="A77" s="109">
        <v>67</v>
      </c>
      <c r="B77" s="110">
        <v>16.34</v>
      </c>
      <c r="C77" s="110">
        <v>2.33</v>
      </c>
      <c r="D77" s="110">
        <v>16.34</v>
      </c>
      <c r="E77" s="110">
        <v>2.33</v>
      </c>
    </row>
    <row r="78" spans="1:5" x14ac:dyDescent="0.25">
      <c r="A78" s="109">
        <v>68</v>
      </c>
      <c r="B78" s="110">
        <v>15.69</v>
      </c>
      <c r="C78" s="110">
        <v>2.3199999999999998</v>
      </c>
      <c r="D78" s="110">
        <v>15.69</v>
      </c>
      <c r="E78" s="110">
        <v>2.3199999999999998</v>
      </c>
    </row>
    <row r="79" spans="1:5" x14ac:dyDescent="0.25">
      <c r="A79" s="109">
        <v>69</v>
      </c>
      <c r="B79" s="110">
        <v>15.06</v>
      </c>
      <c r="C79" s="110">
        <v>2.2999999999999998</v>
      </c>
      <c r="D79" s="110">
        <v>15.06</v>
      </c>
      <c r="E79" s="110">
        <v>2.2999999999999998</v>
      </c>
    </row>
    <row r="80" spans="1:5" x14ac:dyDescent="0.25">
      <c r="A80" s="109">
        <v>70</v>
      </c>
      <c r="B80" s="110">
        <v>14.43</v>
      </c>
      <c r="C80" s="110">
        <v>2.2799999999999998</v>
      </c>
      <c r="D80" s="110">
        <v>14.43</v>
      </c>
      <c r="E80" s="110">
        <v>2.2799999999999998</v>
      </c>
    </row>
    <row r="81" spans="1:5" x14ac:dyDescent="0.25">
      <c r="A81" s="109">
        <v>71</v>
      </c>
      <c r="B81" s="110">
        <v>13.8</v>
      </c>
      <c r="C81" s="110">
        <v>2.25</v>
      </c>
      <c r="D81" s="110">
        <v>13.8</v>
      </c>
      <c r="E81" s="110">
        <v>2.25</v>
      </c>
    </row>
    <row r="82" spans="1:5" x14ac:dyDescent="0.25">
      <c r="A82" s="109">
        <v>72</v>
      </c>
      <c r="B82" s="110">
        <v>13.18</v>
      </c>
      <c r="C82" s="110">
        <v>2.23</v>
      </c>
      <c r="D82" s="110">
        <v>13.18</v>
      </c>
      <c r="E82" s="110">
        <v>2.23</v>
      </c>
    </row>
    <row r="83" spans="1:5" x14ac:dyDescent="0.25">
      <c r="A83" s="109">
        <v>73</v>
      </c>
      <c r="B83" s="110">
        <v>12.57</v>
      </c>
      <c r="C83" s="110">
        <v>2.19</v>
      </c>
      <c r="D83" s="110">
        <v>12.57</v>
      </c>
      <c r="E83" s="110">
        <v>2.19</v>
      </c>
    </row>
    <row r="84" spans="1:5" x14ac:dyDescent="0.25">
      <c r="A84" s="109">
        <v>74</v>
      </c>
      <c r="B84" s="110">
        <v>11.96</v>
      </c>
      <c r="C84" s="110">
        <v>2.16</v>
      </c>
      <c r="D84" s="110">
        <v>11.96</v>
      </c>
      <c r="E84" s="110">
        <v>2.16</v>
      </c>
    </row>
    <row r="85" spans="1:5" x14ac:dyDescent="0.25">
      <c r="A85" s="109">
        <v>75</v>
      </c>
      <c r="B85" s="110">
        <v>11.37</v>
      </c>
      <c r="C85" s="110">
        <v>2.12</v>
      </c>
      <c r="D85" s="110">
        <v>11.37</v>
      </c>
      <c r="E85" s="110">
        <v>2.12</v>
      </c>
    </row>
  </sheetData>
  <conditionalFormatting sqref="A6:A21">
    <cfRule type="expression" dxfId="1091" priority="3" stopIfTrue="1">
      <formula>MOD(ROW(),2)=0</formula>
    </cfRule>
    <cfRule type="expression" dxfId="1090" priority="4" stopIfTrue="1">
      <formula>MOD(ROW(),2)&lt;&gt;0</formula>
    </cfRule>
  </conditionalFormatting>
  <conditionalFormatting sqref="A26:A85">
    <cfRule type="expression" dxfId="1089" priority="9" stopIfTrue="1">
      <formula>MOD(ROW(),2)=0</formula>
    </cfRule>
    <cfRule type="expression" dxfId="1088" priority="10" stopIfTrue="1">
      <formula>MOD(ROW(),2)&lt;&gt;0</formula>
    </cfRule>
  </conditionalFormatting>
  <conditionalFormatting sqref="B12">
    <cfRule type="expression" dxfId="1087" priority="17" stopIfTrue="1">
      <formula>MOD(ROW(),2)=0</formula>
    </cfRule>
    <cfRule type="expression" dxfId="1086" priority="18" stopIfTrue="1">
      <formula>MOD(ROW(),2)&lt;&gt;0</formula>
    </cfRule>
  </conditionalFormatting>
  <conditionalFormatting sqref="B17:B21">
    <cfRule type="expression" dxfId="1085" priority="1" stopIfTrue="1">
      <formula>MOD(ROW(),2)=0</formula>
    </cfRule>
    <cfRule type="expression" dxfId="1084" priority="2" stopIfTrue="1">
      <formula>MOD(ROW(),2)&lt;&gt;0</formula>
    </cfRule>
  </conditionalFormatting>
  <conditionalFormatting sqref="B6:E6 C7:E7 B8:E11 C12:E12 B13:E16 C17:E21">
    <cfRule type="expression" dxfId="1083" priority="45" stopIfTrue="1">
      <formula>MOD(ROW(),2)=0</formula>
    </cfRule>
    <cfRule type="expression" dxfId="1082" priority="46" stopIfTrue="1">
      <formula>MOD(ROW(),2)&lt;&gt;0</formula>
    </cfRule>
  </conditionalFormatting>
  <conditionalFormatting sqref="B6:E21">
    <cfRule type="expression" dxfId="1081" priority="33" stopIfTrue="1">
      <formula>MOD(ROW(),2)=0</formula>
    </cfRule>
    <cfRule type="expression" dxfId="1080" priority="34" stopIfTrue="1">
      <formula>MOD(ROW(),2)&lt;&gt;0</formula>
    </cfRule>
  </conditionalFormatting>
  <conditionalFormatting sqref="B26:E85">
    <cfRule type="expression" dxfId="1079" priority="11" stopIfTrue="1">
      <formula>MOD(ROW(),2)=0</formula>
    </cfRule>
    <cfRule type="expression" dxfId="1078" priority="12" stopIfTrue="1">
      <formula>MOD(ROW(),2)&lt;&gt;0</formula>
    </cfRule>
  </conditionalFormatting>
  <hyperlinks>
    <hyperlink ref="B24" location="Assumptions!A1" display="Assumptions" xr:uid="{B241A69A-6085-4056-AB33-9813526F9BF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8"/>
  <dimension ref="A1:I85"/>
  <sheetViews>
    <sheetView workbookViewId="0"/>
  </sheetViews>
  <sheetFormatPr defaultColWidth="10" defaultRowHeight="12.5" x14ac:dyDescent="0.25"/>
  <cols>
    <col min="1" max="1" width="31.54296875" style="28" customWidth="1"/>
    <col min="2" max="7" width="22.54296875" style="28" customWidth="1"/>
    <col min="8"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CETV - x-210</v>
      </c>
      <c r="B3" s="56"/>
      <c r="C3" s="56"/>
      <c r="D3" s="56"/>
      <c r="E3" s="56"/>
      <c r="F3" s="56"/>
      <c r="G3" s="56"/>
      <c r="H3" s="56"/>
      <c r="I3" s="56"/>
    </row>
    <row r="4" spans="1:9" x14ac:dyDescent="0.25">
      <c r="A4" s="58"/>
    </row>
    <row r="6" spans="1:9" ht="13" x14ac:dyDescent="0.3">
      <c r="A6" s="86" t="s">
        <v>716</v>
      </c>
      <c r="B6" s="111" t="s">
        <v>717</v>
      </c>
      <c r="C6" s="111"/>
      <c r="D6" s="111"/>
      <c r="E6" s="111"/>
      <c r="F6" s="111"/>
      <c r="G6" s="111"/>
    </row>
    <row r="7" spans="1:9" x14ac:dyDescent="0.25">
      <c r="A7" s="87" t="s">
        <v>797</v>
      </c>
      <c r="B7" s="111" t="s">
        <v>326</v>
      </c>
      <c r="C7" s="111"/>
      <c r="D7" s="111"/>
      <c r="E7" s="111"/>
      <c r="F7" s="111"/>
      <c r="G7" s="111"/>
    </row>
    <row r="8" spans="1:9" x14ac:dyDescent="0.25">
      <c r="A8" s="87" t="s">
        <v>798</v>
      </c>
      <c r="B8" s="111" t="s">
        <v>93</v>
      </c>
      <c r="C8" s="111"/>
      <c r="D8" s="111"/>
      <c r="E8" s="111"/>
      <c r="F8" s="111"/>
      <c r="G8" s="111"/>
    </row>
    <row r="9" spans="1:9" x14ac:dyDescent="0.25">
      <c r="A9" s="87" t="s">
        <v>300</v>
      </c>
      <c r="B9" s="111" t="s">
        <v>332</v>
      </c>
      <c r="C9" s="111"/>
      <c r="D9" s="111"/>
      <c r="E9" s="111"/>
      <c r="F9" s="111"/>
      <c r="G9" s="111"/>
    </row>
    <row r="10" spans="1:9" x14ac:dyDescent="0.25">
      <c r="A10" s="87" t="s">
        <v>6</v>
      </c>
      <c r="B10" s="111" t="s">
        <v>362</v>
      </c>
      <c r="C10" s="111"/>
      <c r="D10" s="111"/>
      <c r="E10" s="111"/>
      <c r="F10" s="111"/>
      <c r="G10" s="111"/>
    </row>
    <row r="11" spans="1:9" x14ac:dyDescent="0.25">
      <c r="A11" s="87" t="s">
        <v>301</v>
      </c>
      <c r="B11" s="111" t="s">
        <v>334</v>
      </c>
      <c r="C11" s="111"/>
      <c r="D11" s="111"/>
      <c r="E11" s="111"/>
      <c r="F11" s="111"/>
      <c r="G11" s="111"/>
    </row>
    <row r="12" spans="1:9" x14ac:dyDescent="0.25">
      <c r="A12" s="87" t="s">
        <v>302</v>
      </c>
      <c r="B12" s="111" t="s">
        <v>335</v>
      </c>
      <c r="C12" s="111"/>
      <c r="D12" s="111"/>
      <c r="E12" s="111"/>
      <c r="F12" s="111"/>
      <c r="G12" s="111"/>
    </row>
    <row r="13" spans="1:9" x14ac:dyDescent="0.25">
      <c r="A13" s="87" t="s">
        <v>724</v>
      </c>
      <c r="B13" s="111">
        <v>1</v>
      </c>
      <c r="C13" s="111"/>
      <c r="D13" s="111"/>
      <c r="E13" s="111"/>
      <c r="F13" s="111"/>
      <c r="G13" s="111"/>
    </row>
    <row r="14" spans="1:9" x14ac:dyDescent="0.25">
      <c r="A14" s="87" t="s">
        <v>304</v>
      </c>
      <c r="B14" s="111">
        <v>210</v>
      </c>
      <c r="C14" s="111"/>
      <c r="D14" s="111"/>
      <c r="E14" s="111"/>
      <c r="F14" s="111"/>
      <c r="G14" s="111"/>
    </row>
    <row r="15" spans="1:9" x14ac:dyDescent="0.25">
      <c r="A15" s="87" t="s">
        <v>727</v>
      </c>
      <c r="B15" s="111" t="s">
        <v>363</v>
      </c>
      <c r="C15" s="111"/>
      <c r="D15" s="111"/>
      <c r="E15" s="111"/>
      <c r="F15" s="111"/>
      <c r="G15" s="111"/>
    </row>
    <row r="16" spans="1:9" x14ac:dyDescent="0.25">
      <c r="A16" s="87" t="s">
        <v>306</v>
      </c>
      <c r="B16" s="111" t="s">
        <v>364</v>
      </c>
      <c r="C16" s="111"/>
      <c r="D16" s="111"/>
      <c r="E16" s="111"/>
      <c r="F16" s="111"/>
      <c r="G16" s="111"/>
    </row>
    <row r="17" spans="1:7" x14ac:dyDescent="0.25">
      <c r="A17" s="87" t="s">
        <v>800</v>
      </c>
      <c r="B17" s="111"/>
      <c r="C17" s="111"/>
      <c r="D17" s="111"/>
      <c r="E17" s="111"/>
      <c r="F17" s="111"/>
      <c r="G17" s="111"/>
    </row>
    <row r="18" spans="1:7" x14ac:dyDescent="0.25">
      <c r="A18" s="87" t="s">
        <v>308</v>
      </c>
      <c r="B18" s="122">
        <v>45071</v>
      </c>
      <c r="C18" s="111"/>
      <c r="D18" s="111"/>
      <c r="E18" s="111"/>
      <c r="F18" s="111"/>
      <c r="G18" s="111"/>
    </row>
    <row r="19" spans="1:7" x14ac:dyDescent="0.25">
      <c r="A19" s="87" t="s">
        <v>309</v>
      </c>
      <c r="B19" s="122">
        <v>45014</v>
      </c>
      <c r="C19" s="111"/>
      <c r="D19" s="111"/>
      <c r="E19" s="111"/>
      <c r="F19" s="111"/>
      <c r="G19" s="111"/>
    </row>
    <row r="20" spans="1:7" x14ac:dyDescent="0.25">
      <c r="A20" s="87" t="s">
        <v>310</v>
      </c>
      <c r="B20" s="111" t="s">
        <v>324</v>
      </c>
      <c r="C20" s="111"/>
      <c r="D20" s="111"/>
      <c r="E20" s="111"/>
      <c r="F20" s="111"/>
      <c r="G20" s="111"/>
    </row>
    <row r="21" spans="1:7" x14ac:dyDescent="0.25">
      <c r="A21" s="87" t="s">
        <v>311</v>
      </c>
      <c r="B21" s="111" t="s">
        <v>325</v>
      </c>
      <c r="C21" s="111"/>
      <c r="D21" s="111"/>
      <c r="E21" s="111"/>
      <c r="F21" s="111"/>
      <c r="G21" s="111"/>
    </row>
    <row r="23" spans="1:7" x14ac:dyDescent="0.25">
      <c r="B23" s="104" t="str">
        <f>HYPERLINK("#'Factor List'!A1","Back to Factor List")</f>
        <v>Back to Factor List</v>
      </c>
    </row>
    <row r="24" spans="1:7" x14ac:dyDescent="0.25">
      <c r="B24" s="104" t="s">
        <v>13</v>
      </c>
    </row>
    <row r="26" spans="1:7" ht="26" x14ac:dyDescent="0.25">
      <c r="A26" s="108" t="s">
        <v>534</v>
      </c>
      <c r="B26" s="108" t="s">
        <v>803</v>
      </c>
      <c r="C26" s="108" t="s">
        <v>804</v>
      </c>
      <c r="D26" s="108" t="s">
        <v>811</v>
      </c>
      <c r="E26" s="108" t="s">
        <v>805</v>
      </c>
      <c r="F26" s="108" t="s">
        <v>806</v>
      </c>
      <c r="G26" s="108" t="s">
        <v>812</v>
      </c>
    </row>
    <row r="27" spans="1:7" x14ac:dyDescent="0.25">
      <c r="A27" s="109">
        <v>17</v>
      </c>
      <c r="B27" s="110">
        <v>5.38</v>
      </c>
      <c r="C27" s="110">
        <v>0.28999999999999998</v>
      </c>
      <c r="D27" s="110">
        <v>5.67</v>
      </c>
      <c r="E27" s="110">
        <v>5.38</v>
      </c>
      <c r="F27" s="110">
        <v>0.28999999999999998</v>
      </c>
      <c r="G27" s="110">
        <v>5.67</v>
      </c>
    </row>
    <row r="28" spans="1:7" x14ac:dyDescent="0.25">
      <c r="A28" s="109">
        <v>18</v>
      </c>
      <c r="B28" s="110">
        <v>5.57</v>
      </c>
      <c r="C28" s="110">
        <v>0.31</v>
      </c>
      <c r="D28" s="110">
        <v>5.88</v>
      </c>
      <c r="E28" s="110">
        <v>5.57</v>
      </c>
      <c r="F28" s="110">
        <v>0.31</v>
      </c>
      <c r="G28" s="110">
        <v>5.88</v>
      </c>
    </row>
    <row r="29" spans="1:7" x14ac:dyDescent="0.25">
      <c r="A29" s="109">
        <v>19</v>
      </c>
      <c r="B29" s="110">
        <v>5.76</v>
      </c>
      <c r="C29" s="110">
        <v>0.33</v>
      </c>
      <c r="D29" s="110">
        <v>6.09</v>
      </c>
      <c r="E29" s="110">
        <v>5.76</v>
      </c>
      <c r="F29" s="110">
        <v>0.33</v>
      </c>
      <c r="G29" s="110">
        <v>6.09</v>
      </c>
    </row>
    <row r="30" spans="1:7" x14ac:dyDescent="0.25">
      <c r="A30" s="109">
        <v>20</v>
      </c>
      <c r="B30" s="110">
        <v>5.97</v>
      </c>
      <c r="C30" s="110">
        <v>0.34</v>
      </c>
      <c r="D30" s="110">
        <v>6.31</v>
      </c>
      <c r="E30" s="110">
        <v>5.97</v>
      </c>
      <c r="F30" s="110">
        <v>0.34</v>
      </c>
      <c r="G30" s="110">
        <v>6.31</v>
      </c>
    </row>
    <row r="31" spans="1:7" x14ac:dyDescent="0.25">
      <c r="A31" s="109">
        <v>21</v>
      </c>
      <c r="B31" s="110">
        <v>6.18</v>
      </c>
      <c r="C31" s="110">
        <v>0.35</v>
      </c>
      <c r="D31" s="110">
        <v>6.53</v>
      </c>
      <c r="E31" s="110">
        <v>6.18</v>
      </c>
      <c r="F31" s="110">
        <v>0.35</v>
      </c>
      <c r="G31" s="110">
        <v>6.53</v>
      </c>
    </row>
    <row r="32" spans="1:7" x14ac:dyDescent="0.25">
      <c r="A32" s="109">
        <v>22</v>
      </c>
      <c r="B32" s="110">
        <v>6.39</v>
      </c>
      <c r="C32" s="110">
        <v>0.37</v>
      </c>
      <c r="D32" s="110">
        <v>6.76</v>
      </c>
      <c r="E32" s="110">
        <v>6.39</v>
      </c>
      <c r="F32" s="110">
        <v>0.37</v>
      </c>
      <c r="G32" s="110">
        <v>6.76</v>
      </c>
    </row>
    <row r="33" spans="1:7" x14ac:dyDescent="0.25">
      <c r="A33" s="109">
        <v>23</v>
      </c>
      <c r="B33" s="110">
        <v>6.62</v>
      </c>
      <c r="C33" s="110">
        <v>0.38</v>
      </c>
      <c r="D33" s="110">
        <v>7</v>
      </c>
      <c r="E33" s="110">
        <v>6.62</v>
      </c>
      <c r="F33" s="110">
        <v>0.38</v>
      </c>
      <c r="G33" s="110">
        <v>7</v>
      </c>
    </row>
    <row r="34" spans="1:7" x14ac:dyDescent="0.25">
      <c r="A34" s="109">
        <v>24</v>
      </c>
      <c r="B34" s="110">
        <v>6.85</v>
      </c>
      <c r="C34" s="110">
        <v>0.39</v>
      </c>
      <c r="D34" s="110">
        <v>7.24</v>
      </c>
      <c r="E34" s="110">
        <v>6.85</v>
      </c>
      <c r="F34" s="110">
        <v>0.39</v>
      </c>
      <c r="G34" s="110">
        <v>7.24</v>
      </c>
    </row>
    <row r="35" spans="1:7" x14ac:dyDescent="0.25">
      <c r="A35" s="109">
        <v>25</v>
      </c>
      <c r="B35" s="110">
        <v>7.09</v>
      </c>
      <c r="C35" s="110">
        <v>0.41</v>
      </c>
      <c r="D35" s="110">
        <v>7.5</v>
      </c>
      <c r="E35" s="110">
        <v>7.09</v>
      </c>
      <c r="F35" s="110">
        <v>0.41</v>
      </c>
      <c r="G35" s="110">
        <v>7.5</v>
      </c>
    </row>
    <row r="36" spans="1:7" x14ac:dyDescent="0.25">
      <c r="A36" s="109">
        <v>26</v>
      </c>
      <c r="B36" s="110">
        <v>7.34</v>
      </c>
      <c r="C36" s="110">
        <v>0.42</v>
      </c>
      <c r="D36" s="110">
        <v>7.76</v>
      </c>
      <c r="E36" s="110">
        <v>7.34</v>
      </c>
      <c r="F36" s="110">
        <v>0.42</v>
      </c>
      <c r="G36" s="110">
        <v>7.76</v>
      </c>
    </row>
    <row r="37" spans="1:7" x14ac:dyDescent="0.25">
      <c r="A37" s="109">
        <v>27</v>
      </c>
      <c r="B37" s="110">
        <v>7.59</v>
      </c>
      <c r="C37" s="110">
        <v>0.44</v>
      </c>
      <c r="D37" s="110">
        <v>8.0299999999999994</v>
      </c>
      <c r="E37" s="110">
        <v>7.59</v>
      </c>
      <c r="F37" s="110">
        <v>0.44</v>
      </c>
      <c r="G37" s="110">
        <v>8.0299999999999994</v>
      </c>
    </row>
    <row r="38" spans="1:7" x14ac:dyDescent="0.25">
      <c r="A38" s="109">
        <v>28</v>
      </c>
      <c r="B38" s="110">
        <v>7.86</v>
      </c>
      <c r="C38" s="110">
        <v>0.46</v>
      </c>
      <c r="D38" s="110">
        <v>8.32</v>
      </c>
      <c r="E38" s="110">
        <v>7.86</v>
      </c>
      <c r="F38" s="110">
        <v>0.46</v>
      </c>
      <c r="G38" s="110">
        <v>8.32</v>
      </c>
    </row>
    <row r="39" spans="1:7" x14ac:dyDescent="0.25">
      <c r="A39" s="109">
        <v>29</v>
      </c>
      <c r="B39" s="110">
        <v>8.14</v>
      </c>
      <c r="C39" s="110">
        <v>0.47</v>
      </c>
      <c r="D39" s="110">
        <v>8.61</v>
      </c>
      <c r="E39" s="110">
        <v>8.14</v>
      </c>
      <c r="F39" s="110">
        <v>0.47</v>
      </c>
      <c r="G39" s="110">
        <v>8.61</v>
      </c>
    </row>
    <row r="40" spans="1:7" x14ac:dyDescent="0.25">
      <c r="A40" s="109">
        <v>30</v>
      </c>
      <c r="B40" s="110">
        <v>8.42</v>
      </c>
      <c r="C40" s="110">
        <v>0.49</v>
      </c>
      <c r="D40" s="110">
        <v>8.91</v>
      </c>
      <c r="E40" s="110">
        <v>8.42</v>
      </c>
      <c r="F40" s="110">
        <v>0.49</v>
      </c>
      <c r="G40" s="110">
        <v>8.91</v>
      </c>
    </row>
    <row r="41" spans="1:7" x14ac:dyDescent="0.25">
      <c r="A41" s="109">
        <v>31</v>
      </c>
      <c r="B41" s="110">
        <v>8.7200000000000006</v>
      </c>
      <c r="C41" s="110">
        <v>0.51</v>
      </c>
      <c r="D41" s="110">
        <v>9.2200000000000006</v>
      </c>
      <c r="E41" s="110">
        <v>8.7200000000000006</v>
      </c>
      <c r="F41" s="110">
        <v>0.51</v>
      </c>
      <c r="G41" s="110">
        <v>9.2200000000000006</v>
      </c>
    </row>
    <row r="42" spans="1:7" x14ac:dyDescent="0.25">
      <c r="A42" s="109">
        <v>32</v>
      </c>
      <c r="B42" s="110">
        <v>9.0299999999999994</v>
      </c>
      <c r="C42" s="110">
        <v>0.52</v>
      </c>
      <c r="D42" s="110">
        <v>9.5500000000000007</v>
      </c>
      <c r="E42" s="110">
        <v>9.0299999999999994</v>
      </c>
      <c r="F42" s="110">
        <v>0.52</v>
      </c>
      <c r="G42" s="110">
        <v>9.5500000000000007</v>
      </c>
    </row>
    <row r="43" spans="1:7" x14ac:dyDescent="0.25">
      <c r="A43" s="109">
        <v>33</v>
      </c>
      <c r="B43" s="110">
        <v>9.34</v>
      </c>
      <c r="C43" s="110">
        <v>0.54</v>
      </c>
      <c r="D43" s="110">
        <v>9.8800000000000008</v>
      </c>
      <c r="E43" s="110">
        <v>9.34</v>
      </c>
      <c r="F43" s="110">
        <v>0.54</v>
      </c>
      <c r="G43" s="110">
        <v>9.8800000000000008</v>
      </c>
    </row>
    <row r="44" spans="1:7" x14ac:dyDescent="0.25">
      <c r="A44" s="109">
        <v>34</v>
      </c>
      <c r="B44" s="110">
        <v>9.67</v>
      </c>
      <c r="C44" s="110">
        <v>0.56000000000000005</v>
      </c>
      <c r="D44" s="110">
        <v>10.23</v>
      </c>
      <c r="E44" s="110">
        <v>9.67</v>
      </c>
      <c r="F44" s="110">
        <v>0.56000000000000005</v>
      </c>
      <c r="G44" s="110">
        <v>10.23</v>
      </c>
    </row>
    <row r="45" spans="1:7" x14ac:dyDescent="0.25">
      <c r="A45" s="109">
        <v>35</v>
      </c>
      <c r="B45" s="110">
        <v>10.01</v>
      </c>
      <c r="C45" s="110">
        <v>0.57999999999999996</v>
      </c>
      <c r="D45" s="110">
        <v>10.59</v>
      </c>
      <c r="E45" s="110">
        <v>10.01</v>
      </c>
      <c r="F45" s="110">
        <v>0.57999999999999996</v>
      </c>
      <c r="G45" s="110">
        <v>10.59</v>
      </c>
    </row>
    <row r="46" spans="1:7" x14ac:dyDescent="0.25">
      <c r="A46" s="109">
        <v>36</v>
      </c>
      <c r="B46" s="110">
        <v>10.37</v>
      </c>
      <c r="C46" s="110">
        <v>0.6</v>
      </c>
      <c r="D46" s="110">
        <v>10.96</v>
      </c>
      <c r="E46" s="110">
        <v>10.37</v>
      </c>
      <c r="F46" s="110">
        <v>0.6</v>
      </c>
      <c r="G46" s="110">
        <v>10.96</v>
      </c>
    </row>
    <row r="47" spans="1:7" x14ac:dyDescent="0.25">
      <c r="A47" s="109">
        <v>37</v>
      </c>
      <c r="B47" s="110">
        <v>10.73</v>
      </c>
      <c r="C47" s="110">
        <v>0.62</v>
      </c>
      <c r="D47" s="110">
        <v>11.35</v>
      </c>
      <c r="E47" s="110">
        <v>10.73</v>
      </c>
      <c r="F47" s="110">
        <v>0.62</v>
      </c>
      <c r="G47" s="110">
        <v>11.35</v>
      </c>
    </row>
    <row r="48" spans="1:7" x14ac:dyDescent="0.25">
      <c r="A48" s="109">
        <v>38</v>
      </c>
      <c r="B48" s="110">
        <v>11.11</v>
      </c>
      <c r="C48" s="110">
        <v>0.64</v>
      </c>
      <c r="D48" s="110">
        <v>11.75</v>
      </c>
      <c r="E48" s="110">
        <v>11.11</v>
      </c>
      <c r="F48" s="110">
        <v>0.64</v>
      </c>
      <c r="G48" s="110">
        <v>11.75</v>
      </c>
    </row>
    <row r="49" spans="1:7" x14ac:dyDescent="0.25">
      <c r="A49" s="109">
        <v>39</v>
      </c>
      <c r="B49" s="110">
        <v>11.51</v>
      </c>
      <c r="C49" s="110">
        <v>0.66</v>
      </c>
      <c r="D49" s="110">
        <v>12.16</v>
      </c>
      <c r="E49" s="110">
        <v>11.51</v>
      </c>
      <c r="F49" s="110">
        <v>0.66</v>
      </c>
      <c r="G49" s="110">
        <v>12.16</v>
      </c>
    </row>
    <row r="50" spans="1:7" x14ac:dyDescent="0.25">
      <c r="A50" s="109">
        <v>40</v>
      </c>
      <c r="B50" s="110">
        <v>11.91</v>
      </c>
      <c r="C50" s="110">
        <v>0.68</v>
      </c>
      <c r="D50" s="110">
        <v>12.59</v>
      </c>
      <c r="E50" s="110">
        <v>11.91</v>
      </c>
      <c r="F50" s="110">
        <v>0.68</v>
      </c>
      <c r="G50" s="110">
        <v>12.59</v>
      </c>
    </row>
    <row r="51" spans="1:7" x14ac:dyDescent="0.25">
      <c r="A51" s="109">
        <v>41</v>
      </c>
      <c r="B51" s="110">
        <v>12.34</v>
      </c>
      <c r="C51" s="110">
        <v>0.7</v>
      </c>
      <c r="D51" s="110">
        <v>13.04</v>
      </c>
      <c r="E51" s="110">
        <v>12.34</v>
      </c>
      <c r="F51" s="110">
        <v>0.7</v>
      </c>
      <c r="G51" s="110">
        <v>13.04</v>
      </c>
    </row>
    <row r="52" spans="1:7" x14ac:dyDescent="0.25">
      <c r="A52" s="109">
        <v>42</v>
      </c>
      <c r="B52" s="110">
        <v>12.77</v>
      </c>
      <c r="C52" s="110">
        <v>0.72</v>
      </c>
      <c r="D52" s="110">
        <v>13.5</v>
      </c>
      <c r="E52" s="110">
        <v>12.77</v>
      </c>
      <c r="F52" s="110">
        <v>0.72</v>
      </c>
      <c r="G52" s="110">
        <v>13.5</v>
      </c>
    </row>
    <row r="53" spans="1:7" x14ac:dyDescent="0.25">
      <c r="A53" s="109">
        <v>43</v>
      </c>
      <c r="B53" s="110">
        <v>13.23</v>
      </c>
      <c r="C53" s="110">
        <v>0.74</v>
      </c>
      <c r="D53" s="110">
        <v>13.97</v>
      </c>
      <c r="E53" s="110">
        <v>13.23</v>
      </c>
      <c r="F53" s="110">
        <v>0.74</v>
      </c>
      <c r="G53" s="110">
        <v>13.97</v>
      </c>
    </row>
    <row r="54" spans="1:7" x14ac:dyDescent="0.25">
      <c r="A54" s="109">
        <v>44</v>
      </c>
      <c r="B54" s="110">
        <v>13.7</v>
      </c>
      <c r="C54" s="110">
        <v>0.77</v>
      </c>
      <c r="D54" s="110">
        <v>14.47</v>
      </c>
      <c r="E54" s="110">
        <v>13.7</v>
      </c>
      <c r="F54" s="110">
        <v>0.77</v>
      </c>
      <c r="G54" s="110">
        <v>14.47</v>
      </c>
    </row>
    <row r="55" spans="1:7" x14ac:dyDescent="0.25">
      <c r="A55" s="109">
        <v>45</v>
      </c>
      <c r="B55" s="110">
        <v>14.19</v>
      </c>
      <c r="C55" s="110">
        <v>0.79</v>
      </c>
      <c r="D55" s="110">
        <v>14.98</v>
      </c>
      <c r="E55" s="110">
        <v>14.19</v>
      </c>
      <c r="F55" s="110">
        <v>0.79</v>
      </c>
      <c r="G55" s="110">
        <v>14.98</v>
      </c>
    </row>
    <row r="56" spans="1:7" x14ac:dyDescent="0.25">
      <c r="A56" s="109">
        <v>46</v>
      </c>
      <c r="B56" s="110">
        <v>14.7</v>
      </c>
      <c r="C56" s="110">
        <v>0.81</v>
      </c>
      <c r="D56" s="110">
        <v>15.51</v>
      </c>
      <c r="E56" s="110">
        <v>14.7</v>
      </c>
      <c r="F56" s="110">
        <v>0.81</v>
      </c>
      <c r="G56" s="110">
        <v>15.51</v>
      </c>
    </row>
    <row r="57" spans="1:7" x14ac:dyDescent="0.25">
      <c r="A57" s="109">
        <v>47</v>
      </c>
      <c r="B57" s="110">
        <v>15.23</v>
      </c>
      <c r="C57" s="110">
        <v>0.83</v>
      </c>
      <c r="D57" s="110">
        <v>16.059999999999999</v>
      </c>
      <c r="E57" s="110">
        <v>15.23</v>
      </c>
      <c r="F57" s="110">
        <v>0.83</v>
      </c>
      <c r="G57" s="110">
        <v>16.059999999999999</v>
      </c>
    </row>
    <row r="58" spans="1:7" x14ac:dyDescent="0.25">
      <c r="A58" s="109">
        <v>48</v>
      </c>
      <c r="B58" s="110">
        <v>15.78</v>
      </c>
      <c r="C58" s="110">
        <v>0.86</v>
      </c>
      <c r="D58" s="110">
        <v>16.64</v>
      </c>
      <c r="E58" s="110">
        <v>15.78</v>
      </c>
      <c r="F58" s="110">
        <v>0.86</v>
      </c>
      <c r="G58" s="110">
        <v>16.64</v>
      </c>
    </row>
    <row r="59" spans="1:7" x14ac:dyDescent="0.25">
      <c r="A59" s="109">
        <v>49</v>
      </c>
      <c r="B59" s="110">
        <v>16.350000000000001</v>
      </c>
      <c r="C59" s="110">
        <v>0.88</v>
      </c>
      <c r="D59" s="110">
        <v>17.23</v>
      </c>
      <c r="E59" s="110">
        <v>16.350000000000001</v>
      </c>
      <c r="F59" s="110">
        <v>0.88</v>
      </c>
      <c r="G59" s="110">
        <v>17.23</v>
      </c>
    </row>
    <row r="60" spans="1:7" x14ac:dyDescent="0.25">
      <c r="A60" s="109">
        <v>50</v>
      </c>
      <c r="B60" s="110">
        <v>16.940000000000001</v>
      </c>
      <c r="C60" s="110">
        <v>0.9</v>
      </c>
      <c r="D60" s="110">
        <v>17.850000000000001</v>
      </c>
      <c r="E60" s="110">
        <v>16.940000000000001</v>
      </c>
      <c r="F60" s="110">
        <v>0.9</v>
      </c>
      <c r="G60" s="110">
        <v>17.850000000000001</v>
      </c>
    </row>
    <row r="61" spans="1:7" x14ac:dyDescent="0.25">
      <c r="A61" s="109">
        <v>51</v>
      </c>
      <c r="B61" s="110">
        <v>17.559999999999999</v>
      </c>
      <c r="C61" s="110">
        <v>0.93</v>
      </c>
      <c r="D61" s="110">
        <v>18.489999999999998</v>
      </c>
      <c r="E61" s="110">
        <v>17.559999999999999</v>
      </c>
      <c r="F61" s="110">
        <v>0.93</v>
      </c>
      <c r="G61" s="110">
        <v>18.489999999999998</v>
      </c>
    </row>
    <row r="62" spans="1:7" x14ac:dyDescent="0.25">
      <c r="A62" s="109">
        <v>52</v>
      </c>
      <c r="B62" s="110">
        <v>18.2</v>
      </c>
      <c r="C62" s="110">
        <v>0.95</v>
      </c>
      <c r="D62" s="110">
        <v>19.149999999999999</v>
      </c>
      <c r="E62" s="110">
        <v>18.2</v>
      </c>
      <c r="F62" s="110">
        <v>0.95</v>
      </c>
      <c r="G62" s="110">
        <v>19.149999999999999</v>
      </c>
    </row>
    <row r="63" spans="1:7" x14ac:dyDescent="0.25">
      <c r="A63" s="109">
        <v>53</v>
      </c>
      <c r="B63" s="110">
        <v>18.87</v>
      </c>
      <c r="C63" s="110">
        <v>0.97</v>
      </c>
      <c r="D63" s="110">
        <v>19.850000000000001</v>
      </c>
      <c r="E63" s="110">
        <v>18.87</v>
      </c>
      <c r="F63" s="110">
        <v>0.97</v>
      </c>
      <c r="G63" s="110">
        <v>19.850000000000001</v>
      </c>
    </row>
    <row r="64" spans="1:7" x14ac:dyDescent="0.25">
      <c r="A64" s="109">
        <v>54</v>
      </c>
      <c r="B64" s="110">
        <v>19.57</v>
      </c>
      <c r="C64" s="110">
        <v>1</v>
      </c>
      <c r="D64" s="110">
        <v>20.57</v>
      </c>
      <c r="E64" s="110">
        <v>19.57</v>
      </c>
      <c r="F64" s="110">
        <v>1</v>
      </c>
      <c r="G64" s="110">
        <v>20.57</v>
      </c>
    </row>
    <row r="65" spans="1:7" x14ac:dyDescent="0.25">
      <c r="A65" s="109">
        <v>55</v>
      </c>
      <c r="B65" s="110">
        <v>20.3</v>
      </c>
      <c r="C65" s="110">
        <v>1.02</v>
      </c>
      <c r="D65" s="110">
        <v>21.32</v>
      </c>
      <c r="E65" s="110">
        <v>20.3</v>
      </c>
      <c r="F65" s="110">
        <v>1.02</v>
      </c>
      <c r="G65" s="110">
        <v>21.32</v>
      </c>
    </row>
    <row r="66" spans="1:7" x14ac:dyDescent="0.25">
      <c r="A66" s="109">
        <v>56</v>
      </c>
      <c r="B66" s="110">
        <v>21.05</v>
      </c>
      <c r="C66" s="110">
        <v>1.04</v>
      </c>
      <c r="D66" s="110">
        <v>22.1</v>
      </c>
      <c r="E66" s="110">
        <v>21.05</v>
      </c>
      <c r="F66" s="110">
        <v>1.04</v>
      </c>
      <c r="G66" s="110">
        <v>22.1</v>
      </c>
    </row>
    <row r="67" spans="1:7" x14ac:dyDescent="0.25">
      <c r="A67" s="109">
        <v>57</v>
      </c>
      <c r="B67" s="110">
        <v>21.85</v>
      </c>
      <c r="C67" s="110">
        <v>1.06</v>
      </c>
      <c r="D67" s="110">
        <v>22.91</v>
      </c>
      <c r="E67" s="110">
        <v>21.85</v>
      </c>
      <c r="F67" s="110">
        <v>1.06</v>
      </c>
      <c r="G67" s="110">
        <v>22.91</v>
      </c>
    </row>
    <row r="68" spans="1:7" x14ac:dyDescent="0.25">
      <c r="A68" s="109">
        <v>58</v>
      </c>
      <c r="B68" s="110">
        <v>22.68</v>
      </c>
      <c r="C68" s="110">
        <v>1.0900000000000001</v>
      </c>
      <c r="D68" s="110">
        <v>23.76</v>
      </c>
      <c r="E68" s="110">
        <v>22.68</v>
      </c>
      <c r="F68" s="110">
        <v>1.0900000000000001</v>
      </c>
      <c r="G68" s="110">
        <v>23.76</v>
      </c>
    </row>
    <row r="69" spans="1:7" x14ac:dyDescent="0.25">
      <c r="A69" s="109">
        <v>59</v>
      </c>
      <c r="B69" s="110">
        <v>23.55</v>
      </c>
      <c r="C69" s="110">
        <v>1.1100000000000001</v>
      </c>
      <c r="D69" s="110">
        <v>24.65</v>
      </c>
      <c r="E69" s="110">
        <v>23.55</v>
      </c>
      <c r="F69" s="110">
        <v>1.1100000000000001</v>
      </c>
      <c r="G69" s="110">
        <v>24.65</v>
      </c>
    </row>
    <row r="70" spans="1:7" x14ac:dyDescent="0.25">
      <c r="A70" s="109">
        <v>60</v>
      </c>
      <c r="B70" s="110">
        <v>23.68</v>
      </c>
      <c r="C70" s="110">
        <v>1.1200000000000001</v>
      </c>
      <c r="D70" s="110">
        <v>24.8</v>
      </c>
      <c r="E70" s="110">
        <v>23.68</v>
      </c>
      <c r="F70" s="110">
        <v>1.1200000000000001</v>
      </c>
      <c r="G70" s="110">
        <v>24.8</v>
      </c>
    </row>
    <row r="71" spans="1:7" x14ac:dyDescent="0.25">
      <c r="A71" s="109">
        <v>61</v>
      </c>
      <c r="B71" s="110">
        <v>23.06</v>
      </c>
      <c r="C71" s="110">
        <v>1.1200000000000001</v>
      </c>
      <c r="D71" s="110">
        <v>24.18</v>
      </c>
      <c r="E71" s="110">
        <v>23.06</v>
      </c>
      <c r="F71" s="110">
        <v>1.1200000000000001</v>
      </c>
      <c r="G71" s="110">
        <v>24.18</v>
      </c>
    </row>
    <row r="72" spans="1:7" x14ac:dyDescent="0.25">
      <c r="A72" s="109">
        <v>62</v>
      </c>
      <c r="B72" s="110">
        <v>22.44</v>
      </c>
      <c r="C72" s="110">
        <v>1.1200000000000001</v>
      </c>
      <c r="D72" s="110">
        <v>23.56</v>
      </c>
      <c r="E72" s="110">
        <v>22.44</v>
      </c>
      <c r="F72" s="110">
        <v>1.1200000000000001</v>
      </c>
      <c r="G72" s="110">
        <v>23.56</v>
      </c>
    </row>
    <row r="73" spans="1:7" x14ac:dyDescent="0.25">
      <c r="A73" s="109">
        <v>63</v>
      </c>
      <c r="B73" s="110">
        <v>21.82</v>
      </c>
      <c r="C73" s="110">
        <v>1.1200000000000001</v>
      </c>
      <c r="D73" s="110">
        <v>22.94</v>
      </c>
      <c r="E73" s="110">
        <v>21.82</v>
      </c>
      <c r="F73" s="110">
        <v>1.1200000000000001</v>
      </c>
      <c r="G73" s="110">
        <v>22.94</v>
      </c>
    </row>
    <row r="74" spans="1:7" x14ac:dyDescent="0.25">
      <c r="A74" s="109">
        <v>64</v>
      </c>
      <c r="B74" s="110">
        <v>21.19</v>
      </c>
      <c r="C74" s="110">
        <v>1.1200000000000001</v>
      </c>
      <c r="D74" s="110">
        <v>22.31</v>
      </c>
      <c r="E74" s="110">
        <v>21.19</v>
      </c>
      <c r="F74" s="110">
        <v>1.1200000000000001</v>
      </c>
      <c r="G74" s="110">
        <v>22.31</v>
      </c>
    </row>
    <row r="75" spans="1:7" x14ac:dyDescent="0.25">
      <c r="A75" s="109">
        <v>65</v>
      </c>
      <c r="B75" s="110">
        <v>20.56</v>
      </c>
      <c r="C75" s="110">
        <v>1.1200000000000001</v>
      </c>
      <c r="D75" s="110">
        <v>21.68</v>
      </c>
      <c r="E75" s="110">
        <v>20.56</v>
      </c>
      <c r="F75" s="110">
        <v>1.1200000000000001</v>
      </c>
      <c r="G75" s="110">
        <v>21.68</v>
      </c>
    </row>
    <row r="76" spans="1:7" x14ac:dyDescent="0.25">
      <c r="A76" s="109">
        <v>66</v>
      </c>
      <c r="B76" s="110">
        <v>19.940000000000001</v>
      </c>
      <c r="C76" s="110">
        <v>1.1100000000000001</v>
      </c>
      <c r="D76" s="110">
        <v>21.05</v>
      </c>
      <c r="E76" s="110">
        <v>19.940000000000001</v>
      </c>
      <c r="F76" s="110">
        <v>1.1100000000000001</v>
      </c>
      <c r="G76" s="110">
        <v>21.05</v>
      </c>
    </row>
    <row r="77" spans="1:7" x14ac:dyDescent="0.25">
      <c r="A77" s="109">
        <v>67</v>
      </c>
      <c r="B77" s="110">
        <v>19.309999999999999</v>
      </c>
      <c r="C77" s="110">
        <v>1.1100000000000001</v>
      </c>
      <c r="D77" s="110">
        <v>20.420000000000002</v>
      </c>
      <c r="E77" s="110">
        <v>19.309999999999999</v>
      </c>
      <c r="F77" s="110">
        <v>1.1100000000000001</v>
      </c>
      <c r="G77" s="110">
        <v>20.420000000000002</v>
      </c>
    </row>
    <row r="78" spans="1:7" x14ac:dyDescent="0.25">
      <c r="A78" s="109">
        <v>68</v>
      </c>
      <c r="B78" s="110">
        <v>18.68</v>
      </c>
      <c r="C78" s="110">
        <v>1.1000000000000001</v>
      </c>
      <c r="D78" s="110">
        <v>19.78</v>
      </c>
      <c r="E78" s="110">
        <v>18.68</v>
      </c>
      <c r="F78" s="110">
        <v>1.1000000000000001</v>
      </c>
      <c r="G78" s="110">
        <v>19.78</v>
      </c>
    </row>
    <row r="79" spans="1:7" x14ac:dyDescent="0.25">
      <c r="A79" s="109">
        <v>69</v>
      </c>
      <c r="B79" s="110">
        <v>18.05</v>
      </c>
      <c r="C79" s="110">
        <v>1.0900000000000001</v>
      </c>
      <c r="D79" s="110">
        <v>19.14</v>
      </c>
      <c r="E79" s="110">
        <v>18.05</v>
      </c>
      <c r="F79" s="110">
        <v>1.0900000000000001</v>
      </c>
      <c r="G79" s="110">
        <v>19.14</v>
      </c>
    </row>
    <row r="80" spans="1:7" x14ac:dyDescent="0.25">
      <c r="A80" s="109">
        <v>70</v>
      </c>
      <c r="B80" s="110">
        <v>17.43</v>
      </c>
      <c r="C80" s="110">
        <v>1.08</v>
      </c>
      <c r="D80" s="110">
        <v>18.510000000000002</v>
      </c>
      <c r="E80" s="110">
        <v>17.43</v>
      </c>
      <c r="F80" s="110">
        <v>1.08</v>
      </c>
      <c r="G80" s="110">
        <v>18.510000000000002</v>
      </c>
    </row>
    <row r="81" spans="1:7" x14ac:dyDescent="0.25">
      <c r="A81" s="109">
        <v>71</v>
      </c>
      <c r="B81" s="110">
        <v>16.8</v>
      </c>
      <c r="C81" s="110">
        <v>1.07</v>
      </c>
      <c r="D81" s="110">
        <v>17.87</v>
      </c>
      <c r="E81" s="110">
        <v>16.8</v>
      </c>
      <c r="F81" s="110">
        <v>1.07</v>
      </c>
      <c r="G81" s="110">
        <v>17.87</v>
      </c>
    </row>
    <row r="82" spans="1:7" x14ac:dyDescent="0.25">
      <c r="A82" s="109">
        <v>72</v>
      </c>
      <c r="B82" s="110">
        <v>16.18</v>
      </c>
      <c r="C82" s="110">
        <v>1.06</v>
      </c>
      <c r="D82" s="110">
        <v>17.239999999999998</v>
      </c>
      <c r="E82" s="110">
        <v>16.18</v>
      </c>
      <c r="F82" s="110">
        <v>1.06</v>
      </c>
      <c r="G82" s="110">
        <v>17.239999999999998</v>
      </c>
    </row>
    <row r="83" spans="1:7" x14ac:dyDescent="0.25">
      <c r="A83" s="109">
        <v>73</v>
      </c>
      <c r="B83" s="110">
        <v>15.57</v>
      </c>
      <c r="C83" s="110">
        <v>1.04</v>
      </c>
      <c r="D83" s="110">
        <v>16.61</v>
      </c>
      <c r="E83" s="110">
        <v>15.57</v>
      </c>
      <c r="F83" s="110">
        <v>1.04</v>
      </c>
      <c r="G83" s="110">
        <v>16.61</v>
      </c>
    </row>
    <row r="84" spans="1:7" x14ac:dyDescent="0.25">
      <c r="A84" s="109">
        <v>74</v>
      </c>
      <c r="B84" s="110">
        <v>14.96</v>
      </c>
      <c r="C84" s="110">
        <v>1.02</v>
      </c>
      <c r="D84" s="110">
        <v>15.99</v>
      </c>
      <c r="E84" s="110">
        <v>14.96</v>
      </c>
      <c r="F84" s="110">
        <v>1.02</v>
      </c>
      <c r="G84" s="110">
        <v>15.99</v>
      </c>
    </row>
    <row r="85" spans="1:7" x14ac:dyDescent="0.25">
      <c r="A85" s="109">
        <v>75</v>
      </c>
      <c r="B85" s="110">
        <v>14.37</v>
      </c>
      <c r="C85" s="110">
        <v>1</v>
      </c>
      <c r="D85" s="110">
        <v>15.37</v>
      </c>
      <c r="E85" s="110">
        <v>14.37</v>
      </c>
      <c r="F85" s="110">
        <v>1</v>
      </c>
      <c r="G85" s="110">
        <v>15.37</v>
      </c>
    </row>
  </sheetData>
  <conditionalFormatting sqref="A6:A21">
    <cfRule type="expression" dxfId="1077" priority="3" stopIfTrue="1">
      <formula>MOD(ROW(),2)=0</formula>
    </cfRule>
    <cfRule type="expression" dxfId="1076" priority="4" stopIfTrue="1">
      <formula>MOD(ROW(),2)&lt;&gt;0</formula>
    </cfRule>
  </conditionalFormatting>
  <conditionalFormatting sqref="A26:A85">
    <cfRule type="expression" dxfId="1075" priority="9" stopIfTrue="1">
      <formula>MOD(ROW(),2)=0</formula>
    </cfRule>
    <cfRule type="expression" dxfId="1074" priority="10" stopIfTrue="1">
      <formula>MOD(ROW(),2)&lt;&gt;0</formula>
    </cfRule>
  </conditionalFormatting>
  <conditionalFormatting sqref="B12">
    <cfRule type="expression" dxfId="1073" priority="17" stopIfTrue="1">
      <formula>MOD(ROW(),2)=0</formula>
    </cfRule>
    <cfRule type="expression" dxfId="1072" priority="18" stopIfTrue="1">
      <formula>MOD(ROW(),2)&lt;&gt;0</formula>
    </cfRule>
  </conditionalFormatting>
  <conditionalFormatting sqref="B17:B21">
    <cfRule type="expression" dxfId="1071" priority="1" stopIfTrue="1">
      <formula>MOD(ROW(),2)=0</formula>
    </cfRule>
    <cfRule type="expression" dxfId="1070" priority="2" stopIfTrue="1">
      <formula>MOD(ROW(),2)&lt;&gt;0</formula>
    </cfRule>
  </conditionalFormatting>
  <conditionalFormatting sqref="B6:G6 C7:G7 B8:G11 C12:G12 B13:G16 C17:G21">
    <cfRule type="expression" dxfId="1069" priority="39" stopIfTrue="1">
      <formula>MOD(ROW(),2)=0</formula>
    </cfRule>
    <cfRule type="expression" dxfId="1068" priority="40" stopIfTrue="1">
      <formula>MOD(ROW(),2)&lt;&gt;0</formula>
    </cfRule>
  </conditionalFormatting>
  <conditionalFormatting sqref="B6:G21">
    <cfRule type="expression" dxfId="1067" priority="27" stopIfTrue="1">
      <formula>MOD(ROW(),2)=0</formula>
    </cfRule>
    <cfRule type="expression" dxfId="1066" priority="28" stopIfTrue="1">
      <formula>MOD(ROW(),2)&lt;&gt;0</formula>
    </cfRule>
  </conditionalFormatting>
  <conditionalFormatting sqref="B26:G85">
    <cfRule type="expression" dxfId="1065" priority="11" stopIfTrue="1">
      <formula>MOD(ROW(),2)=0</formula>
    </cfRule>
    <cfRule type="expression" dxfId="1064" priority="12" stopIfTrue="1">
      <formula>MOD(ROW(),2)&lt;&gt;0</formula>
    </cfRule>
  </conditionalFormatting>
  <hyperlinks>
    <hyperlink ref="B24" location="Assumptions!A1" display="Assumptions" xr:uid="{A2563806-C3CC-48F0-B75C-DB108F7BD68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9"/>
  <dimension ref="A1:I85"/>
  <sheetViews>
    <sheetView workbookViewId="0"/>
  </sheetViews>
  <sheetFormatPr defaultColWidth="10" defaultRowHeight="12.5" x14ac:dyDescent="0.25"/>
  <cols>
    <col min="1" max="1" width="31.54296875" style="28" customWidth="1"/>
    <col min="2" max="7" width="22.54296875" style="28" customWidth="1"/>
    <col min="8"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CETV - x-211</v>
      </c>
      <c r="B3" s="56"/>
      <c r="C3" s="56"/>
      <c r="D3" s="56"/>
      <c r="E3" s="56"/>
      <c r="F3" s="56"/>
      <c r="G3" s="56"/>
      <c r="H3" s="56"/>
      <c r="I3" s="56"/>
    </row>
    <row r="4" spans="1:9" x14ac:dyDescent="0.25">
      <c r="A4" s="58"/>
    </row>
    <row r="6" spans="1:9" ht="13" x14ac:dyDescent="0.3">
      <c r="A6" s="86" t="s">
        <v>716</v>
      </c>
      <c r="B6" s="111" t="s">
        <v>717</v>
      </c>
      <c r="C6" s="111"/>
      <c r="D6" s="111"/>
      <c r="E6" s="111"/>
      <c r="F6" s="111"/>
      <c r="G6" s="111"/>
    </row>
    <row r="7" spans="1:9" x14ac:dyDescent="0.25">
      <c r="A7" s="87" t="s">
        <v>797</v>
      </c>
      <c r="B7" s="111" t="s">
        <v>326</v>
      </c>
      <c r="C7" s="111"/>
      <c r="D7" s="111"/>
      <c r="E7" s="111"/>
      <c r="F7" s="111"/>
      <c r="G7" s="111"/>
    </row>
    <row r="8" spans="1:9" x14ac:dyDescent="0.25">
      <c r="A8" s="87" t="s">
        <v>798</v>
      </c>
      <c r="B8" s="111" t="s">
        <v>366</v>
      </c>
      <c r="C8" s="111"/>
      <c r="D8" s="111"/>
      <c r="E8" s="111"/>
      <c r="F8" s="111"/>
      <c r="G8" s="111"/>
    </row>
    <row r="9" spans="1:9" x14ac:dyDescent="0.25">
      <c r="A9" s="87" t="s">
        <v>300</v>
      </c>
      <c r="B9" s="111" t="s">
        <v>332</v>
      </c>
      <c r="C9" s="111"/>
      <c r="D9" s="111"/>
      <c r="E9" s="111"/>
      <c r="F9" s="111"/>
      <c r="G9" s="111"/>
    </row>
    <row r="10" spans="1:9" x14ac:dyDescent="0.25">
      <c r="A10" s="87" t="s">
        <v>6</v>
      </c>
      <c r="B10" s="111" t="s">
        <v>367</v>
      </c>
      <c r="C10" s="111"/>
      <c r="D10" s="111"/>
      <c r="E10" s="111"/>
      <c r="F10" s="111"/>
      <c r="G10" s="111"/>
    </row>
    <row r="11" spans="1:9" x14ac:dyDescent="0.25">
      <c r="A11" s="87" t="s">
        <v>301</v>
      </c>
      <c r="B11" s="111" t="s">
        <v>334</v>
      </c>
      <c r="C11" s="111"/>
      <c r="D11" s="111"/>
      <c r="E11" s="111"/>
      <c r="F11" s="111"/>
      <c r="G11" s="111"/>
    </row>
    <row r="12" spans="1:9" x14ac:dyDescent="0.25">
      <c r="A12" s="87" t="s">
        <v>302</v>
      </c>
      <c r="B12" s="111" t="s">
        <v>335</v>
      </c>
      <c r="C12" s="111"/>
      <c r="D12" s="111"/>
      <c r="E12" s="111"/>
      <c r="F12" s="111"/>
      <c r="G12" s="111"/>
    </row>
    <row r="13" spans="1:9" x14ac:dyDescent="0.25">
      <c r="A13" s="87" t="s">
        <v>724</v>
      </c>
      <c r="B13" s="111">
        <v>1</v>
      </c>
      <c r="C13" s="111"/>
      <c r="D13" s="111"/>
      <c r="E13" s="111"/>
      <c r="F13" s="111"/>
      <c r="G13" s="111"/>
    </row>
    <row r="14" spans="1:9" x14ac:dyDescent="0.25">
      <c r="A14" s="87" t="s">
        <v>304</v>
      </c>
      <c r="B14" s="111">
        <v>211</v>
      </c>
      <c r="C14" s="111"/>
      <c r="D14" s="111"/>
      <c r="E14" s="111"/>
      <c r="F14" s="111"/>
      <c r="G14" s="111"/>
    </row>
    <row r="15" spans="1:9" x14ac:dyDescent="0.25">
      <c r="A15" s="87" t="s">
        <v>727</v>
      </c>
      <c r="B15" s="111" t="s">
        <v>368</v>
      </c>
      <c r="C15" s="111"/>
      <c r="D15" s="111"/>
      <c r="E15" s="111"/>
      <c r="F15" s="111"/>
      <c r="G15" s="111"/>
    </row>
    <row r="16" spans="1:9" x14ac:dyDescent="0.25">
      <c r="A16" s="87" t="s">
        <v>306</v>
      </c>
      <c r="B16" s="111" t="s">
        <v>369</v>
      </c>
      <c r="C16" s="111"/>
      <c r="D16" s="111"/>
      <c r="E16" s="111"/>
      <c r="F16" s="111"/>
      <c r="G16" s="111"/>
    </row>
    <row r="17" spans="1:7" x14ac:dyDescent="0.25">
      <c r="A17" s="87" t="s">
        <v>800</v>
      </c>
      <c r="B17" s="111"/>
      <c r="C17" s="111"/>
      <c r="D17" s="111"/>
      <c r="E17" s="111"/>
      <c r="F17" s="111"/>
      <c r="G17" s="111"/>
    </row>
    <row r="18" spans="1:7" x14ac:dyDescent="0.25">
      <c r="A18" s="87" t="s">
        <v>308</v>
      </c>
      <c r="B18" s="122">
        <v>45071</v>
      </c>
      <c r="C18" s="111"/>
      <c r="D18" s="111"/>
      <c r="E18" s="111"/>
      <c r="F18" s="111"/>
      <c r="G18" s="111"/>
    </row>
    <row r="19" spans="1:7" x14ac:dyDescent="0.25">
      <c r="A19" s="87" t="s">
        <v>309</v>
      </c>
      <c r="B19" s="122">
        <v>45014</v>
      </c>
      <c r="C19" s="111"/>
      <c r="D19" s="111"/>
      <c r="E19" s="111"/>
      <c r="F19" s="111"/>
      <c r="G19" s="111"/>
    </row>
    <row r="20" spans="1:7" x14ac:dyDescent="0.25">
      <c r="A20" s="87" t="s">
        <v>310</v>
      </c>
      <c r="B20" s="111" t="s">
        <v>370</v>
      </c>
      <c r="C20" s="111"/>
      <c r="D20" s="111"/>
      <c r="E20" s="111"/>
      <c r="F20" s="111"/>
      <c r="G20" s="111"/>
    </row>
    <row r="21" spans="1:7" x14ac:dyDescent="0.25">
      <c r="A21" s="87" t="s">
        <v>311</v>
      </c>
      <c r="B21" s="111" t="s">
        <v>325</v>
      </c>
      <c r="C21" s="111"/>
      <c r="D21" s="111"/>
      <c r="E21" s="111"/>
      <c r="F21" s="111"/>
      <c r="G21" s="111"/>
    </row>
    <row r="23" spans="1:7" x14ac:dyDescent="0.25">
      <c r="B23" s="104" t="str">
        <f>HYPERLINK("#'Factor List'!A1","Back to Factor List")</f>
        <v>Back to Factor List</v>
      </c>
    </row>
    <row r="24" spans="1:7" x14ac:dyDescent="0.25">
      <c r="B24" s="104" t="s">
        <v>13</v>
      </c>
    </row>
    <row r="26" spans="1:7" ht="26" x14ac:dyDescent="0.25">
      <c r="A26" s="108" t="s">
        <v>534</v>
      </c>
      <c r="B26" s="108" t="s">
        <v>803</v>
      </c>
      <c r="C26" s="108" t="s">
        <v>804</v>
      </c>
      <c r="D26" s="108" t="s">
        <v>811</v>
      </c>
      <c r="E26" s="108" t="s">
        <v>805</v>
      </c>
      <c r="F26" s="108" t="s">
        <v>806</v>
      </c>
      <c r="G26" s="108" t="s">
        <v>812</v>
      </c>
    </row>
    <row r="27" spans="1:7" x14ac:dyDescent="0.25">
      <c r="A27" s="109">
        <v>17</v>
      </c>
      <c r="B27" s="110">
        <v>4.76</v>
      </c>
      <c r="C27" s="110">
        <v>0.23</v>
      </c>
      <c r="D27" s="110">
        <v>4.99</v>
      </c>
      <c r="E27" s="110">
        <v>4.76</v>
      </c>
      <c r="F27" s="110">
        <v>0.23</v>
      </c>
      <c r="G27" s="110">
        <v>4.99</v>
      </c>
    </row>
    <row r="28" spans="1:7" x14ac:dyDescent="0.25">
      <c r="A28" s="109">
        <v>18</v>
      </c>
      <c r="B28" s="110">
        <v>4.92</v>
      </c>
      <c r="C28" s="110">
        <v>0.25</v>
      </c>
      <c r="D28" s="110">
        <v>5.17</v>
      </c>
      <c r="E28" s="110">
        <v>4.92</v>
      </c>
      <c r="F28" s="110">
        <v>0.25</v>
      </c>
      <c r="G28" s="110">
        <v>5.17</v>
      </c>
    </row>
    <row r="29" spans="1:7" x14ac:dyDescent="0.25">
      <c r="A29" s="109">
        <v>19</v>
      </c>
      <c r="B29" s="110">
        <v>5.09</v>
      </c>
      <c r="C29" s="110">
        <v>0.26</v>
      </c>
      <c r="D29" s="110">
        <v>5.35</v>
      </c>
      <c r="E29" s="110">
        <v>5.09</v>
      </c>
      <c r="F29" s="110">
        <v>0.26</v>
      </c>
      <c r="G29" s="110">
        <v>5.35</v>
      </c>
    </row>
    <row r="30" spans="1:7" x14ac:dyDescent="0.25">
      <c r="A30" s="109">
        <v>20</v>
      </c>
      <c r="B30" s="110">
        <v>5.27</v>
      </c>
      <c r="C30" s="110">
        <v>0.27</v>
      </c>
      <c r="D30" s="110">
        <v>5.54</v>
      </c>
      <c r="E30" s="110">
        <v>5.27</v>
      </c>
      <c r="F30" s="110">
        <v>0.27</v>
      </c>
      <c r="G30" s="110">
        <v>5.54</v>
      </c>
    </row>
    <row r="31" spans="1:7" x14ac:dyDescent="0.25">
      <c r="A31" s="109">
        <v>21</v>
      </c>
      <c r="B31" s="110">
        <v>5.45</v>
      </c>
      <c r="C31" s="110">
        <v>0.28000000000000003</v>
      </c>
      <c r="D31" s="110">
        <v>5.73</v>
      </c>
      <c r="E31" s="110">
        <v>5.45</v>
      </c>
      <c r="F31" s="110">
        <v>0.28000000000000003</v>
      </c>
      <c r="G31" s="110">
        <v>5.73</v>
      </c>
    </row>
    <row r="32" spans="1:7" x14ac:dyDescent="0.25">
      <c r="A32" s="109">
        <v>22</v>
      </c>
      <c r="B32" s="110">
        <v>5.64</v>
      </c>
      <c r="C32" s="110">
        <v>0.28999999999999998</v>
      </c>
      <c r="D32" s="110">
        <v>5.93</v>
      </c>
      <c r="E32" s="110">
        <v>5.64</v>
      </c>
      <c r="F32" s="110">
        <v>0.28999999999999998</v>
      </c>
      <c r="G32" s="110">
        <v>5.93</v>
      </c>
    </row>
    <row r="33" spans="1:7" x14ac:dyDescent="0.25">
      <c r="A33" s="109">
        <v>23</v>
      </c>
      <c r="B33" s="110">
        <v>5.84</v>
      </c>
      <c r="C33" s="110">
        <v>0.3</v>
      </c>
      <c r="D33" s="110">
        <v>6.14</v>
      </c>
      <c r="E33" s="110">
        <v>5.84</v>
      </c>
      <c r="F33" s="110">
        <v>0.3</v>
      </c>
      <c r="G33" s="110">
        <v>6.14</v>
      </c>
    </row>
    <row r="34" spans="1:7" x14ac:dyDescent="0.25">
      <c r="A34" s="109">
        <v>24</v>
      </c>
      <c r="B34" s="110">
        <v>6.04</v>
      </c>
      <c r="C34" s="110">
        <v>0.31</v>
      </c>
      <c r="D34" s="110">
        <v>6.35</v>
      </c>
      <c r="E34" s="110">
        <v>6.04</v>
      </c>
      <c r="F34" s="110">
        <v>0.31</v>
      </c>
      <c r="G34" s="110">
        <v>6.35</v>
      </c>
    </row>
    <row r="35" spans="1:7" x14ac:dyDescent="0.25">
      <c r="A35" s="109">
        <v>25</v>
      </c>
      <c r="B35" s="110">
        <v>6.25</v>
      </c>
      <c r="C35" s="110">
        <v>0.32</v>
      </c>
      <c r="D35" s="110">
        <v>6.57</v>
      </c>
      <c r="E35" s="110">
        <v>6.25</v>
      </c>
      <c r="F35" s="110">
        <v>0.32</v>
      </c>
      <c r="G35" s="110">
        <v>6.57</v>
      </c>
    </row>
    <row r="36" spans="1:7" x14ac:dyDescent="0.25">
      <c r="A36" s="109">
        <v>26</v>
      </c>
      <c r="B36" s="110">
        <v>6.47</v>
      </c>
      <c r="C36" s="110">
        <v>0.33</v>
      </c>
      <c r="D36" s="110">
        <v>6.8</v>
      </c>
      <c r="E36" s="110">
        <v>6.47</v>
      </c>
      <c r="F36" s="110">
        <v>0.33</v>
      </c>
      <c r="G36" s="110">
        <v>6.8</v>
      </c>
    </row>
    <row r="37" spans="1:7" x14ac:dyDescent="0.25">
      <c r="A37" s="109">
        <v>27</v>
      </c>
      <c r="B37" s="110">
        <v>6.69</v>
      </c>
      <c r="C37" s="110">
        <v>0.35</v>
      </c>
      <c r="D37" s="110">
        <v>7.04</v>
      </c>
      <c r="E37" s="110">
        <v>6.69</v>
      </c>
      <c r="F37" s="110">
        <v>0.35</v>
      </c>
      <c r="G37" s="110">
        <v>7.04</v>
      </c>
    </row>
    <row r="38" spans="1:7" x14ac:dyDescent="0.25">
      <c r="A38" s="109">
        <v>28</v>
      </c>
      <c r="B38" s="110">
        <v>6.93</v>
      </c>
      <c r="C38" s="110">
        <v>0.36</v>
      </c>
      <c r="D38" s="110">
        <v>7.29</v>
      </c>
      <c r="E38" s="110">
        <v>6.93</v>
      </c>
      <c r="F38" s="110">
        <v>0.36</v>
      </c>
      <c r="G38" s="110">
        <v>7.29</v>
      </c>
    </row>
    <row r="39" spans="1:7" x14ac:dyDescent="0.25">
      <c r="A39" s="109">
        <v>29</v>
      </c>
      <c r="B39" s="110">
        <v>7.17</v>
      </c>
      <c r="C39" s="110">
        <v>0.37</v>
      </c>
      <c r="D39" s="110">
        <v>7.54</v>
      </c>
      <c r="E39" s="110">
        <v>7.17</v>
      </c>
      <c r="F39" s="110">
        <v>0.37</v>
      </c>
      <c r="G39" s="110">
        <v>7.54</v>
      </c>
    </row>
    <row r="40" spans="1:7" x14ac:dyDescent="0.25">
      <c r="A40" s="109">
        <v>30</v>
      </c>
      <c r="B40" s="110">
        <v>7.42</v>
      </c>
      <c r="C40" s="110">
        <v>0.39</v>
      </c>
      <c r="D40" s="110">
        <v>7.8</v>
      </c>
      <c r="E40" s="110">
        <v>7.42</v>
      </c>
      <c r="F40" s="110">
        <v>0.39</v>
      </c>
      <c r="G40" s="110">
        <v>7.8</v>
      </c>
    </row>
    <row r="41" spans="1:7" x14ac:dyDescent="0.25">
      <c r="A41" s="109">
        <v>31</v>
      </c>
      <c r="B41" s="110">
        <v>7.68</v>
      </c>
      <c r="C41" s="110">
        <v>0.4</v>
      </c>
      <c r="D41" s="110">
        <v>8.07</v>
      </c>
      <c r="E41" s="110">
        <v>7.68</v>
      </c>
      <c r="F41" s="110">
        <v>0.4</v>
      </c>
      <c r="G41" s="110">
        <v>8.07</v>
      </c>
    </row>
    <row r="42" spans="1:7" x14ac:dyDescent="0.25">
      <c r="A42" s="109">
        <v>32</v>
      </c>
      <c r="B42" s="110">
        <v>7.94</v>
      </c>
      <c r="C42" s="110">
        <v>0.41</v>
      </c>
      <c r="D42" s="110">
        <v>8.36</v>
      </c>
      <c r="E42" s="110">
        <v>7.94</v>
      </c>
      <c r="F42" s="110">
        <v>0.41</v>
      </c>
      <c r="G42" s="110">
        <v>8.36</v>
      </c>
    </row>
    <row r="43" spans="1:7" x14ac:dyDescent="0.25">
      <c r="A43" s="109">
        <v>33</v>
      </c>
      <c r="B43" s="110">
        <v>8.2200000000000006</v>
      </c>
      <c r="C43" s="110">
        <v>0.43</v>
      </c>
      <c r="D43" s="110">
        <v>8.65</v>
      </c>
      <c r="E43" s="110">
        <v>8.2200000000000006</v>
      </c>
      <c r="F43" s="110">
        <v>0.43</v>
      </c>
      <c r="G43" s="110">
        <v>8.65</v>
      </c>
    </row>
    <row r="44" spans="1:7" x14ac:dyDescent="0.25">
      <c r="A44" s="109">
        <v>34</v>
      </c>
      <c r="B44" s="110">
        <v>8.51</v>
      </c>
      <c r="C44" s="110">
        <v>0.44</v>
      </c>
      <c r="D44" s="110">
        <v>8.9499999999999993</v>
      </c>
      <c r="E44" s="110">
        <v>8.51</v>
      </c>
      <c r="F44" s="110">
        <v>0.44</v>
      </c>
      <c r="G44" s="110">
        <v>8.9499999999999993</v>
      </c>
    </row>
    <row r="45" spans="1:7" x14ac:dyDescent="0.25">
      <c r="A45" s="109">
        <v>35</v>
      </c>
      <c r="B45" s="110">
        <v>8.81</v>
      </c>
      <c r="C45" s="110">
        <v>0.46</v>
      </c>
      <c r="D45" s="110">
        <v>9.26</v>
      </c>
      <c r="E45" s="110">
        <v>8.81</v>
      </c>
      <c r="F45" s="110">
        <v>0.46</v>
      </c>
      <c r="G45" s="110">
        <v>9.26</v>
      </c>
    </row>
    <row r="46" spans="1:7" x14ac:dyDescent="0.25">
      <c r="A46" s="109">
        <v>36</v>
      </c>
      <c r="B46" s="110">
        <v>9.11</v>
      </c>
      <c r="C46" s="110">
        <v>0.47</v>
      </c>
      <c r="D46" s="110">
        <v>9.59</v>
      </c>
      <c r="E46" s="110">
        <v>9.11</v>
      </c>
      <c r="F46" s="110">
        <v>0.47</v>
      </c>
      <c r="G46" s="110">
        <v>9.59</v>
      </c>
    </row>
    <row r="47" spans="1:7" x14ac:dyDescent="0.25">
      <c r="A47" s="109">
        <v>37</v>
      </c>
      <c r="B47" s="110">
        <v>9.43</v>
      </c>
      <c r="C47" s="110">
        <v>0.49</v>
      </c>
      <c r="D47" s="110">
        <v>9.92</v>
      </c>
      <c r="E47" s="110">
        <v>9.43</v>
      </c>
      <c r="F47" s="110">
        <v>0.49</v>
      </c>
      <c r="G47" s="110">
        <v>9.92</v>
      </c>
    </row>
    <row r="48" spans="1:7" x14ac:dyDescent="0.25">
      <c r="A48" s="109">
        <v>38</v>
      </c>
      <c r="B48" s="110">
        <v>9.76</v>
      </c>
      <c r="C48" s="110">
        <v>0.5</v>
      </c>
      <c r="D48" s="110">
        <v>10.27</v>
      </c>
      <c r="E48" s="110">
        <v>9.76</v>
      </c>
      <c r="F48" s="110">
        <v>0.5</v>
      </c>
      <c r="G48" s="110">
        <v>10.27</v>
      </c>
    </row>
    <row r="49" spans="1:7" x14ac:dyDescent="0.25">
      <c r="A49" s="109">
        <v>39</v>
      </c>
      <c r="B49" s="110">
        <v>10.11</v>
      </c>
      <c r="C49" s="110">
        <v>0.52</v>
      </c>
      <c r="D49" s="110">
        <v>10.63</v>
      </c>
      <c r="E49" s="110">
        <v>10.11</v>
      </c>
      <c r="F49" s="110">
        <v>0.52</v>
      </c>
      <c r="G49" s="110">
        <v>10.63</v>
      </c>
    </row>
    <row r="50" spans="1:7" x14ac:dyDescent="0.25">
      <c r="A50" s="109">
        <v>40</v>
      </c>
      <c r="B50" s="110">
        <v>10.46</v>
      </c>
      <c r="C50" s="110">
        <v>0.54</v>
      </c>
      <c r="D50" s="110">
        <v>11</v>
      </c>
      <c r="E50" s="110">
        <v>10.46</v>
      </c>
      <c r="F50" s="110">
        <v>0.54</v>
      </c>
      <c r="G50" s="110">
        <v>11</v>
      </c>
    </row>
    <row r="51" spans="1:7" x14ac:dyDescent="0.25">
      <c r="A51" s="109">
        <v>41</v>
      </c>
      <c r="B51" s="110">
        <v>10.83</v>
      </c>
      <c r="C51" s="110">
        <v>0.55000000000000004</v>
      </c>
      <c r="D51" s="110">
        <v>11.39</v>
      </c>
      <c r="E51" s="110">
        <v>10.83</v>
      </c>
      <c r="F51" s="110">
        <v>0.55000000000000004</v>
      </c>
      <c r="G51" s="110">
        <v>11.39</v>
      </c>
    </row>
    <row r="52" spans="1:7" x14ac:dyDescent="0.25">
      <c r="A52" s="109">
        <v>42</v>
      </c>
      <c r="B52" s="110">
        <v>11.22</v>
      </c>
      <c r="C52" s="110">
        <v>0.56999999999999995</v>
      </c>
      <c r="D52" s="110">
        <v>11.79</v>
      </c>
      <c r="E52" s="110">
        <v>11.22</v>
      </c>
      <c r="F52" s="110">
        <v>0.56999999999999995</v>
      </c>
      <c r="G52" s="110">
        <v>11.79</v>
      </c>
    </row>
    <row r="53" spans="1:7" x14ac:dyDescent="0.25">
      <c r="A53" s="109">
        <v>43</v>
      </c>
      <c r="B53" s="110">
        <v>11.61</v>
      </c>
      <c r="C53" s="110">
        <v>0.59</v>
      </c>
      <c r="D53" s="110">
        <v>12.2</v>
      </c>
      <c r="E53" s="110">
        <v>11.61</v>
      </c>
      <c r="F53" s="110">
        <v>0.59</v>
      </c>
      <c r="G53" s="110">
        <v>12.2</v>
      </c>
    </row>
    <row r="54" spans="1:7" x14ac:dyDescent="0.25">
      <c r="A54" s="109">
        <v>44</v>
      </c>
      <c r="B54" s="110">
        <v>12.02</v>
      </c>
      <c r="C54" s="110">
        <v>0.61</v>
      </c>
      <c r="D54" s="110">
        <v>12.63</v>
      </c>
      <c r="E54" s="110">
        <v>12.02</v>
      </c>
      <c r="F54" s="110">
        <v>0.61</v>
      </c>
      <c r="G54" s="110">
        <v>12.63</v>
      </c>
    </row>
    <row r="55" spans="1:7" x14ac:dyDescent="0.25">
      <c r="A55" s="109">
        <v>45</v>
      </c>
      <c r="B55" s="110">
        <v>12.45</v>
      </c>
      <c r="C55" s="110">
        <v>0.62</v>
      </c>
      <c r="D55" s="110">
        <v>13.08</v>
      </c>
      <c r="E55" s="110">
        <v>12.45</v>
      </c>
      <c r="F55" s="110">
        <v>0.62</v>
      </c>
      <c r="G55" s="110">
        <v>13.08</v>
      </c>
    </row>
    <row r="56" spans="1:7" x14ac:dyDescent="0.25">
      <c r="A56" s="109">
        <v>46</v>
      </c>
      <c r="B56" s="110">
        <v>12.9</v>
      </c>
      <c r="C56" s="110">
        <v>0.64</v>
      </c>
      <c r="D56" s="110">
        <v>13.54</v>
      </c>
      <c r="E56" s="110">
        <v>12.9</v>
      </c>
      <c r="F56" s="110">
        <v>0.64</v>
      </c>
      <c r="G56" s="110">
        <v>13.54</v>
      </c>
    </row>
    <row r="57" spans="1:7" x14ac:dyDescent="0.25">
      <c r="A57" s="109">
        <v>47</v>
      </c>
      <c r="B57" s="110">
        <v>13.36</v>
      </c>
      <c r="C57" s="110">
        <v>0.66</v>
      </c>
      <c r="D57" s="110">
        <v>14.02</v>
      </c>
      <c r="E57" s="110">
        <v>13.36</v>
      </c>
      <c r="F57" s="110">
        <v>0.66</v>
      </c>
      <c r="G57" s="110">
        <v>14.02</v>
      </c>
    </row>
    <row r="58" spans="1:7" x14ac:dyDescent="0.25">
      <c r="A58" s="109">
        <v>48</v>
      </c>
      <c r="B58" s="110">
        <v>13.84</v>
      </c>
      <c r="C58" s="110">
        <v>0.68</v>
      </c>
      <c r="D58" s="110">
        <v>14.52</v>
      </c>
      <c r="E58" s="110">
        <v>13.84</v>
      </c>
      <c r="F58" s="110">
        <v>0.68</v>
      </c>
      <c r="G58" s="110">
        <v>14.52</v>
      </c>
    </row>
    <row r="59" spans="1:7" x14ac:dyDescent="0.25">
      <c r="A59" s="109">
        <v>49</v>
      </c>
      <c r="B59" s="110">
        <v>14.34</v>
      </c>
      <c r="C59" s="110">
        <v>0.7</v>
      </c>
      <c r="D59" s="110">
        <v>15.03</v>
      </c>
      <c r="E59" s="110">
        <v>14.34</v>
      </c>
      <c r="F59" s="110">
        <v>0.7</v>
      </c>
      <c r="G59" s="110">
        <v>15.03</v>
      </c>
    </row>
    <row r="60" spans="1:7" x14ac:dyDescent="0.25">
      <c r="A60" s="109">
        <v>50</v>
      </c>
      <c r="B60" s="110">
        <v>14.86</v>
      </c>
      <c r="C60" s="110">
        <v>0.71</v>
      </c>
      <c r="D60" s="110">
        <v>15.57</v>
      </c>
      <c r="E60" s="110">
        <v>14.86</v>
      </c>
      <c r="F60" s="110">
        <v>0.71</v>
      </c>
      <c r="G60" s="110">
        <v>15.57</v>
      </c>
    </row>
    <row r="61" spans="1:7" x14ac:dyDescent="0.25">
      <c r="A61" s="109">
        <v>51</v>
      </c>
      <c r="B61" s="110">
        <v>15.4</v>
      </c>
      <c r="C61" s="110">
        <v>0.73</v>
      </c>
      <c r="D61" s="110">
        <v>16.13</v>
      </c>
      <c r="E61" s="110">
        <v>15.4</v>
      </c>
      <c r="F61" s="110">
        <v>0.73</v>
      </c>
      <c r="G61" s="110">
        <v>16.13</v>
      </c>
    </row>
    <row r="62" spans="1:7" x14ac:dyDescent="0.25">
      <c r="A62" s="109">
        <v>52</v>
      </c>
      <c r="B62" s="110">
        <v>15.96</v>
      </c>
      <c r="C62" s="110">
        <v>0.75</v>
      </c>
      <c r="D62" s="110">
        <v>16.71</v>
      </c>
      <c r="E62" s="110">
        <v>15.96</v>
      </c>
      <c r="F62" s="110">
        <v>0.75</v>
      </c>
      <c r="G62" s="110">
        <v>16.71</v>
      </c>
    </row>
    <row r="63" spans="1:7" x14ac:dyDescent="0.25">
      <c r="A63" s="109">
        <v>53</v>
      </c>
      <c r="B63" s="110">
        <v>16.54</v>
      </c>
      <c r="C63" s="110">
        <v>0.77</v>
      </c>
      <c r="D63" s="110">
        <v>17.309999999999999</v>
      </c>
      <c r="E63" s="110">
        <v>16.54</v>
      </c>
      <c r="F63" s="110">
        <v>0.77</v>
      </c>
      <c r="G63" s="110">
        <v>17.309999999999999</v>
      </c>
    </row>
    <row r="64" spans="1:7" x14ac:dyDescent="0.25">
      <c r="A64" s="109">
        <v>54</v>
      </c>
      <c r="B64" s="110">
        <v>17.149999999999999</v>
      </c>
      <c r="C64" s="110">
        <v>0.79</v>
      </c>
      <c r="D64" s="110">
        <v>17.940000000000001</v>
      </c>
      <c r="E64" s="110">
        <v>17.149999999999999</v>
      </c>
      <c r="F64" s="110">
        <v>0.79</v>
      </c>
      <c r="G64" s="110">
        <v>17.940000000000001</v>
      </c>
    </row>
    <row r="65" spans="1:7" x14ac:dyDescent="0.25">
      <c r="A65" s="109">
        <v>55</v>
      </c>
      <c r="B65" s="110">
        <v>17.79</v>
      </c>
      <c r="C65" s="110">
        <v>0.81</v>
      </c>
      <c r="D65" s="110">
        <v>18.600000000000001</v>
      </c>
      <c r="E65" s="110">
        <v>17.79</v>
      </c>
      <c r="F65" s="110">
        <v>0.81</v>
      </c>
      <c r="G65" s="110">
        <v>18.600000000000001</v>
      </c>
    </row>
    <row r="66" spans="1:7" x14ac:dyDescent="0.25">
      <c r="A66" s="109">
        <v>56</v>
      </c>
      <c r="B66" s="110">
        <v>18.46</v>
      </c>
      <c r="C66" s="110">
        <v>0.82</v>
      </c>
      <c r="D66" s="110">
        <v>19.28</v>
      </c>
      <c r="E66" s="110">
        <v>18.46</v>
      </c>
      <c r="F66" s="110">
        <v>0.82</v>
      </c>
      <c r="G66" s="110">
        <v>19.28</v>
      </c>
    </row>
    <row r="67" spans="1:7" x14ac:dyDescent="0.25">
      <c r="A67" s="109">
        <v>57</v>
      </c>
      <c r="B67" s="110">
        <v>19.149999999999999</v>
      </c>
      <c r="C67" s="110">
        <v>0.84</v>
      </c>
      <c r="D67" s="110">
        <v>20</v>
      </c>
      <c r="E67" s="110">
        <v>19.149999999999999</v>
      </c>
      <c r="F67" s="110">
        <v>0.84</v>
      </c>
      <c r="G67" s="110">
        <v>20</v>
      </c>
    </row>
    <row r="68" spans="1:7" x14ac:dyDescent="0.25">
      <c r="A68" s="109">
        <v>58</v>
      </c>
      <c r="B68" s="110">
        <v>19.88</v>
      </c>
      <c r="C68" s="110">
        <v>0.86</v>
      </c>
      <c r="D68" s="110">
        <v>20.74</v>
      </c>
      <c r="E68" s="110">
        <v>19.88</v>
      </c>
      <c r="F68" s="110">
        <v>0.86</v>
      </c>
      <c r="G68" s="110">
        <v>20.74</v>
      </c>
    </row>
    <row r="69" spans="1:7" x14ac:dyDescent="0.25">
      <c r="A69" s="109">
        <v>59</v>
      </c>
      <c r="B69" s="110">
        <v>20.65</v>
      </c>
      <c r="C69" s="110">
        <v>0.87</v>
      </c>
      <c r="D69" s="110">
        <v>21.52</v>
      </c>
      <c r="E69" s="110">
        <v>20.65</v>
      </c>
      <c r="F69" s="110">
        <v>0.87</v>
      </c>
      <c r="G69" s="110">
        <v>21.52</v>
      </c>
    </row>
    <row r="70" spans="1:7" x14ac:dyDescent="0.25">
      <c r="A70" s="109">
        <v>60</v>
      </c>
      <c r="B70" s="110">
        <v>20.73</v>
      </c>
      <c r="C70" s="110">
        <v>0.88</v>
      </c>
      <c r="D70" s="110">
        <v>21.61</v>
      </c>
      <c r="E70" s="110">
        <v>20.73</v>
      </c>
      <c r="F70" s="110">
        <v>0.88</v>
      </c>
      <c r="G70" s="110">
        <v>21.61</v>
      </c>
    </row>
    <row r="71" spans="1:7" x14ac:dyDescent="0.25">
      <c r="A71" s="109">
        <v>61</v>
      </c>
      <c r="B71" s="110">
        <v>20.09</v>
      </c>
      <c r="C71" s="110">
        <v>0.88</v>
      </c>
      <c r="D71" s="110">
        <v>20.98</v>
      </c>
      <c r="E71" s="110">
        <v>20.09</v>
      </c>
      <c r="F71" s="110">
        <v>0.88</v>
      </c>
      <c r="G71" s="110">
        <v>20.98</v>
      </c>
    </row>
    <row r="72" spans="1:7" x14ac:dyDescent="0.25">
      <c r="A72" s="109">
        <v>62</v>
      </c>
      <c r="B72" s="110">
        <v>19.46</v>
      </c>
      <c r="C72" s="110">
        <v>0.89</v>
      </c>
      <c r="D72" s="110">
        <v>20.34</v>
      </c>
      <c r="E72" s="110">
        <v>19.46</v>
      </c>
      <c r="F72" s="110">
        <v>0.89</v>
      </c>
      <c r="G72" s="110">
        <v>20.34</v>
      </c>
    </row>
    <row r="73" spans="1:7" x14ac:dyDescent="0.25">
      <c r="A73" s="109">
        <v>63</v>
      </c>
      <c r="B73" s="110">
        <v>18.82</v>
      </c>
      <c r="C73" s="110">
        <v>0.89</v>
      </c>
      <c r="D73" s="110">
        <v>19.71</v>
      </c>
      <c r="E73" s="110">
        <v>18.82</v>
      </c>
      <c r="F73" s="110">
        <v>0.89</v>
      </c>
      <c r="G73" s="110">
        <v>19.71</v>
      </c>
    </row>
    <row r="74" spans="1:7" x14ac:dyDescent="0.25">
      <c r="A74" s="109">
        <v>64</v>
      </c>
      <c r="B74" s="110">
        <v>18.190000000000001</v>
      </c>
      <c r="C74" s="110">
        <v>0.88</v>
      </c>
      <c r="D74" s="110">
        <v>19.079999999999998</v>
      </c>
      <c r="E74" s="110">
        <v>18.190000000000001</v>
      </c>
      <c r="F74" s="110">
        <v>0.88</v>
      </c>
      <c r="G74" s="110">
        <v>19.079999999999998</v>
      </c>
    </row>
    <row r="75" spans="1:7" x14ac:dyDescent="0.25">
      <c r="A75" s="109">
        <v>65</v>
      </c>
      <c r="B75" s="110">
        <v>17.559999999999999</v>
      </c>
      <c r="C75" s="110">
        <v>0.88</v>
      </c>
      <c r="D75" s="110">
        <v>18.45</v>
      </c>
      <c r="E75" s="110">
        <v>17.559999999999999</v>
      </c>
      <c r="F75" s="110">
        <v>0.88</v>
      </c>
      <c r="G75" s="110">
        <v>18.45</v>
      </c>
    </row>
    <row r="76" spans="1:7" x14ac:dyDescent="0.25">
      <c r="A76" s="109">
        <v>66</v>
      </c>
      <c r="B76" s="110">
        <v>16.940000000000001</v>
      </c>
      <c r="C76" s="110">
        <v>0.88</v>
      </c>
      <c r="D76" s="110">
        <v>17.82</v>
      </c>
      <c r="E76" s="110">
        <v>16.940000000000001</v>
      </c>
      <c r="F76" s="110">
        <v>0.88</v>
      </c>
      <c r="G76" s="110">
        <v>17.82</v>
      </c>
    </row>
    <row r="77" spans="1:7" x14ac:dyDescent="0.25">
      <c r="A77" s="109">
        <v>67</v>
      </c>
      <c r="B77" s="110">
        <v>16.309999999999999</v>
      </c>
      <c r="C77" s="110">
        <v>0.87</v>
      </c>
      <c r="D77" s="110">
        <v>17.18</v>
      </c>
      <c r="E77" s="110">
        <v>16.309999999999999</v>
      </c>
      <c r="F77" s="110">
        <v>0.87</v>
      </c>
      <c r="G77" s="110">
        <v>17.18</v>
      </c>
    </row>
    <row r="78" spans="1:7" x14ac:dyDescent="0.25">
      <c r="A78" s="109">
        <v>68</v>
      </c>
      <c r="B78" s="110">
        <v>15.68</v>
      </c>
      <c r="C78" s="110">
        <v>0.87</v>
      </c>
      <c r="D78" s="110">
        <v>16.55</v>
      </c>
      <c r="E78" s="110">
        <v>15.68</v>
      </c>
      <c r="F78" s="110">
        <v>0.87</v>
      </c>
      <c r="G78" s="110">
        <v>16.55</v>
      </c>
    </row>
    <row r="79" spans="1:7" x14ac:dyDescent="0.25">
      <c r="A79" s="109">
        <v>69</v>
      </c>
      <c r="B79" s="110">
        <v>15.05</v>
      </c>
      <c r="C79" s="110">
        <v>0.86</v>
      </c>
      <c r="D79" s="110">
        <v>15.92</v>
      </c>
      <c r="E79" s="110">
        <v>15.05</v>
      </c>
      <c r="F79" s="110">
        <v>0.86</v>
      </c>
      <c r="G79" s="110">
        <v>15.92</v>
      </c>
    </row>
    <row r="80" spans="1:7" x14ac:dyDescent="0.25">
      <c r="A80" s="109">
        <v>70</v>
      </c>
      <c r="B80" s="110">
        <v>14.43</v>
      </c>
      <c r="C80" s="110">
        <v>0.85</v>
      </c>
      <c r="D80" s="110">
        <v>15.28</v>
      </c>
      <c r="E80" s="110">
        <v>14.43</v>
      </c>
      <c r="F80" s="110">
        <v>0.85</v>
      </c>
      <c r="G80" s="110">
        <v>15.28</v>
      </c>
    </row>
    <row r="81" spans="1:7" x14ac:dyDescent="0.25">
      <c r="A81" s="109">
        <v>71</v>
      </c>
      <c r="B81" s="110">
        <v>13.8</v>
      </c>
      <c r="C81" s="110">
        <v>0.85</v>
      </c>
      <c r="D81" s="110">
        <v>14.65</v>
      </c>
      <c r="E81" s="110">
        <v>13.8</v>
      </c>
      <c r="F81" s="110">
        <v>0.85</v>
      </c>
      <c r="G81" s="110">
        <v>14.65</v>
      </c>
    </row>
    <row r="82" spans="1:7" x14ac:dyDescent="0.25">
      <c r="A82" s="109">
        <v>72</v>
      </c>
      <c r="B82" s="110">
        <v>13.18</v>
      </c>
      <c r="C82" s="110">
        <v>0.83</v>
      </c>
      <c r="D82" s="110">
        <v>14.02</v>
      </c>
      <c r="E82" s="110">
        <v>13.18</v>
      </c>
      <c r="F82" s="110">
        <v>0.83</v>
      </c>
      <c r="G82" s="110">
        <v>14.02</v>
      </c>
    </row>
    <row r="83" spans="1:7" x14ac:dyDescent="0.25">
      <c r="A83" s="109">
        <v>73</v>
      </c>
      <c r="B83" s="110">
        <v>12.57</v>
      </c>
      <c r="C83" s="110">
        <v>0.82</v>
      </c>
      <c r="D83" s="110">
        <v>13.39</v>
      </c>
      <c r="E83" s="110">
        <v>12.57</v>
      </c>
      <c r="F83" s="110">
        <v>0.82</v>
      </c>
      <c r="G83" s="110">
        <v>13.39</v>
      </c>
    </row>
    <row r="84" spans="1:7" x14ac:dyDescent="0.25">
      <c r="A84" s="109">
        <v>74</v>
      </c>
      <c r="B84" s="110">
        <v>11.96</v>
      </c>
      <c r="C84" s="110">
        <v>0.81</v>
      </c>
      <c r="D84" s="110">
        <v>12.77</v>
      </c>
      <c r="E84" s="110">
        <v>11.96</v>
      </c>
      <c r="F84" s="110">
        <v>0.81</v>
      </c>
      <c r="G84" s="110">
        <v>12.77</v>
      </c>
    </row>
    <row r="85" spans="1:7" x14ac:dyDescent="0.25">
      <c r="A85" s="109">
        <v>75</v>
      </c>
      <c r="B85" s="110">
        <v>11.37</v>
      </c>
      <c r="C85" s="110">
        <v>0.79</v>
      </c>
      <c r="D85" s="110">
        <v>12.16</v>
      </c>
      <c r="E85" s="110">
        <v>11.37</v>
      </c>
      <c r="F85" s="110">
        <v>0.79</v>
      </c>
      <c r="G85" s="110">
        <v>12.16</v>
      </c>
    </row>
  </sheetData>
  <conditionalFormatting sqref="A6:A21">
    <cfRule type="expression" dxfId="1063" priority="3" stopIfTrue="1">
      <formula>MOD(ROW(),2)=0</formula>
    </cfRule>
    <cfRule type="expression" dxfId="1062" priority="4" stopIfTrue="1">
      <formula>MOD(ROW(),2)&lt;&gt;0</formula>
    </cfRule>
  </conditionalFormatting>
  <conditionalFormatting sqref="A26:A85">
    <cfRule type="expression" dxfId="1061" priority="7" stopIfTrue="1">
      <formula>MOD(ROW(),2)=0</formula>
    </cfRule>
    <cfRule type="expression" dxfId="1060" priority="8" stopIfTrue="1">
      <formula>MOD(ROW(),2)&lt;&gt;0</formula>
    </cfRule>
  </conditionalFormatting>
  <conditionalFormatting sqref="B12">
    <cfRule type="expression" dxfId="1059" priority="15" stopIfTrue="1">
      <formula>MOD(ROW(),2)=0</formula>
    </cfRule>
    <cfRule type="expression" dxfId="1058" priority="16" stopIfTrue="1">
      <formula>MOD(ROW(),2)&lt;&gt;0</formula>
    </cfRule>
  </conditionalFormatting>
  <conditionalFormatting sqref="B17:B21">
    <cfRule type="expression" dxfId="1057" priority="1" stopIfTrue="1">
      <formula>MOD(ROW(),2)=0</formula>
    </cfRule>
    <cfRule type="expression" dxfId="1056" priority="2" stopIfTrue="1">
      <formula>MOD(ROW(),2)&lt;&gt;0</formula>
    </cfRule>
  </conditionalFormatting>
  <conditionalFormatting sqref="B6:G6 C7:G7 B8:G11 C12:G12 B13:G16 C17:G21">
    <cfRule type="expression" dxfId="1055" priority="39" stopIfTrue="1">
      <formula>MOD(ROW(),2)=0</formula>
    </cfRule>
    <cfRule type="expression" dxfId="1054" priority="40" stopIfTrue="1">
      <formula>MOD(ROW(),2)&lt;&gt;0</formula>
    </cfRule>
  </conditionalFormatting>
  <conditionalFormatting sqref="B6:G21">
    <cfRule type="expression" dxfId="1053" priority="27" stopIfTrue="1">
      <formula>MOD(ROW(),2)=0</formula>
    </cfRule>
    <cfRule type="expression" dxfId="1052" priority="28" stopIfTrue="1">
      <formula>MOD(ROW(),2)&lt;&gt;0</formula>
    </cfRule>
  </conditionalFormatting>
  <conditionalFormatting sqref="B26:G85">
    <cfRule type="expression" dxfId="1051" priority="9" stopIfTrue="1">
      <formula>MOD(ROW(),2)=0</formula>
    </cfRule>
    <cfRule type="expression" dxfId="1050" priority="10" stopIfTrue="1">
      <formula>MOD(ROW(),2)&lt;&gt;0</formula>
    </cfRule>
  </conditionalFormatting>
  <hyperlinks>
    <hyperlink ref="B24" location="Assumptions!A1" display="Assumptions" xr:uid="{15BE673A-D56E-4992-A8C9-EC554F42869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0"/>
  <dimension ref="A1:E85"/>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5" ht="20" x14ac:dyDescent="0.4">
      <c r="A1" s="53" t="s">
        <v>0</v>
      </c>
      <c r="B1" s="54"/>
      <c r="C1" s="54"/>
      <c r="D1" s="54"/>
      <c r="E1" s="54"/>
    </row>
    <row r="2" spans="1:5" ht="15.5" x14ac:dyDescent="0.35">
      <c r="A2" s="55" t="str">
        <f>IF(title="&gt; Enter workbook title here","Enter workbook title in Cover sheet",title)</f>
        <v>Northern Ireland Civil Service Pension Schemes - Consolidated Factor Spreadsheet</v>
      </c>
      <c r="B2" s="56"/>
      <c r="C2" s="56"/>
      <c r="D2" s="56"/>
      <c r="E2" s="56"/>
    </row>
    <row r="3" spans="1:5" ht="15.5" x14ac:dyDescent="0.35">
      <c r="A3" s="57" t="str">
        <f>TABLE_FACTOR_TYPE_1&amp;" - x-"&amp;TABLE_SERIES_NUMBER_1</f>
        <v>TV In (non-club) - x-214</v>
      </c>
      <c r="B3" s="56"/>
      <c r="C3" s="56"/>
      <c r="D3" s="56"/>
      <c r="E3" s="56"/>
    </row>
    <row r="4" spans="1:5" x14ac:dyDescent="0.25">
      <c r="A4" s="58"/>
    </row>
    <row r="6" spans="1:5" ht="13" x14ac:dyDescent="0.3">
      <c r="A6" s="92" t="s">
        <v>716</v>
      </c>
      <c r="B6" s="181" t="s">
        <v>717</v>
      </c>
      <c r="C6" s="181"/>
      <c r="D6" s="181"/>
      <c r="E6" s="181"/>
    </row>
    <row r="7" spans="1:5" x14ac:dyDescent="0.25">
      <c r="A7" s="94" t="s">
        <v>797</v>
      </c>
      <c r="B7" s="181" t="s">
        <v>316</v>
      </c>
      <c r="C7" s="181"/>
      <c r="D7" s="181"/>
      <c r="E7" s="181"/>
    </row>
    <row r="8" spans="1:5" x14ac:dyDescent="0.25">
      <c r="A8" s="94" t="s">
        <v>798</v>
      </c>
      <c r="B8" s="181" t="s">
        <v>92</v>
      </c>
      <c r="C8" s="181"/>
      <c r="D8" s="181"/>
      <c r="E8" s="181"/>
    </row>
    <row r="9" spans="1:5" x14ac:dyDescent="0.25">
      <c r="A9" s="94" t="s">
        <v>300</v>
      </c>
      <c r="B9" s="181" t="s">
        <v>372</v>
      </c>
      <c r="C9" s="181"/>
      <c r="D9" s="181"/>
      <c r="E9" s="181"/>
    </row>
    <row r="10" spans="1:5" x14ac:dyDescent="0.25">
      <c r="A10" s="94" t="s">
        <v>6</v>
      </c>
      <c r="B10" s="181" t="s">
        <v>373</v>
      </c>
      <c r="C10" s="181"/>
      <c r="D10" s="181"/>
      <c r="E10" s="181"/>
    </row>
    <row r="11" spans="1:5" x14ac:dyDescent="0.25">
      <c r="A11" s="94" t="s">
        <v>301</v>
      </c>
      <c r="B11" s="181" t="s">
        <v>334</v>
      </c>
      <c r="C11" s="181"/>
      <c r="D11" s="181"/>
      <c r="E11" s="181"/>
    </row>
    <row r="12" spans="1:5" x14ac:dyDescent="0.25">
      <c r="A12" s="94" t="s">
        <v>302</v>
      </c>
      <c r="B12" s="181" t="s">
        <v>335</v>
      </c>
      <c r="C12" s="181"/>
      <c r="D12" s="181"/>
      <c r="E12" s="181"/>
    </row>
    <row r="13" spans="1:5" x14ac:dyDescent="0.25">
      <c r="A13" s="94" t="s">
        <v>813</v>
      </c>
      <c r="B13" s="181">
        <v>0</v>
      </c>
      <c r="C13" s="181"/>
      <c r="D13" s="181"/>
      <c r="E13" s="181"/>
    </row>
    <row r="14" spans="1:5" x14ac:dyDescent="0.25">
      <c r="A14" s="94" t="s">
        <v>304</v>
      </c>
      <c r="B14" s="181">
        <v>214</v>
      </c>
      <c r="C14" s="181"/>
      <c r="D14" s="181"/>
      <c r="E14" s="181"/>
    </row>
    <row r="15" spans="1:5" x14ac:dyDescent="0.25">
      <c r="A15" s="94" t="s">
        <v>727</v>
      </c>
      <c r="B15" s="181" t="s">
        <v>374</v>
      </c>
      <c r="C15" s="181"/>
      <c r="D15" s="181"/>
      <c r="E15" s="181"/>
    </row>
    <row r="16" spans="1:5" x14ac:dyDescent="0.25">
      <c r="A16" s="94" t="s">
        <v>814</v>
      </c>
      <c r="B16" s="181" t="s">
        <v>375</v>
      </c>
      <c r="C16" s="181"/>
      <c r="D16" s="181"/>
      <c r="E16" s="181"/>
    </row>
    <row r="17" spans="1:5" x14ac:dyDescent="0.25">
      <c r="A17" s="94" t="s">
        <v>800</v>
      </c>
      <c r="B17" s="181"/>
      <c r="C17" s="181"/>
      <c r="D17" s="181"/>
      <c r="E17" s="181"/>
    </row>
    <row r="18" spans="1:5" x14ac:dyDescent="0.25">
      <c r="A18" s="94" t="s">
        <v>308</v>
      </c>
      <c r="B18" s="185">
        <v>45106</v>
      </c>
      <c r="C18" s="181"/>
      <c r="D18" s="181"/>
      <c r="E18" s="181"/>
    </row>
    <row r="19" spans="1:5" x14ac:dyDescent="0.25">
      <c r="A19" s="94" t="s">
        <v>309</v>
      </c>
      <c r="B19" s="185">
        <v>45014</v>
      </c>
      <c r="C19" s="181"/>
      <c r="D19" s="181"/>
      <c r="E19" s="181"/>
    </row>
    <row r="20" spans="1:5" x14ac:dyDescent="0.25">
      <c r="A20" s="94" t="s">
        <v>310</v>
      </c>
      <c r="B20" s="181" t="s">
        <v>324</v>
      </c>
      <c r="C20" s="181"/>
      <c r="D20" s="181"/>
      <c r="E20" s="181"/>
    </row>
    <row r="21" spans="1:5" x14ac:dyDescent="0.25">
      <c r="A21" s="87" t="s">
        <v>311</v>
      </c>
      <c r="B21" s="181" t="s">
        <v>325</v>
      </c>
      <c r="C21" s="181"/>
      <c r="D21" s="181"/>
      <c r="E21" s="181"/>
    </row>
    <row r="23" spans="1:5" x14ac:dyDescent="0.25">
      <c r="B23" s="104" t="str">
        <f>HYPERLINK("#'Factor List'!A1","Back to Factor List")</f>
        <v>Back to Factor List</v>
      </c>
    </row>
    <row r="24" spans="1:5" x14ac:dyDescent="0.25">
      <c r="B24" s="104" t="s">
        <v>13</v>
      </c>
    </row>
    <row r="26" spans="1:5" ht="26" x14ac:dyDescent="0.25">
      <c r="A26" s="108" t="s">
        <v>534</v>
      </c>
      <c r="B26" s="108" t="s">
        <v>815</v>
      </c>
      <c r="C26" s="108" t="s">
        <v>816</v>
      </c>
      <c r="D26" s="108" t="s">
        <v>817</v>
      </c>
      <c r="E26" s="108" t="s">
        <v>818</v>
      </c>
    </row>
    <row r="27" spans="1:5" x14ac:dyDescent="0.25">
      <c r="A27" s="109">
        <v>17</v>
      </c>
      <c r="B27" s="110">
        <v>3.75</v>
      </c>
      <c r="C27" s="110">
        <v>0.19</v>
      </c>
      <c r="D27" s="110">
        <v>3.75</v>
      </c>
      <c r="E27" s="110">
        <v>0.19</v>
      </c>
    </row>
    <row r="28" spans="1:5" x14ac:dyDescent="0.25">
      <c r="A28" s="109">
        <v>18</v>
      </c>
      <c r="B28" s="110">
        <v>3.88</v>
      </c>
      <c r="C28" s="110">
        <v>0.2</v>
      </c>
      <c r="D28" s="110">
        <v>3.88</v>
      </c>
      <c r="E28" s="110">
        <v>0.2</v>
      </c>
    </row>
    <row r="29" spans="1:5" x14ac:dyDescent="0.25">
      <c r="A29" s="109">
        <v>19</v>
      </c>
      <c r="B29" s="110">
        <v>4.01</v>
      </c>
      <c r="C29" s="110">
        <v>0.21</v>
      </c>
      <c r="D29" s="110">
        <v>4.01</v>
      </c>
      <c r="E29" s="110">
        <v>0.21</v>
      </c>
    </row>
    <row r="30" spans="1:5" x14ac:dyDescent="0.25">
      <c r="A30" s="109">
        <v>20</v>
      </c>
      <c r="B30" s="110">
        <v>4.1500000000000004</v>
      </c>
      <c r="C30" s="110">
        <v>0.21</v>
      </c>
      <c r="D30" s="110">
        <v>4.1500000000000004</v>
      </c>
      <c r="E30" s="110">
        <v>0.21</v>
      </c>
    </row>
    <row r="31" spans="1:5" x14ac:dyDescent="0.25">
      <c r="A31" s="109">
        <v>21</v>
      </c>
      <c r="B31" s="110">
        <v>4.29</v>
      </c>
      <c r="C31" s="110">
        <v>0.22</v>
      </c>
      <c r="D31" s="110">
        <v>4.29</v>
      </c>
      <c r="E31" s="110">
        <v>0.22</v>
      </c>
    </row>
    <row r="32" spans="1:5" x14ac:dyDescent="0.25">
      <c r="A32" s="109">
        <v>22</v>
      </c>
      <c r="B32" s="110">
        <v>4.4400000000000004</v>
      </c>
      <c r="C32" s="110">
        <v>0.23</v>
      </c>
      <c r="D32" s="110">
        <v>4.4400000000000004</v>
      </c>
      <c r="E32" s="110">
        <v>0.23</v>
      </c>
    </row>
    <row r="33" spans="1:5" x14ac:dyDescent="0.25">
      <c r="A33" s="109">
        <v>23</v>
      </c>
      <c r="B33" s="110">
        <v>4.59</v>
      </c>
      <c r="C33" s="110">
        <v>0.24</v>
      </c>
      <c r="D33" s="110">
        <v>4.59</v>
      </c>
      <c r="E33" s="110">
        <v>0.24</v>
      </c>
    </row>
    <row r="34" spans="1:5" x14ac:dyDescent="0.25">
      <c r="A34" s="109">
        <v>24</v>
      </c>
      <c r="B34" s="110">
        <v>4.75</v>
      </c>
      <c r="C34" s="110">
        <v>0.24</v>
      </c>
      <c r="D34" s="110">
        <v>4.75</v>
      </c>
      <c r="E34" s="110">
        <v>0.24</v>
      </c>
    </row>
    <row r="35" spans="1:5" x14ac:dyDescent="0.25">
      <c r="A35" s="109">
        <v>25</v>
      </c>
      <c r="B35" s="110">
        <v>4.92</v>
      </c>
      <c r="C35" s="110">
        <v>0.25</v>
      </c>
      <c r="D35" s="110">
        <v>4.92</v>
      </c>
      <c r="E35" s="110">
        <v>0.25</v>
      </c>
    </row>
    <row r="36" spans="1:5" x14ac:dyDescent="0.25">
      <c r="A36" s="109">
        <v>26</v>
      </c>
      <c r="B36" s="110">
        <v>5.08</v>
      </c>
      <c r="C36" s="110">
        <v>0.26</v>
      </c>
      <c r="D36" s="110">
        <v>5.08</v>
      </c>
      <c r="E36" s="110">
        <v>0.26</v>
      </c>
    </row>
    <row r="37" spans="1:5" x14ac:dyDescent="0.25">
      <c r="A37" s="109">
        <v>27</v>
      </c>
      <c r="B37" s="110">
        <v>5.26</v>
      </c>
      <c r="C37" s="110">
        <v>0.27</v>
      </c>
      <c r="D37" s="110">
        <v>5.26</v>
      </c>
      <c r="E37" s="110">
        <v>0.27</v>
      </c>
    </row>
    <row r="38" spans="1:5" x14ac:dyDescent="0.25">
      <c r="A38" s="109">
        <v>28</v>
      </c>
      <c r="B38" s="110">
        <v>5.44</v>
      </c>
      <c r="C38" s="110">
        <v>0.28000000000000003</v>
      </c>
      <c r="D38" s="110">
        <v>5.44</v>
      </c>
      <c r="E38" s="110">
        <v>0.28000000000000003</v>
      </c>
    </row>
    <row r="39" spans="1:5" x14ac:dyDescent="0.25">
      <c r="A39" s="109">
        <v>29</v>
      </c>
      <c r="B39" s="110">
        <v>5.63</v>
      </c>
      <c r="C39" s="110">
        <v>0.28999999999999998</v>
      </c>
      <c r="D39" s="110">
        <v>5.63</v>
      </c>
      <c r="E39" s="110">
        <v>0.28999999999999998</v>
      </c>
    </row>
    <row r="40" spans="1:5" x14ac:dyDescent="0.25">
      <c r="A40" s="109">
        <v>30</v>
      </c>
      <c r="B40" s="110">
        <v>5.82</v>
      </c>
      <c r="C40" s="110">
        <v>0.3</v>
      </c>
      <c r="D40" s="110">
        <v>5.82</v>
      </c>
      <c r="E40" s="110">
        <v>0.3</v>
      </c>
    </row>
    <row r="41" spans="1:5" x14ac:dyDescent="0.25">
      <c r="A41" s="109">
        <v>31</v>
      </c>
      <c r="B41" s="110">
        <v>6.02</v>
      </c>
      <c r="C41" s="110">
        <v>0.31</v>
      </c>
      <c r="D41" s="110">
        <v>6.02</v>
      </c>
      <c r="E41" s="110">
        <v>0.31</v>
      </c>
    </row>
    <row r="42" spans="1:5" x14ac:dyDescent="0.25">
      <c r="A42" s="109">
        <v>32</v>
      </c>
      <c r="B42" s="110">
        <v>6.22</v>
      </c>
      <c r="C42" s="110">
        <v>0.32</v>
      </c>
      <c r="D42" s="110">
        <v>6.22</v>
      </c>
      <c r="E42" s="110">
        <v>0.32</v>
      </c>
    </row>
    <row r="43" spans="1:5" x14ac:dyDescent="0.25">
      <c r="A43" s="109">
        <v>33</v>
      </c>
      <c r="B43" s="110">
        <v>6.43</v>
      </c>
      <c r="C43" s="110">
        <v>0.33</v>
      </c>
      <c r="D43" s="110">
        <v>6.43</v>
      </c>
      <c r="E43" s="110">
        <v>0.33</v>
      </c>
    </row>
    <row r="44" spans="1:5" x14ac:dyDescent="0.25">
      <c r="A44" s="109">
        <v>34</v>
      </c>
      <c r="B44" s="110">
        <v>6.64</v>
      </c>
      <c r="C44" s="110">
        <v>0.34</v>
      </c>
      <c r="D44" s="110">
        <v>6.64</v>
      </c>
      <c r="E44" s="110">
        <v>0.34</v>
      </c>
    </row>
    <row r="45" spans="1:5" x14ac:dyDescent="0.25">
      <c r="A45" s="109">
        <v>35</v>
      </c>
      <c r="B45" s="110">
        <v>6.87</v>
      </c>
      <c r="C45" s="110">
        <v>0.35</v>
      </c>
      <c r="D45" s="110">
        <v>6.87</v>
      </c>
      <c r="E45" s="110">
        <v>0.35</v>
      </c>
    </row>
    <row r="46" spans="1:5" x14ac:dyDescent="0.25">
      <c r="A46" s="109">
        <v>36</v>
      </c>
      <c r="B46" s="110">
        <v>7.09</v>
      </c>
      <c r="C46" s="110">
        <v>0.37</v>
      </c>
      <c r="D46" s="110">
        <v>7.09</v>
      </c>
      <c r="E46" s="110">
        <v>0.37</v>
      </c>
    </row>
    <row r="47" spans="1:5" x14ac:dyDescent="0.25">
      <c r="A47" s="109">
        <v>37</v>
      </c>
      <c r="B47" s="110">
        <v>7.33</v>
      </c>
      <c r="C47" s="110">
        <v>0.38</v>
      </c>
      <c r="D47" s="110">
        <v>7.33</v>
      </c>
      <c r="E47" s="110">
        <v>0.38</v>
      </c>
    </row>
    <row r="48" spans="1:5" x14ac:dyDescent="0.25">
      <c r="A48" s="109">
        <v>38</v>
      </c>
      <c r="B48" s="110">
        <v>7.57</v>
      </c>
      <c r="C48" s="110">
        <v>0.39</v>
      </c>
      <c r="D48" s="110">
        <v>7.57</v>
      </c>
      <c r="E48" s="110">
        <v>0.39</v>
      </c>
    </row>
    <row r="49" spans="1:5" x14ac:dyDescent="0.25">
      <c r="A49" s="109">
        <v>39</v>
      </c>
      <c r="B49" s="110">
        <v>7.82</v>
      </c>
      <c r="C49" s="110">
        <v>0.4</v>
      </c>
      <c r="D49" s="110">
        <v>7.82</v>
      </c>
      <c r="E49" s="110">
        <v>0.4</v>
      </c>
    </row>
    <row r="50" spans="1:5" x14ac:dyDescent="0.25">
      <c r="A50" s="109">
        <v>40</v>
      </c>
      <c r="B50" s="110">
        <v>8.08</v>
      </c>
      <c r="C50" s="110">
        <v>0.42</v>
      </c>
      <c r="D50" s="110">
        <v>8.08</v>
      </c>
      <c r="E50" s="110">
        <v>0.42</v>
      </c>
    </row>
    <row r="51" spans="1:5" x14ac:dyDescent="0.25">
      <c r="A51" s="109">
        <v>41</v>
      </c>
      <c r="B51" s="110">
        <v>8.34</v>
      </c>
      <c r="C51" s="110">
        <v>0.43</v>
      </c>
      <c r="D51" s="110">
        <v>8.34</v>
      </c>
      <c r="E51" s="110">
        <v>0.43</v>
      </c>
    </row>
    <row r="52" spans="1:5" x14ac:dyDescent="0.25">
      <c r="A52" s="109">
        <v>42</v>
      </c>
      <c r="B52" s="110">
        <v>8.6199999999999992</v>
      </c>
      <c r="C52" s="110">
        <v>0.44</v>
      </c>
      <c r="D52" s="110">
        <v>8.6199999999999992</v>
      </c>
      <c r="E52" s="110">
        <v>0.44</v>
      </c>
    </row>
    <row r="53" spans="1:5" x14ac:dyDescent="0.25">
      <c r="A53" s="109">
        <v>43</v>
      </c>
      <c r="B53" s="110">
        <v>8.9</v>
      </c>
      <c r="C53" s="110">
        <v>0.46</v>
      </c>
      <c r="D53" s="110">
        <v>8.9</v>
      </c>
      <c r="E53" s="110">
        <v>0.46</v>
      </c>
    </row>
    <row r="54" spans="1:5" x14ac:dyDescent="0.25">
      <c r="A54" s="109">
        <v>44</v>
      </c>
      <c r="B54" s="110">
        <v>9.19</v>
      </c>
      <c r="C54" s="110">
        <v>0.47</v>
      </c>
      <c r="D54" s="110">
        <v>9.19</v>
      </c>
      <c r="E54" s="110">
        <v>0.47</v>
      </c>
    </row>
    <row r="55" spans="1:5" x14ac:dyDescent="0.25">
      <c r="A55" s="109">
        <v>45</v>
      </c>
      <c r="B55" s="110">
        <v>9.49</v>
      </c>
      <c r="C55" s="110">
        <v>0.49</v>
      </c>
      <c r="D55" s="110">
        <v>9.49</v>
      </c>
      <c r="E55" s="110">
        <v>0.49</v>
      </c>
    </row>
    <row r="56" spans="1:5" x14ac:dyDescent="0.25">
      <c r="A56" s="109">
        <v>46</v>
      </c>
      <c r="B56" s="110">
        <v>9.8000000000000007</v>
      </c>
      <c r="C56" s="110">
        <v>0.5</v>
      </c>
      <c r="D56" s="110">
        <v>9.8000000000000007</v>
      </c>
      <c r="E56" s="110">
        <v>0.5</v>
      </c>
    </row>
    <row r="57" spans="1:5" x14ac:dyDescent="0.25">
      <c r="A57" s="109">
        <v>47</v>
      </c>
      <c r="B57" s="110">
        <v>10.119999999999999</v>
      </c>
      <c r="C57" s="110">
        <v>0.52</v>
      </c>
      <c r="D57" s="110">
        <v>10.119999999999999</v>
      </c>
      <c r="E57" s="110">
        <v>0.52</v>
      </c>
    </row>
    <row r="58" spans="1:5" x14ac:dyDescent="0.25">
      <c r="A58" s="109">
        <v>48</v>
      </c>
      <c r="B58" s="110">
        <v>10.44</v>
      </c>
      <c r="C58" s="110">
        <v>0.53</v>
      </c>
      <c r="D58" s="110">
        <v>10.44</v>
      </c>
      <c r="E58" s="110">
        <v>0.53</v>
      </c>
    </row>
    <row r="59" spans="1:5" x14ac:dyDescent="0.25">
      <c r="A59" s="109">
        <v>49</v>
      </c>
      <c r="B59" s="110">
        <v>10.78</v>
      </c>
      <c r="C59" s="110">
        <v>0.55000000000000004</v>
      </c>
      <c r="D59" s="110">
        <v>10.78</v>
      </c>
      <c r="E59" s="110">
        <v>0.55000000000000004</v>
      </c>
    </row>
    <row r="60" spans="1:5" x14ac:dyDescent="0.25">
      <c r="A60" s="109">
        <v>50</v>
      </c>
      <c r="B60" s="110">
        <v>11.13</v>
      </c>
      <c r="C60" s="110">
        <v>0.56999999999999995</v>
      </c>
      <c r="D60" s="110">
        <v>11.13</v>
      </c>
      <c r="E60" s="110">
        <v>0.56999999999999995</v>
      </c>
    </row>
    <row r="61" spans="1:5" x14ac:dyDescent="0.25">
      <c r="A61" s="109">
        <v>51</v>
      </c>
      <c r="B61" s="110">
        <v>11.49</v>
      </c>
      <c r="C61" s="110">
        <v>0.57999999999999996</v>
      </c>
      <c r="D61" s="110">
        <v>11.49</v>
      </c>
      <c r="E61" s="110">
        <v>0.57999999999999996</v>
      </c>
    </row>
    <row r="62" spans="1:5" x14ac:dyDescent="0.25">
      <c r="A62" s="109">
        <v>52</v>
      </c>
      <c r="B62" s="110">
        <v>11.85</v>
      </c>
      <c r="C62" s="110">
        <v>0.6</v>
      </c>
      <c r="D62" s="110">
        <v>11.85</v>
      </c>
      <c r="E62" s="110">
        <v>0.6</v>
      </c>
    </row>
    <row r="63" spans="1:5" x14ac:dyDescent="0.25">
      <c r="A63" s="109">
        <v>53</v>
      </c>
      <c r="B63" s="110">
        <v>12.23</v>
      </c>
      <c r="C63" s="110">
        <v>0.62</v>
      </c>
      <c r="D63" s="110">
        <v>12.23</v>
      </c>
      <c r="E63" s="110">
        <v>0.62</v>
      </c>
    </row>
    <row r="64" spans="1:5" x14ac:dyDescent="0.25">
      <c r="A64" s="109">
        <v>54</v>
      </c>
      <c r="B64" s="110">
        <v>12.63</v>
      </c>
      <c r="C64" s="110">
        <v>0.63</v>
      </c>
      <c r="D64" s="110">
        <v>12.63</v>
      </c>
      <c r="E64" s="110">
        <v>0.63</v>
      </c>
    </row>
    <row r="65" spans="1:5" x14ac:dyDescent="0.25">
      <c r="A65" s="109">
        <v>55</v>
      </c>
      <c r="B65" s="110">
        <v>13.04</v>
      </c>
      <c r="C65" s="110">
        <v>0.65</v>
      </c>
      <c r="D65" s="110">
        <v>13.04</v>
      </c>
      <c r="E65" s="110">
        <v>0.65</v>
      </c>
    </row>
    <row r="66" spans="1:5" x14ac:dyDescent="0.25">
      <c r="A66" s="109">
        <v>56</v>
      </c>
      <c r="B66" s="110">
        <v>13.46</v>
      </c>
      <c r="C66" s="110">
        <v>0.67</v>
      </c>
      <c r="D66" s="110">
        <v>13.46</v>
      </c>
      <c r="E66" s="110">
        <v>0.67</v>
      </c>
    </row>
    <row r="67" spans="1:5" x14ac:dyDescent="0.25">
      <c r="A67" s="109">
        <v>57</v>
      </c>
      <c r="B67" s="110">
        <v>13.9</v>
      </c>
      <c r="C67" s="110">
        <v>0.68</v>
      </c>
      <c r="D67" s="110">
        <v>13.9</v>
      </c>
      <c r="E67" s="110">
        <v>0.68</v>
      </c>
    </row>
    <row r="68" spans="1:5" x14ac:dyDescent="0.25">
      <c r="A68" s="109">
        <v>58</v>
      </c>
      <c r="B68" s="110">
        <v>14.36</v>
      </c>
      <c r="C68" s="110">
        <v>0.7</v>
      </c>
      <c r="D68" s="110">
        <v>14.36</v>
      </c>
      <c r="E68" s="110">
        <v>0.7</v>
      </c>
    </row>
    <row r="69" spans="1:5" x14ac:dyDescent="0.25">
      <c r="A69" s="109">
        <v>59</v>
      </c>
      <c r="B69" s="110">
        <v>14.83</v>
      </c>
      <c r="C69" s="110">
        <v>0.72</v>
      </c>
      <c r="D69" s="110">
        <v>14.83</v>
      </c>
      <c r="E69" s="110">
        <v>0.72</v>
      </c>
    </row>
    <row r="70" spans="1:5" x14ac:dyDescent="0.25">
      <c r="A70" s="109">
        <v>60</v>
      </c>
      <c r="B70" s="110">
        <v>15.33</v>
      </c>
      <c r="C70" s="110">
        <v>0.74</v>
      </c>
      <c r="D70" s="110">
        <v>15.33</v>
      </c>
      <c r="E70" s="110">
        <v>0.74</v>
      </c>
    </row>
    <row r="71" spans="1:5" x14ac:dyDescent="0.25">
      <c r="A71" s="109">
        <v>61</v>
      </c>
      <c r="B71" s="110">
        <v>15.86</v>
      </c>
      <c r="C71" s="110">
        <v>0.75</v>
      </c>
      <c r="D71" s="110">
        <v>15.86</v>
      </c>
      <c r="E71" s="110">
        <v>0.75</v>
      </c>
    </row>
    <row r="72" spans="1:5" x14ac:dyDescent="0.25">
      <c r="A72" s="109">
        <v>62</v>
      </c>
      <c r="B72" s="110">
        <v>16.420000000000002</v>
      </c>
      <c r="C72" s="110">
        <v>0.77</v>
      </c>
      <c r="D72" s="110">
        <v>16.420000000000002</v>
      </c>
      <c r="E72" s="110">
        <v>0.77</v>
      </c>
    </row>
    <row r="73" spans="1:5" x14ac:dyDescent="0.25">
      <c r="A73" s="109">
        <v>63</v>
      </c>
      <c r="B73" s="110">
        <v>17.010000000000002</v>
      </c>
      <c r="C73" s="110">
        <v>0.79</v>
      </c>
      <c r="D73" s="110">
        <v>17.010000000000002</v>
      </c>
      <c r="E73" s="110">
        <v>0.79</v>
      </c>
    </row>
    <row r="74" spans="1:5" x14ac:dyDescent="0.25">
      <c r="A74" s="109">
        <v>64</v>
      </c>
      <c r="B74" s="110">
        <v>17.649999999999999</v>
      </c>
      <c r="C74" s="110">
        <v>0.8</v>
      </c>
      <c r="D74" s="110">
        <v>17.649999999999999</v>
      </c>
      <c r="E74" s="110">
        <v>0.8</v>
      </c>
    </row>
    <row r="75" spans="1:5" x14ac:dyDescent="0.25">
      <c r="A75" s="109">
        <v>65</v>
      </c>
      <c r="B75" s="110">
        <v>17.670000000000002</v>
      </c>
      <c r="C75" s="110">
        <v>0.81</v>
      </c>
      <c r="D75" s="110">
        <v>17.670000000000002</v>
      </c>
      <c r="E75" s="110">
        <v>0.81</v>
      </c>
    </row>
    <row r="76" spans="1:5" x14ac:dyDescent="0.25">
      <c r="A76" s="109">
        <v>66</v>
      </c>
      <c r="B76" s="110">
        <v>17.05</v>
      </c>
      <c r="C76" s="110">
        <v>0.81</v>
      </c>
      <c r="D76" s="110">
        <v>17.05</v>
      </c>
      <c r="E76" s="110">
        <v>0.81</v>
      </c>
    </row>
    <row r="77" spans="1:5" x14ac:dyDescent="0.25">
      <c r="A77" s="109">
        <v>67</v>
      </c>
      <c r="B77" s="110">
        <v>16.43</v>
      </c>
      <c r="C77" s="110">
        <v>0.8</v>
      </c>
      <c r="D77" s="110">
        <v>16.43</v>
      </c>
      <c r="E77" s="110">
        <v>0.8</v>
      </c>
    </row>
    <row r="78" spans="1:5" x14ac:dyDescent="0.25">
      <c r="A78" s="109">
        <v>68</v>
      </c>
      <c r="B78" s="110">
        <v>15.82</v>
      </c>
      <c r="C78" s="110">
        <v>0.79</v>
      </c>
      <c r="D78" s="110">
        <v>15.82</v>
      </c>
      <c r="E78" s="110">
        <v>0.79</v>
      </c>
    </row>
    <row r="79" spans="1:5" x14ac:dyDescent="0.25">
      <c r="A79" s="109">
        <v>69</v>
      </c>
      <c r="B79" s="110">
        <v>15.21</v>
      </c>
      <c r="C79" s="110">
        <v>0.79</v>
      </c>
      <c r="D79" s="110">
        <v>15.21</v>
      </c>
      <c r="E79" s="110">
        <v>0.79</v>
      </c>
    </row>
    <row r="80" spans="1:5" x14ac:dyDescent="0.25">
      <c r="A80" s="109">
        <v>70</v>
      </c>
      <c r="B80" s="110">
        <v>14.6</v>
      </c>
      <c r="C80" s="110">
        <v>0.78</v>
      </c>
      <c r="D80" s="110">
        <v>14.6</v>
      </c>
      <c r="E80" s="110">
        <v>0.78</v>
      </c>
    </row>
    <row r="81" spans="1:5" x14ac:dyDescent="0.25">
      <c r="A81" s="109">
        <v>71</v>
      </c>
      <c r="B81" s="110">
        <v>14</v>
      </c>
      <c r="C81" s="110">
        <v>0.77</v>
      </c>
      <c r="D81" s="110">
        <v>14</v>
      </c>
      <c r="E81" s="110">
        <v>0.77</v>
      </c>
    </row>
    <row r="82" spans="1:5" x14ac:dyDescent="0.25">
      <c r="A82" s="109">
        <v>72</v>
      </c>
      <c r="B82" s="110">
        <v>13.4</v>
      </c>
      <c r="C82" s="110">
        <v>0.76</v>
      </c>
      <c r="D82" s="110">
        <v>13.4</v>
      </c>
      <c r="E82" s="110">
        <v>0.76</v>
      </c>
    </row>
    <row r="83" spans="1:5" x14ac:dyDescent="0.25">
      <c r="A83" s="109">
        <v>73</v>
      </c>
      <c r="B83" s="110">
        <v>12.82</v>
      </c>
      <c r="C83" s="110">
        <v>0.75</v>
      </c>
      <c r="D83" s="110">
        <v>12.82</v>
      </c>
      <c r="E83" s="110">
        <v>0.75</v>
      </c>
    </row>
    <row r="84" spans="1:5" x14ac:dyDescent="0.25">
      <c r="A84" s="109">
        <v>74</v>
      </c>
      <c r="B84" s="110">
        <v>12.24</v>
      </c>
      <c r="C84" s="110">
        <v>0.73</v>
      </c>
      <c r="D84" s="110">
        <v>12.24</v>
      </c>
      <c r="E84" s="110">
        <v>0.73</v>
      </c>
    </row>
    <row r="85" spans="1:5" x14ac:dyDescent="0.25">
      <c r="A85" s="109">
        <v>75</v>
      </c>
      <c r="B85" s="110">
        <v>11.96</v>
      </c>
      <c r="C85" s="110">
        <v>0.73</v>
      </c>
      <c r="D85" s="110">
        <v>11.96</v>
      </c>
      <c r="E85" s="110">
        <v>0.73</v>
      </c>
    </row>
  </sheetData>
  <conditionalFormatting sqref="A6:A21">
    <cfRule type="expression" dxfId="1049" priority="3" stopIfTrue="1">
      <formula>MOD(ROW(),2)=0</formula>
    </cfRule>
    <cfRule type="expression" dxfId="1048" priority="4" stopIfTrue="1">
      <formula>MOD(ROW(),2)&lt;&gt;0</formula>
    </cfRule>
  </conditionalFormatting>
  <conditionalFormatting sqref="A26:A85">
    <cfRule type="expression" dxfId="1047" priority="7" stopIfTrue="1">
      <formula>MOD(ROW(),2)=0</formula>
    </cfRule>
    <cfRule type="expression" dxfId="1046" priority="8" stopIfTrue="1">
      <formula>MOD(ROW(),2)&lt;&gt;0</formula>
    </cfRule>
  </conditionalFormatting>
  <conditionalFormatting sqref="B12">
    <cfRule type="expression" dxfId="1045" priority="13" stopIfTrue="1">
      <formula>MOD(ROW(),2)=0</formula>
    </cfRule>
    <cfRule type="expression" dxfId="1044" priority="14" stopIfTrue="1">
      <formula>MOD(ROW(),2)&lt;&gt;0</formula>
    </cfRule>
  </conditionalFormatting>
  <conditionalFormatting sqref="B18:B21">
    <cfRule type="expression" dxfId="1043" priority="1" stopIfTrue="1">
      <formula>MOD(ROW(),2)=0</formula>
    </cfRule>
    <cfRule type="expression" dxfId="1042" priority="2" stopIfTrue="1">
      <formula>MOD(ROW(),2)&lt;&gt;0</formula>
    </cfRule>
  </conditionalFormatting>
  <conditionalFormatting sqref="B6:E6">
    <cfRule type="expression" dxfId="1041" priority="25" stopIfTrue="1">
      <formula>MOD(ROW(),2)=0</formula>
    </cfRule>
    <cfRule type="expression" dxfId="1040" priority="26" stopIfTrue="1">
      <formula>MOD(ROW(),2)&lt;&gt;0</formula>
    </cfRule>
  </conditionalFormatting>
  <conditionalFormatting sqref="B6:E21">
    <cfRule type="expression" dxfId="1039" priority="17" stopIfTrue="1">
      <formula>MOD(ROW(),2)=0</formula>
    </cfRule>
    <cfRule type="expression" dxfId="1038" priority="18" stopIfTrue="1">
      <formula>MOD(ROW(),2)&lt;&gt;0</formula>
    </cfRule>
  </conditionalFormatting>
  <conditionalFormatting sqref="B26:E85">
    <cfRule type="expression" dxfId="1037" priority="9" stopIfTrue="1">
      <formula>MOD(ROW(),2)=0</formula>
    </cfRule>
    <cfRule type="expression" dxfId="1036" priority="10" stopIfTrue="1">
      <formula>MOD(ROW(),2)&lt;&gt;0</formula>
    </cfRule>
  </conditionalFormatting>
  <hyperlinks>
    <hyperlink ref="B24" location="Assumptions!A1" display="Assumptions" xr:uid="{9C754BD3-2B11-4B2E-899A-8305BE9CF50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workbookViewId="0">
      <selection activeCell="A4" sqref="A4"/>
    </sheetView>
  </sheetViews>
  <sheetFormatPr defaultRowHeight="12.5" x14ac:dyDescent="0.25"/>
  <sheetData>
    <row r="1" spans="1:13" ht="20" x14ac:dyDescent="0.4">
      <c r="A1" s="4" t="s">
        <v>0</v>
      </c>
      <c r="B1" s="4"/>
      <c r="C1" s="4"/>
      <c r="D1" s="4"/>
      <c r="E1" s="4"/>
      <c r="F1" s="4"/>
      <c r="G1" s="4"/>
      <c r="H1" s="4"/>
      <c r="I1" s="4"/>
      <c r="J1" s="4"/>
      <c r="K1" s="4"/>
      <c r="L1" s="4"/>
    </row>
    <row r="2" spans="1:13" ht="15.5" x14ac:dyDescent="0.35">
      <c r="A2" s="5" t="str">
        <f>IF(title="&gt; Enter workbook title here","Enter workbook title in Cover sheet",title)</f>
        <v>Northern Ireland Civil Service Pension Schemes - Consolidated Factor Spreadsheet</v>
      </c>
      <c r="B2" s="5"/>
      <c r="C2" s="5"/>
      <c r="D2" s="5"/>
      <c r="E2" s="5"/>
      <c r="F2" s="5"/>
      <c r="G2" s="5"/>
      <c r="H2" s="5"/>
      <c r="I2" s="5"/>
      <c r="J2" s="5"/>
      <c r="K2" s="5"/>
      <c r="L2" s="5"/>
    </row>
    <row r="3" spans="1:13" ht="15.5" x14ac:dyDescent="0.35">
      <c r="A3" s="6" t="s">
        <v>31</v>
      </c>
      <c r="B3" s="6"/>
      <c r="C3" s="6"/>
      <c r="D3" s="6"/>
      <c r="E3" s="6"/>
      <c r="F3" s="6"/>
      <c r="G3" s="6"/>
      <c r="H3" s="6"/>
      <c r="I3" s="6"/>
      <c r="J3" s="6"/>
      <c r="K3" s="6"/>
      <c r="L3" s="6"/>
    </row>
    <row r="4" spans="1:13" x14ac:dyDescent="0.25">
      <c r="A4" s="7" t="str">
        <f ca="1">CELL("filename",A1)</f>
        <v>C:\Users\PColley2\Downloads\[CS NI Consolidated Factors 2025-02.xlsx]Purpose of spreadsheet</v>
      </c>
      <c r="B4" s="7"/>
    </row>
    <row r="5" spans="1:13" x14ac:dyDescent="0.25">
      <c r="E5" s="8"/>
      <c r="F5" s="8"/>
      <c r="G5" s="8"/>
    </row>
    <row r="7" spans="1:13" ht="13" x14ac:dyDescent="0.3">
      <c r="A7" s="204" t="s">
        <v>32</v>
      </c>
      <c r="B7" s="205"/>
      <c r="C7" s="205"/>
      <c r="D7" s="205"/>
      <c r="E7" s="205"/>
      <c r="F7" s="205"/>
      <c r="G7" s="205"/>
      <c r="H7" s="205"/>
      <c r="I7" s="205"/>
      <c r="J7" s="205"/>
      <c r="K7" s="205"/>
      <c r="L7" s="205"/>
      <c r="M7" s="206"/>
    </row>
    <row r="8" spans="1:13" x14ac:dyDescent="0.25">
      <c r="A8" s="29"/>
      <c r="M8" s="18"/>
    </row>
    <row r="9" spans="1:13" ht="12.65" customHeight="1" x14ac:dyDescent="0.25">
      <c r="A9" s="207" t="s">
        <v>991</v>
      </c>
      <c r="B9" s="208"/>
      <c r="C9" s="208"/>
      <c r="D9" s="208"/>
      <c r="E9" s="208"/>
      <c r="F9" s="208"/>
      <c r="G9" s="208"/>
      <c r="H9" s="208"/>
      <c r="I9" s="208"/>
      <c r="J9" s="208"/>
      <c r="K9" s="208"/>
      <c r="L9" s="208"/>
      <c r="M9" s="209"/>
    </row>
    <row r="10" spans="1:13" ht="22.5" customHeight="1" x14ac:dyDescent="0.25">
      <c r="A10" s="210"/>
      <c r="B10" s="208"/>
      <c r="C10" s="208"/>
      <c r="D10" s="208"/>
      <c r="E10" s="208"/>
      <c r="F10" s="208"/>
      <c r="G10" s="208"/>
      <c r="H10" s="208"/>
      <c r="I10" s="208"/>
      <c r="J10" s="208"/>
      <c r="K10" s="208"/>
      <c r="L10" s="208"/>
      <c r="M10" s="209"/>
    </row>
    <row r="11" spans="1:13" ht="31.5" customHeight="1" x14ac:dyDescent="0.25">
      <c r="A11" s="210"/>
      <c r="B11" s="208"/>
      <c r="C11" s="208"/>
      <c r="D11" s="208"/>
      <c r="E11" s="208"/>
      <c r="F11" s="208"/>
      <c r="G11" s="208"/>
      <c r="H11" s="208"/>
      <c r="I11" s="208"/>
      <c r="J11" s="208"/>
      <c r="K11" s="208"/>
      <c r="L11" s="208"/>
      <c r="M11" s="209"/>
    </row>
    <row r="12" spans="1:13" ht="132" customHeight="1" x14ac:dyDescent="0.25">
      <c r="A12" s="211"/>
      <c r="B12" s="212"/>
      <c r="C12" s="212"/>
      <c r="D12" s="212"/>
      <c r="E12" s="212"/>
      <c r="F12" s="212"/>
      <c r="G12" s="212"/>
      <c r="H12" s="212"/>
      <c r="I12" s="212"/>
      <c r="J12" s="212"/>
      <c r="K12" s="212"/>
      <c r="L12" s="212"/>
      <c r="M12" s="213"/>
    </row>
  </sheetData>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1"/>
  <dimension ref="A1:E85"/>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5" ht="20" x14ac:dyDescent="0.4">
      <c r="A1" s="53" t="s">
        <v>0</v>
      </c>
      <c r="B1" s="54"/>
      <c r="C1" s="54"/>
      <c r="D1" s="54"/>
      <c r="E1" s="54"/>
    </row>
    <row r="2" spans="1:5" ht="15.5" x14ac:dyDescent="0.35">
      <c r="A2" s="55" t="str">
        <f>IF(title="&gt; Enter workbook title here","Enter workbook title in Cover sheet",title)</f>
        <v>Northern Ireland Civil Service Pension Schemes - Consolidated Factor Spreadsheet</v>
      </c>
      <c r="B2" s="56"/>
      <c r="C2" s="56"/>
      <c r="D2" s="56"/>
      <c r="E2" s="56"/>
    </row>
    <row r="3" spans="1:5" ht="15.5" x14ac:dyDescent="0.35">
      <c r="A3" s="57" t="str">
        <f>TABLE_FACTOR_TYPE_1&amp;" - x-"&amp;TABLE_SERIES_NUMBER_1</f>
        <v>TV In (non-club) - x-215</v>
      </c>
      <c r="B3" s="56"/>
      <c r="C3" s="56"/>
      <c r="D3" s="56"/>
      <c r="E3" s="56"/>
    </row>
    <row r="4" spans="1:5" x14ac:dyDescent="0.25">
      <c r="A4" s="58"/>
    </row>
    <row r="6" spans="1:5" ht="13" x14ac:dyDescent="0.3">
      <c r="A6" s="92" t="s">
        <v>716</v>
      </c>
      <c r="B6" s="181" t="s">
        <v>717</v>
      </c>
      <c r="C6" s="181"/>
      <c r="D6" s="181"/>
      <c r="E6" s="181"/>
    </row>
    <row r="7" spans="1:5" x14ac:dyDescent="0.25">
      <c r="A7" s="94" t="s">
        <v>797</v>
      </c>
      <c r="B7" s="181" t="s">
        <v>316</v>
      </c>
      <c r="C7" s="181"/>
      <c r="D7" s="181"/>
      <c r="E7" s="181"/>
    </row>
    <row r="8" spans="1:5" x14ac:dyDescent="0.25">
      <c r="A8" s="94" t="s">
        <v>798</v>
      </c>
      <c r="B8" s="181" t="s">
        <v>92</v>
      </c>
      <c r="C8" s="181"/>
      <c r="D8" s="181"/>
      <c r="E8" s="181"/>
    </row>
    <row r="9" spans="1:5" x14ac:dyDescent="0.25">
      <c r="A9" s="94" t="s">
        <v>300</v>
      </c>
      <c r="B9" s="181" t="s">
        <v>372</v>
      </c>
      <c r="C9" s="181"/>
      <c r="D9" s="181"/>
      <c r="E9" s="181"/>
    </row>
    <row r="10" spans="1:5" x14ac:dyDescent="0.25">
      <c r="A10" s="94" t="s">
        <v>6</v>
      </c>
      <c r="B10" s="181" t="s">
        <v>377</v>
      </c>
      <c r="C10" s="181"/>
      <c r="D10" s="181"/>
      <c r="E10" s="181"/>
    </row>
    <row r="11" spans="1:5" x14ac:dyDescent="0.25">
      <c r="A11" s="94" t="s">
        <v>301</v>
      </c>
      <c r="B11" s="181" t="s">
        <v>334</v>
      </c>
      <c r="C11" s="181"/>
      <c r="D11" s="181"/>
      <c r="E11" s="181"/>
    </row>
    <row r="12" spans="1:5" x14ac:dyDescent="0.25">
      <c r="A12" s="94" t="s">
        <v>302</v>
      </c>
      <c r="B12" s="181" t="s">
        <v>335</v>
      </c>
      <c r="C12" s="181"/>
      <c r="D12" s="181"/>
      <c r="E12" s="181"/>
    </row>
    <row r="13" spans="1:5" x14ac:dyDescent="0.25">
      <c r="A13" s="94" t="s">
        <v>813</v>
      </c>
      <c r="B13" s="181">
        <v>0</v>
      </c>
      <c r="C13" s="181"/>
      <c r="D13" s="181"/>
      <c r="E13" s="181"/>
    </row>
    <row r="14" spans="1:5" x14ac:dyDescent="0.25">
      <c r="A14" s="94" t="s">
        <v>304</v>
      </c>
      <c r="B14" s="181">
        <v>215</v>
      </c>
      <c r="C14" s="181"/>
      <c r="D14" s="181"/>
      <c r="E14" s="181"/>
    </row>
    <row r="15" spans="1:5" x14ac:dyDescent="0.25">
      <c r="A15" s="94" t="s">
        <v>727</v>
      </c>
      <c r="B15" s="181" t="s">
        <v>378</v>
      </c>
      <c r="C15" s="181"/>
      <c r="D15" s="181"/>
      <c r="E15" s="181"/>
    </row>
    <row r="16" spans="1:5" x14ac:dyDescent="0.25">
      <c r="A16" s="94" t="s">
        <v>814</v>
      </c>
      <c r="B16" s="181" t="s">
        <v>379</v>
      </c>
      <c r="C16" s="181"/>
      <c r="D16" s="181"/>
      <c r="E16" s="181"/>
    </row>
    <row r="17" spans="1:5" x14ac:dyDescent="0.25">
      <c r="A17" s="94" t="s">
        <v>800</v>
      </c>
      <c r="B17" s="181"/>
      <c r="C17" s="181"/>
      <c r="D17" s="181"/>
      <c r="E17" s="181"/>
    </row>
    <row r="18" spans="1:5" x14ac:dyDescent="0.25">
      <c r="A18" s="94" t="s">
        <v>308</v>
      </c>
      <c r="B18" s="185">
        <v>45106</v>
      </c>
      <c r="C18" s="181"/>
      <c r="D18" s="181"/>
      <c r="E18" s="181"/>
    </row>
    <row r="19" spans="1:5" x14ac:dyDescent="0.25">
      <c r="A19" s="94" t="s">
        <v>309</v>
      </c>
      <c r="B19" s="185">
        <v>45014</v>
      </c>
      <c r="C19" s="181"/>
      <c r="D19" s="181"/>
      <c r="E19" s="181"/>
    </row>
    <row r="20" spans="1:5" x14ac:dyDescent="0.25">
      <c r="A20" s="94" t="s">
        <v>310</v>
      </c>
      <c r="B20" s="181" t="s">
        <v>324</v>
      </c>
      <c r="C20" s="181"/>
      <c r="D20" s="181"/>
      <c r="E20" s="181"/>
    </row>
    <row r="21" spans="1:5" x14ac:dyDescent="0.25">
      <c r="A21" s="87" t="s">
        <v>311</v>
      </c>
      <c r="B21" s="181" t="s">
        <v>325</v>
      </c>
      <c r="C21" s="181"/>
      <c r="D21" s="181"/>
      <c r="E21" s="181"/>
    </row>
    <row r="23" spans="1:5" x14ac:dyDescent="0.25">
      <c r="B23" s="104" t="str">
        <f>HYPERLINK("#'Factor List'!A1","Back to Factor List")</f>
        <v>Back to Factor List</v>
      </c>
    </row>
    <row r="24" spans="1:5" x14ac:dyDescent="0.25">
      <c r="B24" s="104" t="s">
        <v>13</v>
      </c>
    </row>
    <row r="26" spans="1:5" ht="26" x14ac:dyDescent="0.25">
      <c r="A26" s="108" t="s">
        <v>534</v>
      </c>
      <c r="B26" s="108" t="s">
        <v>815</v>
      </c>
      <c r="C26" s="108" t="s">
        <v>816</v>
      </c>
      <c r="D26" s="108" t="s">
        <v>817</v>
      </c>
      <c r="E26" s="108" t="s">
        <v>818</v>
      </c>
    </row>
    <row r="27" spans="1:5" x14ac:dyDescent="0.25">
      <c r="A27" s="109">
        <v>17</v>
      </c>
      <c r="B27" s="110">
        <v>3.54</v>
      </c>
      <c r="C27" s="110">
        <v>0.18</v>
      </c>
      <c r="D27" s="110">
        <v>3.54</v>
      </c>
      <c r="E27" s="110">
        <v>0.18</v>
      </c>
    </row>
    <row r="28" spans="1:5" x14ac:dyDescent="0.25">
      <c r="A28" s="109">
        <v>18</v>
      </c>
      <c r="B28" s="110">
        <v>3.67</v>
      </c>
      <c r="C28" s="110">
        <v>0.19</v>
      </c>
      <c r="D28" s="110">
        <v>3.67</v>
      </c>
      <c r="E28" s="110">
        <v>0.19</v>
      </c>
    </row>
    <row r="29" spans="1:5" x14ac:dyDescent="0.25">
      <c r="A29" s="109">
        <v>19</v>
      </c>
      <c r="B29" s="110">
        <v>3.79</v>
      </c>
      <c r="C29" s="110">
        <v>0.2</v>
      </c>
      <c r="D29" s="110">
        <v>3.79</v>
      </c>
      <c r="E29" s="110">
        <v>0.2</v>
      </c>
    </row>
    <row r="30" spans="1:5" x14ac:dyDescent="0.25">
      <c r="A30" s="109">
        <v>20</v>
      </c>
      <c r="B30" s="110">
        <v>3.92</v>
      </c>
      <c r="C30" s="110">
        <v>0.21</v>
      </c>
      <c r="D30" s="110">
        <v>3.92</v>
      </c>
      <c r="E30" s="110">
        <v>0.21</v>
      </c>
    </row>
    <row r="31" spans="1:5" x14ac:dyDescent="0.25">
      <c r="A31" s="109">
        <v>21</v>
      </c>
      <c r="B31" s="110">
        <v>4.05</v>
      </c>
      <c r="C31" s="110">
        <v>0.22</v>
      </c>
      <c r="D31" s="110">
        <v>4.05</v>
      </c>
      <c r="E31" s="110">
        <v>0.22</v>
      </c>
    </row>
    <row r="32" spans="1:5" x14ac:dyDescent="0.25">
      <c r="A32" s="109">
        <v>22</v>
      </c>
      <c r="B32" s="110">
        <v>4.1900000000000004</v>
      </c>
      <c r="C32" s="110">
        <v>0.22</v>
      </c>
      <c r="D32" s="110">
        <v>4.1900000000000004</v>
      </c>
      <c r="E32" s="110">
        <v>0.22</v>
      </c>
    </row>
    <row r="33" spans="1:5" x14ac:dyDescent="0.25">
      <c r="A33" s="109">
        <v>23</v>
      </c>
      <c r="B33" s="110">
        <v>4.34</v>
      </c>
      <c r="C33" s="110">
        <v>0.23</v>
      </c>
      <c r="D33" s="110">
        <v>4.34</v>
      </c>
      <c r="E33" s="110">
        <v>0.23</v>
      </c>
    </row>
    <row r="34" spans="1:5" x14ac:dyDescent="0.25">
      <c r="A34" s="109">
        <v>24</v>
      </c>
      <c r="B34" s="110">
        <v>4.49</v>
      </c>
      <c r="C34" s="110">
        <v>0.24</v>
      </c>
      <c r="D34" s="110">
        <v>4.49</v>
      </c>
      <c r="E34" s="110">
        <v>0.24</v>
      </c>
    </row>
    <row r="35" spans="1:5" x14ac:dyDescent="0.25">
      <c r="A35" s="109">
        <v>25</v>
      </c>
      <c r="B35" s="110">
        <v>4.6399999999999997</v>
      </c>
      <c r="C35" s="110">
        <v>0.25</v>
      </c>
      <c r="D35" s="110">
        <v>4.6399999999999997</v>
      </c>
      <c r="E35" s="110">
        <v>0.25</v>
      </c>
    </row>
    <row r="36" spans="1:5" x14ac:dyDescent="0.25">
      <c r="A36" s="109">
        <v>26</v>
      </c>
      <c r="B36" s="110">
        <v>4.8</v>
      </c>
      <c r="C36" s="110">
        <v>0.26</v>
      </c>
      <c r="D36" s="110">
        <v>4.8</v>
      </c>
      <c r="E36" s="110">
        <v>0.26</v>
      </c>
    </row>
    <row r="37" spans="1:5" x14ac:dyDescent="0.25">
      <c r="A37" s="109">
        <v>27</v>
      </c>
      <c r="B37" s="110">
        <v>4.96</v>
      </c>
      <c r="C37" s="110">
        <v>0.27</v>
      </c>
      <c r="D37" s="110">
        <v>4.96</v>
      </c>
      <c r="E37" s="110">
        <v>0.27</v>
      </c>
    </row>
    <row r="38" spans="1:5" x14ac:dyDescent="0.25">
      <c r="A38" s="109">
        <v>28</v>
      </c>
      <c r="B38" s="110">
        <v>5.13</v>
      </c>
      <c r="C38" s="110">
        <v>0.27</v>
      </c>
      <c r="D38" s="110">
        <v>5.13</v>
      </c>
      <c r="E38" s="110">
        <v>0.27</v>
      </c>
    </row>
    <row r="39" spans="1:5" x14ac:dyDescent="0.25">
      <c r="A39" s="109">
        <v>29</v>
      </c>
      <c r="B39" s="110">
        <v>5.31</v>
      </c>
      <c r="C39" s="110">
        <v>0.28000000000000003</v>
      </c>
      <c r="D39" s="110">
        <v>5.31</v>
      </c>
      <c r="E39" s="110">
        <v>0.28000000000000003</v>
      </c>
    </row>
    <row r="40" spans="1:5" x14ac:dyDescent="0.25">
      <c r="A40" s="109">
        <v>30</v>
      </c>
      <c r="B40" s="110">
        <v>5.49</v>
      </c>
      <c r="C40" s="110">
        <v>0.28999999999999998</v>
      </c>
      <c r="D40" s="110">
        <v>5.49</v>
      </c>
      <c r="E40" s="110">
        <v>0.28999999999999998</v>
      </c>
    </row>
    <row r="41" spans="1:5" x14ac:dyDescent="0.25">
      <c r="A41" s="109">
        <v>31</v>
      </c>
      <c r="B41" s="110">
        <v>5.67</v>
      </c>
      <c r="C41" s="110">
        <v>0.3</v>
      </c>
      <c r="D41" s="110">
        <v>5.67</v>
      </c>
      <c r="E41" s="110">
        <v>0.3</v>
      </c>
    </row>
    <row r="42" spans="1:5" x14ac:dyDescent="0.25">
      <c r="A42" s="109">
        <v>32</v>
      </c>
      <c r="B42" s="110">
        <v>5.87</v>
      </c>
      <c r="C42" s="110">
        <v>0.31</v>
      </c>
      <c r="D42" s="110">
        <v>5.87</v>
      </c>
      <c r="E42" s="110">
        <v>0.31</v>
      </c>
    </row>
    <row r="43" spans="1:5" x14ac:dyDescent="0.25">
      <c r="A43" s="109">
        <v>33</v>
      </c>
      <c r="B43" s="110">
        <v>6.06</v>
      </c>
      <c r="C43" s="110">
        <v>0.32</v>
      </c>
      <c r="D43" s="110">
        <v>6.06</v>
      </c>
      <c r="E43" s="110">
        <v>0.32</v>
      </c>
    </row>
    <row r="44" spans="1:5" x14ac:dyDescent="0.25">
      <c r="A44" s="109">
        <v>34</v>
      </c>
      <c r="B44" s="110">
        <v>6.26</v>
      </c>
      <c r="C44" s="110">
        <v>0.34</v>
      </c>
      <c r="D44" s="110">
        <v>6.26</v>
      </c>
      <c r="E44" s="110">
        <v>0.34</v>
      </c>
    </row>
    <row r="45" spans="1:5" x14ac:dyDescent="0.25">
      <c r="A45" s="109">
        <v>35</v>
      </c>
      <c r="B45" s="110">
        <v>6.47</v>
      </c>
      <c r="C45" s="110">
        <v>0.35</v>
      </c>
      <c r="D45" s="110">
        <v>6.47</v>
      </c>
      <c r="E45" s="110">
        <v>0.35</v>
      </c>
    </row>
    <row r="46" spans="1:5" x14ac:dyDescent="0.25">
      <c r="A46" s="109">
        <v>36</v>
      </c>
      <c r="B46" s="110">
        <v>6.69</v>
      </c>
      <c r="C46" s="110">
        <v>0.36</v>
      </c>
      <c r="D46" s="110">
        <v>6.69</v>
      </c>
      <c r="E46" s="110">
        <v>0.36</v>
      </c>
    </row>
    <row r="47" spans="1:5" x14ac:dyDescent="0.25">
      <c r="A47" s="109">
        <v>37</v>
      </c>
      <c r="B47" s="110">
        <v>6.91</v>
      </c>
      <c r="C47" s="110">
        <v>0.37</v>
      </c>
      <c r="D47" s="110">
        <v>6.91</v>
      </c>
      <c r="E47" s="110">
        <v>0.37</v>
      </c>
    </row>
    <row r="48" spans="1:5" x14ac:dyDescent="0.25">
      <c r="A48" s="109">
        <v>38</v>
      </c>
      <c r="B48" s="110">
        <v>7.14</v>
      </c>
      <c r="C48" s="110">
        <v>0.38</v>
      </c>
      <c r="D48" s="110">
        <v>7.14</v>
      </c>
      <c r="E48" s="110">
        <v>0.38</v>
      </c>
    </row>
    <row r="49" spans="1:5" x14ac:dyDescent="0.25">
      <c r="A49" s="109">
        <v>39</v>
      </c>
      <c r="B49" s="110">
        <v>7.37</v>
      </c>
      <c r="C49" s="110">
        <v>0.4</v>
      </c>
      <c r="D49" s="110">
        <v>7.37</v>
      </c>
      <c r="E49" s="110">
        <v>0.4</v>
      </c>
    </row>
    <row r="50" spans="1:5" x14ac:dyDescent="0.25">
      <c r="A50" s="109">
        <v>40</v>
      </c>
      <c r="B50" s="110">
        <v>7.61</v>
      </c>
      <c r="C50" s="110">
        <v>0.41</v>
      </c>
      <c r="D50" s="110">
        <v>7.61</v>
      </c>
      <c r="E50" s="110">
        <v>0.41</v>
      </c>
    </row>
    <row r="51" spans="1:5" x14ac:dyDescent="0.25">
      <c r="A51" s="109">
        <v>41</v>
      </c>
      <c r="B51" s="110">
        <v>7.86</v>
      </c>
      <c r="C51" s="110">
        <v>0.42</v>
      </c>
      <c r="D51" s="110">
        <v>7.86</v>
      </c>
      <c r="E51" s="110">
        <v>0.42</v>
      </c>
    </row>
    <row r="52" spans="1:5" x14ac:dyDescent="0.25">
      <c r="A52" s="109">
        <v>42</v>
      </c>
      <c r="B52" s="110">
        <v>8.11</v>
      </c>
      <c r="C52" s="110">
        <v>0.43</v>
      </c>
      <c r="D52" s="110">
        <v>8.11</v>
      </c>
      <c r="E52" s="110">
        <v>0.43</v>
      </c>
    </row>
    <row r="53" spans="1:5" x14ac:dyDescent="0.25">
      <c r="A53" s="109">
        <v>43</v>
      </c>
      <c r="B53" s="110">
        <v>8.3800000000000008</v>
      </c>
      <c r="C53" s="110">
        <v>0.45</v>
      </c>
      <c r="D53" s="110">
        <v>8.3800000000000008</v>
      </c>
      <c r="E53" s="110">
        <v>0.45</v>
      </c>
    </row>
    <row r="54" spans="1:5" x14ac:dyDescent="0.25">
      <c r="A54" s="109">
        <v>44</v>
      </c>
      <c r="B54" s="110">
        <v>8.65</v>
      </c>
      <c r="C54" s="110">
        <v>0.46</v>
      </c>
      <c r="D54" s="110">
        <v>8.65</v>
      </c>
      <c r="E54" s="110">
        <v>0.46</v>
      </c>
    </row>
    <row r="55" spans="1:5" x14ac:dyDescent="0.25">
      <c r="A55" s="109">
        <v>45</v>
      </c>
      <c r="B55" s="110">
        <v>8.93</v>
      </c>
      <c r="C55" s="110">
        <v>0.48</v>
      </c>
      <c r="D55" s="110">
        <v>8.93</v>
      </c>
      <c r="E55" s="110">
        <v>0.48</v>
      </c>
    </row>
    <row r="56" spans="1:5" x14ac:dyDescent="0.25">
      <c r="A56" s="109">
        <v>46</v>
      </c>
      <c r="B56" s="110">
        <v>9.2200000000000006</v>
      </c>
      <c r="C56" s="110">
        <v>0.49</v>
      </c>
      <c r="D56" s="110">
        <v>9.2200000000000006</v>
      </c>
      <c r="E56" s="110">
        <v>0.49</v>
      </c>
    </row>
    <row r="57" spans="1:5" x14ac:dyDescent="0.25">
      <c r="A57" s="109">
        <v>47</v>
      </c>
      <c r="B57" s="110">
        <v>9.51</v>
      </c>
      <c r="C57" s="110">
        <v>0.51</v>
      </c>
      <c r="D57" s="110">
        <v>9.51</v>
      </c>
      <c r="E57" s="110">
        <v>0.51</v>
      </c>
    </row>
    <row r="58" spans="1:5" x14ac:dyDescent="0.25">
      <c r="A58" s="109">
        <v>48</v>
      </c>
      <c r="B58" s="110">
        <v>9.82</v>
      </c>
      <c r="C58" s="110">
        <v>0.52</v>
      </c>
      <c r="D58" s="110">
        <v>9.82</v>
      </c>
      <c r="E58" s="110">
        <v>0.52</v>
      </c>
    </row>
    <row r="59" spans="1:5" x14ac:dyDescent="0.25">
      <c r="A59" s="109">
        <v>49</v>
      </c>
      <c r="B59" s="110">
        <v>10.130000000000001</v>
      </c>
      <c r="C59" s="110">
        <v>0.54</v>
      </c>
      <c r="D59" s="110">
        <v>10.130000000000001</v>
      </c>
      <c r="E59" s="110">
        <v>0.54</v>
      </c>
    </row>
    <row r="60" spans="1:5" x14ac:dyDescent="0.25">
      <c r="A60" s="109">
        <v>50</v>
      </c>
      <c r="B60" s="110">
        <v>10.45</v>
      </c>
      <c r="C60" s="110">
        <v>0.55000000000000004</v>
      </c>
      <c r="D60" s="110">
        <v>10.45</v>
      </c>
      <c r="E60" s="110">
        <v>0.55000000000000004</v>
      </c>
    </row>
    <row r="61" spans="1:5" x14ac:dyDescent="0.25">
      <c r="A61" s="109">
        <v>51</v>
      </c>
      <c r="B61" s="110">
        <v>10.79</v>
      </c>
      <c r="C61" s="110">
        <v>0.56999999999999995</v>
      </c>
      <c r="D61" s="110">
        <v>10.79</v>
      </c>
      <c r="E61" s="110">
        <v>0.56999999999999995</v>
      </c>
    </row>
    <row r="62" spans="1:5" x14ac:dyDescent="0.25">
      <c r="A62" s="109">
        <v>52</v>
      </c>
      <c r="B62" s="110">
        <v>11.13</v>
      </c>
      <c r="C62" s="110">
        <v>0.59</v>
      </c>
      <c r="D62" s="110">
        <v>11.13</v>
      </c>
      <c r="E62" s="110">
        <v>0.59</v>
      </c>
    </row>
    <row r="63" spans="1:5" x14ac:dyDescent="0.25">
      <c r="A63" s="109">
        <v>53</v>
      </c>
      <c r="B63" s="110">
        <v>11.48</v>
      </c>
      <c r="C63" s="110">
        <v>0.6</v>
      </c>
      <c r="D63" s="110">
        <v>11.48</v>
      </c>
      <c r="E63" s="110">
        <v>0.6</v>
      </c>
    </row>
    <row r="64" spans="1:5" x14ac:dyDescent="0.25">
      <c r="A64" s="109">
        <v>54</v>
      </c>
      <c r="B64" s="110">
        <v>11.84</v>
      </c>
      <c r="C64" s="110">
        <v>0.62</v>
      </c>
      <c r="D64" s="110">
        <v>11.84</v>
      </c>
      <c r="E64" s="110">
        <v>0.62</v>
      </c>
    </row>
    <row r="65" spans="1:5" x14ac:dyDescent="0.25">
      <c r="A65" s="109">
        <v>55</v>
      </c>
      <c r="B65" s="110">
        <v>12.22</v>
      </c>
      <c r="C65" s="110">
        <v>0.64</v>
      </c>
      <c r="D65" s="110">
        <v>12.22</v>
      </c>
      <c r="E65" s="110">
        <v>0.64</v>
      </c>
    </row>
    <row r="66" spans="1:5" x14ac:dyDescent="0.25">
      <c r="A66" s="109">
        <v>56</v>
      </c>
      <c r="B66" s="110">
        <v>12.61</v>
      </c>
      <c r="C66" s="110">
        <v>0.65</v>
      </c>
      <c r="D66" s="110">
        <v>12.61</v>
      </c>
      <c r="E66" s="110">
        <v>0.65</v>
      </c>
    </row>
    <row r="67" spans="1:5" x14ac:dyDescent="0.25">
      <c r="A67" s="109">
        <v>57</v>
      </c>
      <c r="B67" s="110">
        <v>13.01</v>
      </c>
      <c r="C67" s="110">
        <v>0.67</v>
      </c>
      <c r="D67" s="110">
        <v>13.01</v>
      </c>
      <c r="E67" s="110">
        <v>0.67</v>
      </c>
    </row>
    <row r="68" spans="1:5" x14ac:dyDescent="0.25">
      <c r="A68" s="109">
        <v>58</v>
      </c>
      <c r="B68" s="110">
        <v>13.43</v>
      </c>
      <c r="C68" s="110">
        <v>0.69</v>
      </c>
      <c r="D68" s="110">
        <v>13.43</v>
      </c>
      <c r="E68" s="110">
        <v>0.69</v>
      </c>
    </row>
    <row r="69" spans="1:5" x14ac:dyDescent="0.25">
      <c r="A69" s="109">
        <v>59</v>
      </c>
      <c r="B69" s="110">
        <v>13.87</v>
      </c>
      <c r="C69" s="110">
        <v>0.7</v>
      </c>
      <c r="D69" s="110">
        <v>13.87</v>
      </c>
      <c r="E69" s="110">
        <v>0.7</v>
      </c>
    </row>
    <row r="70" spans="1:5" x14ac:dyDescent="0.25">
      <c r="A70" s="109">
        <v>60</v>
      </c>
      <c r="B70" s="110">
        <v>14.32</v>
      </c>
      <c r="C70" s="110">
        <v>0.72</v>
      </c>
      <c r="D70" s="110">
        <v>14.32</v>
      </c>
      <c r="E70" s="110">
        <v>0.72</v>
      </c>
    </row>
    <row r="71" spans="1:5" x14ac:dyDescent="0.25">
      <c r="A71" s="109">
        <v>61</v>
      </c>
      <c r="B71" s="110">
        <v>14.8</v>
      </c>
      <c r="C71" s="110">
        <v>0.74</v>
      </c>
      <c r="D71" s="110">
        <v>14.8</v>
      </c>
      <c r="E71" s="110">
        <v>0.74</v>
      </c>
    </row>
    <row r="72" spans="1:5" x14ac:dyDescent="0.25">
      <c r="A72" s="109">
        <v>62</v>
      </c>
      <c r="B72" s="110">
        <v>15.31</v>
      </c>
      <c r="C72" s="110">
        <v>0.75</v>
      </c>
      <c r="D72" s="110">
        <v>15.31</v>
      </c>
      <c r="E72" s="110">
        <v>0.75</v>
      </c>
    </row>
    <row r="73" spans="1:5" x14ac:dyDescent="0.25">
      <c r="A73" s="109">
        <v>63</v>
      </c>
      <c r="B73" s="110">
        <v>15.85</v>
      </c>
      <c r="C73" s="110">
        <v>0.77</v>
      </c>
      <c r="D73" s="110">
        <v>15.85</v>
      </c>
      <c r="E73" s="110">
        <v>0.77</v>
      </c>
    </row>
    <row r="74" spans="1:5" x14ac:dyDescent="0.25">
      <c r="A74" s="109">
        <v>64</v>
      </c>
      <c r="B74" s="110">
        <v>16.420000000000002</v>
      </c>
      <c r="C74" s="110">
        <v>0.79</v>
      </c>
      <c r="D74" s="110">
        <v>16.420000000000002</v>
      </c>
      <c r="E74" s="110">
        <v>0.79</v>
      </c>
    </row>
    <row r="75" spans="1:5" x14ac:dyDescent="0.25">
      <c r="A75" s="109">
        <v>65</v>
      </c>
      <c r="B75" s="110">
        <v>17.04</v>
      </c>
      <c r="C75" s="110">
        <v>0.8</v>
      </c>
      <c r="D75" s="110">
        <v>17.04</v>
      </c>
      <c r="E75" s="110">
        <v>0.8</v>
      </c>
    </row>
    <row r="76" spans="1:5" x14ac:dyDescent="0.25">
      <c r="A76" s="109">
        <v>66</v>
      </c>
      <c r="B76" s="110">
        <v>17.05</v>
      </c>
      <c r="C76" s="110">
        <v>0.81</v>
      </c>
      <c r="D76" s="110">
        <v>17.05</v>
      </c>
      <c r="E76" s="110">
        <v>0.81</v>
      </c>
    </row>
    <row r="77" spans="1:5" x14ac:dyDescent="0.25">
      <c r="A77" s="109">
        <v>67</v>
      </c>
      <c r="B77" s="110">
        <v>16.43</v>
      </c>
      <c r="C77" s="110">
        <v>0.8</v>
      </c>
      <c r="D77" s="110">
        <v>16.43</v>
      </c>
      <c r="E77" s="110">
        <v>0.8</v>
      </c>
    </row>
    <row r="78" spans="1:5" x14ac:dyDescent="0.25">
      <c r="A78" s="109">
        <v>68</v>
      </c>
      <c r="B78" s="110">
        <v>15.82</v>
      </c>
      <c r="C78" s="110">
        <v>0.79</v>
      </c>
      <c r="D78" s="110">
        <v>15.82</v>
      </c>
      <c r="E78" s="110">
        <v>0.79</v>
      </c>
    </row>
    <row r="79" spans="1:5" x14ac:dyDescent="0.25">
      <c r="A79" s="109">
        <v>69</v>
      </c>
      <c r="B79" s="110">
        <v>15.21</v>
      </c>
      <c r="C79" s="110">
        <v>0.79</v>
      </c>
      <c r="D79" s="110">
        <v>15.21</v>
      </c>
      <c r="E79" s="110">
        <v>0.79</v>
      </c>
    </row>
    <row r="80" spans="1:5" x14ac:dyDescent="0.25">
      <c r="A80" s="109">
        <v>70</v>
      </c>
      <c r="B80" s="110">
        <v>14.6</v>
      </c>
      <c r="C80" s="110">
        <v>0.78</v>
      </c>
      <c r="D80" s="110">
        <v>14.6</v>
      </c>
      <c r="E80" s="110">
        <v>0.78</v>
      </c>
    </row>
    <row r="81" spans="1:5" x14ac:dyDescent="0.25">
      <c r="A81" s="109">
        <v>71</v>
      </c>
      <c r="B81" s="110">
        <v>14</v>
      </c>
      <c r="C81" s="110">
        <v>0.77</v>
      </c>
      <c r="D81" s="110">
        <v>14</v>
      </c>
      <c r="E81" s="110">
        <v>0.77</v>
      </c>
    </row>
    <row r="82" spans="1:5" x14ac:dyDescent="0.25">
      <c r="A82" s="109">
        <v>72</v>
      </c>
      <c r="B82" s="110">
        <v>13.4</v>
      </c>
      <c r="C82" s="110">
        <v>0.76</v>
      </c>
      <c r="D82" s="110">
        <v>13.4</v>
      </c>
      <c r="E82" s="110">
        <v>0.76</v>
      </c>
    </row>
    <row r="83" spans="1:5" x14ac:dyDescent="0.25">
      <c r="A83" s="109">
        <v>73</v>
      </c>
      <c r="B83" s="110">
        <v>12.82</v>
      </c>
      <c r="C83" s="110">
        <v>0.75</v>
      </c>
      <c r="D83" s="110">
        <v>12.82</v>
      </c>
      <c r="E83" s="110">
        <v>0.75</v>
      </c>
    </row>
    <row r="84" spans="1:5" x14ac:dyDescent="0.25">
      <c r="A84" s="109">
        <v>74</v>
      </c>
      <c r="B84" s="110">
        <v>12.24</v>
      </c>
      <c r="C84" s="110">
        <v>0.73</v>
      </c>
      <c r="D84" s="110">
        <v>12.24</v>
      </c>
      <c r="E84" s="110">
        <v>0.73</v>
      </c>
    </row>
    <row r="85" spans="1:5" x14ac:dyDescent="0.25">
      <c r="A85" s="109">
        <v>75</v>
      </c>
      <c r="B85" s="110">
        <v>11.96</v>
      </c>
      <c r="C85" s="110">
        <v>0.73</v>
      </c>
      <c r="D85" s="110">
        <v>11.96</v>
      </c>
      <c r="E85" s="110">
        <v>0.73</v>
      </c>
    </row>
  </sheetData>
  <conditionalFormatting sqref="A6:A21">
    <cfRule type="expression" dxfId="1035" priority="3" stopIfTrue="1">
      <formula>MOD(ROW(),2)=0</formula>
    </cfRule>
    <cfRule type="expression" dxfId="1034" priority="4" stopIfTrue="1">
      <formula>MOD(ROW(),2)&lt;&gt;0</formula>
    </cfRule>
  </conditionalFormatting>
  <conditionalFormatting sqref="A26:A85">
    <cfRule type="expression" dxfId="1033" priority="7" stopIfTrue="1">
      <formula>MOD(ROW(),2)=0</formula>
    </cfRule>
    <cfRule type="expression" dxfId="1032" priority="8" stopIfTrue="1">
      <formula>MOD(ROW(),2)&lt;&gt;0</formula>
    </cfRule>
  </conditionalFormatting>
  <conditionalFormatting sqref="B12">
    <cfRule type="expression" dxfId="1031" priority="13" stopIfTrue="1">
      <formula>MOD(ROW(),2)=0</formula>
    </cfRule>
    <cfRule type="expression" dxfId="1030" priority="14" stopIfTrue="1">
      <formula>MOD(ROW(),2)&lt;&gt;0</formula>
    </cfRule>
  </conditionalFormatting>
  <conditionalFormatting sqref="B17:B21">
    <cfRule type="expression" dxfId="1029" priority="1" stopIfTrue="1">
      <formula>MOD(ROW(),2)=0</formula>
    </cfRule>
    <cfRule type="expression" dxfId="1028" priority="2" stopIfTrue="1">
      <formula>MOD(ROW(),2)&lt;&gt;0</formula>
    </cfRule>
  </conditionalFormatting>
  <conditionalFormatting sqref="B6:E6">
    <cfRule type="expression" dxfId="1027" priority="27" stopIfTrue="1">
      <formula>MOD(ROW(),2)=0</formula>
    </cfRule>
    <cfRule type="expression" dxfId="1026" priority="28" stopIfTrue="1">
      <formula>MOD(ROW(),2)&lt;&gt;0</formula>
    </cfRule>
  </conditionalFormatting>
  <conditionalFormatting sqref="B6:E21">
    <cfRule type="expression" dxfId="1025" priority="19" stopIfTrue="1">
      <formula>MOD(ROW(),2)=0</formula>
    </cfRule>
    <cfRule type="expression" dxfId="1024" priority="20" stopIfTrue="1">
      <formula>MOD(ROW(),2)&lt;&gt;0</formula>
    </cfRule>
  </conditionalFormatting>
  <conditionalFormatting sqref="B26:E85">
    <cfRule type="expression" dxfId="1023" priority="9" stopIfTrue="1">
      <formula>MOD(ROW(),2)=0</formula>
    </cfRule>
    <cfRule type="expression" dxfId="1022" priority="10" stopIfTrue="1">
      <formula>MOD(ROW(),2)&lt;&gt;0</formula>
    </cfRule>
  </conditionalFormatting>
  <hyperlinks>
    <hyperlink ref="B24" location="Assumptions!A1" display="Assumptions" xr:uid="{B27B9191-DF7B-41EA-9286-E80D507C526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92"/>
  <dimension ref="A1:E85"/>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5" ht="20" x14ac:dyDescent="0.4">
      <c r="A1" s="53" t="s">
        <v>0</v>
      </c>
      <c r="B1" s="54"/>
      <c r="C1" s="54"/>
      <c r="D1" s="54"/>
      <c r="E1" s="54"/>
    </row>
    <row r="2" spans="1:5" ht="15.5" x14ac:dyDescent="0.35">
      <c r="A2" s="55" t="str">
        <f>IF(title="&gt; Enter workbook title here","Enter workbook title in Cover sheet",title)</f>
        <v>Northern Ireland Civil Service Pension Schemes - Consolidated Factor Spreadsheet</v>
      </c>
      <c r="B2" s="56"/>
      <c r="C2" s="56"/>
      <c r="D2" s="56"/>
      <c r="E2" s="56"/>
    </row>
    <row r="3" spans="1:5" ht="15.5" x14ac:dyDescent="0.35">
      <c r="A3" s="57" t="str">
        <f>TABLE_FACTOR_TYPE_1&amp;" - x-"&amp;TABLE_SERIES_NUMBER_1</f>
        <v>TV In (non-club) - x-216</v>
      </c>
      <c r="B3" s="56"/>
      <c r="C3" s="56"/>
      <c r="D3" s="56"/>
      <c r="E3" s="56"/>
    </row>
    <row r="4" spans="1:5" x14ac:dyDescent="0.25">
      <c r="A4" s="58"/>
    </row>
    <row r="6" spans="1:5" ht="13" x14ac:dyDescent="0.3">
      <c r="A6" s="92" t="s">
        <v>716</v>
      </c>
      <c r="B6" s="181" t="s">
        <v>717</v>
      </c>
      <c r="C6" s="181"/>
      <c r="D6" s="181"/>
      <c r="E6" s="181"/>
    </row>
    <row r="7" spans="1:5" x14ac:dyDescent="0.25">
      <c r="A7" s="94" t="s">
        <v>797</v>
      </c>
      <c r="B7" s="181" t="s">
        <v>316</v>
      </c>
      <c r="C7" s="181"/>
      <c r="D7" s="181"/>
      <c r="E7" s="181"/>
    </row>
    <row r="8" spans="1:5" x14ac:dyDescent="0.25">
      <c r="A8" s="94" t="s">
        <v>798</v>
      </c>
      <c r="B8" s="181" t="s">
        <v>92</v>
      </c>
      <c r="C8" s="181"/>
      <c r="D8" s="181"/>
      <c r="E8" s="181"/>
    </row>
    <row r="9" spans="1:5" x14ac:dyDescent="0.25">
      <c r="A9" s="94" t="s">
        <v>300</v>
      </c>
      <c r="B9" s="181" t="s">
        <v>372</v>
      </c>
      <c r="C9" s="181"/>
      <c r="D9" s="181"/>
      <c r="E9" s="181"/>
    </row>
    <row r="10" spans="1:5" x14ac:dyDescent="0.25">
      <c r="A10" s="94" t="s">
        <v>6</v>
      </c>
      <c r="B10" s="181" t="s">
        <v>381</v>
      </c>
      <c r="C10" s="181"/>
      <c r="D10" s="181"/>
      <c r="E10" s="181"/>
    </row>
    <row r="11" spans="1:5" x14ac:dyDescent="0.25">
      <c r="A11" s="94" t="s">
        <v>301</v>
      </c>
      <c r="B11" s="181" t="s">
        <v>334</v>
      </c>
      <c r="C11" s="181"/>
      <c r="D11" s="181"/>
      <c r="E11" s="181"/>
    </row>
    <row r="12" spans="1:5" x14ac:dyDescent="0.25">
      <c r="A12" s="94" t="s">
        <v>302</v>
      </c>
      <c r="B12" s="181" t="s">
        <v>335</v>
      </c>
      <c r="C12" s="181"/>
      <c r="D12" s="181"/>
      <c r="E12" s="181"/>
    </row>
    <row r="13" spans="1:5" x14ac:dyDescent="0.25">
      <c r="A13" s="94" t="s">
        <v>813</v>
      </c>
      <c r="B13" s="181">
        <v>0</v>
      </c>
      <c r="C13" s="181"/>
      <c r="D13" s="181"/>
      <c r="E13" s="181"/>
    </row>
    <row r="14" spans="1:5" x14ac:dyDescent="0.25">
      <c r="A14" s="94" t="s">
        <v>304</v>
      </c>
      <c r="B14" s="181">
        <v>216</v>
      </c>
      <c r="C14" s="181"/>
      <c r="D14" s="181"/>
      <c r="E14" s="181"/>
    </row>
    <row r="15" spans="1:5" x14ac:dyDescent="0.25">
      <c r="A15" s="94" t="s">
        <v>727</v>
      </c>
      <c r="B15" s="181" t="s">
        <v>382</v>
      </c>
      <c r="C15" s="181"/>
      <c r="D15" s="181"/>
      <c r="E15" s="181"/>
    </row>
    <row r="16" spans="1:5" x14ac:dyDescent="0.25">
      <c r="A16" s="94" t="s">
        <v>814</v>
      </c>
      <c r="B16" s="181" t="s">
        <v>383</v>
      </c>
      <c r="C16" s="181"/>
      <c r="D16" s="181"/>
      <c r="E16" s="181"/>
    </row>
    <row r="17" spans="1:5" x14ac:dyDescent="0.25">
      <c r="A17" s="94" t="s">
        <v>800</v>
      </c>
      <c r="B17" s="181"/>
      <c r="C17" s="181"/>
      <c r="D17" s="181"/>
      <c r="E17" s="181"/>
    </row>
    <row r="18" spans="1:5" x14ac:dyDescent="0.25">
      <c r="A18" s="94" t="s">
        <v>308</v>
      </c>
      <c r="B18" s="185">
        <v>45106</v>
      </c>
      <c r="C18" s="181"/>
      <c r="D18" s="181"/>
      <c r="E18" s="181"/>
    </row>
    <row r="19" spans="1:5" x14ac:dyDescent="0.25">
      <c r="A19" s="94" t="s">
        <v>309</v>
      </c>
      <c r="B19" s="185">
        <v>45014</v>
      </c>
      <c r="C19" s="181"/>
      <c r="D19" s="181"/>
      <c r="E19" s="181"/>
    </row>
    <row r="20" spans="1:5" x14ac:dyDescent="0.25">
      <c r="A20" s="94" t="s">
        <v>310</v>
      </c>
      <c r="B20" s="181" t="s">
        <v>324</v>
      </c>
      <c r="C20" s="181"/>
      <c r="D20" s="181"/>
      <c r="E20" s="181"/>
    </row>
    <row r="21" spans="1:5" x14ac:dyDescent="0.25">
      <c r="A21" s="87" t="s">
        <v>311</v>
      </c>
      <c r="B21" s="181" t="s">
        <v>325</v>
      </c>
      <c r="C21" s="181"/>
      <c r="D21" s="181"/>
      <c r="E21" s="181"/>
    </row>
    <row r="23" spans="1:5" x14ac:dyDescent="0.25">
      <c r="B23" s="104" t="str">
        <f>HYPERLINK("#'Factor List'!A1","Back to Factor List")</f>
        <v>Back to Factor List</v>
      </c>
    </row>
    <row r="24" spans="1:5" x14ac:dyDescent="0.25">
      <c r="B24" s="104" t="s">
        <v>13</v>
      </c>
    </row>
    <row r="26" spans="1:5" ht="26" x14ac:dyDescent="0.25">
      <c r="A26" s="108" t="s">
        <v>534</v>
      </c>
      <c r="B26" s="108" t="s">
        <v>815</v>
      </c>
      <c r="C26" s="108" t="s">
        <v>816</v>
      </c>
      <c r="D26" s="108" t="s">
        <v>817</v>
      </c>
      <c r="E26" s="108" t="s">
        <v>818</v>
      </c>
    </row>
    <row r="27" spans="1:5" x14ac:dyDescent="0.25">
      <c r="A27" s="109">
        <v>17</v>
      </c>
      <c r="B27" s="110">
        <v>3.35</v>
      </c>
      <c r="C27" s="110">
        <v>0.18</v>
      </c>
      <c r="D27" s="110">
        <v>3.35</v>
      </c>
      <c r="E27" s="110">
        <v>0.18</v>
      </c>
    </row>
    <row r="28" spans="1:5" x14ac:dyDescent="0.25">
      <c r="A28" s="109">
        <v>18</v>
      </c>
      <c r="B28" s="110">
        <v>3.46</v>
      </c>
      <c r="C28" s="110">
        <v>0.19</v>
      </c>
      <c r="D28" s="110">
        <v>3.46</v>
      </c>
      <c r="E28" s="110">
        <v>0.19</v>
      </c>
    </row>
    <row r="29" spans="1:5" x14ac:dyDescent="0.25">
      <c r="A29" s="109">
        <v>19</v>
      </c>
      <c r="B29" s="110">
        <v>3.58</v>
      </c>
      <c r="C29" s="110">
        <v>0.2</v>
      </c>
      <c r="D29" s="110">
        <v>3.58</v>
      </c>
      <c r="E29" s="110">
        <v>0.2</v>
      </c>
    </row>
    <row r="30" spans="1:5" x14ac:dyDescent="0.25">
      <c r="A30" s="109">
        <v>20</v>
      </c>
      <c r="B30" s="110">
        <v>3.7</v>
      </c>
      <c r="C30" s="110">
        <v>0.2</v>
      </c>
      <c r="D30" s="110">
        <v>3.7</v>
      </c>
      <c r="E30" s="110">
        <v>0.2</v>
      </c>
    </row>
    <row r="31" spans="1:5" x14ac:dyDescent="0.25">
      <c r="A31" s="109">
        <v>21</v>
      </c>
      <c r="B31" s="110">
        <v>3.83</v>
      </c>
      <c r="C31" s="110">
        <v>0.21</v>
      </c>
      <c r="D31" s="110">
        <v>3.83</v>
      </c>
      <c r="E31" s="110">
        <v>0.21</v>
      </c>
    </row>
    <row r="32" spans="1:5" x14ac:dyDescent="0.25">
      <c r="A32" s="109">
        <v>22</v>
      </c>
      <c r="B32" s="110">
        <v>3.96</v>
      </c>
      <c r="C32" s="110">
        <v>0.22</v>
      </c>
      <c r="D32" s="110">
        <v>3.96</v>
      </c>
      <c r="E32" s="110">
        <v>0.22</v>
      </c>
    </row>
    <row r="33" spans="1:5" x14ac:dyDescent="0.25">
      <c r="A33" s="109">
        <v>23</v>
      </c>
      <c r="B33" s="110">
        <v>4.09</v>
      </c>
      <c r="C33" s="110">
        <v>0.23</v>
      </c>
      <c r="D33" s="110">
        <v>4.09</v>
      </c>
      <c r="E33" s="110">
        <v>0.23</v>
      </c>
    </row>
    <row r="34" spans="1:5" x14ac:dyDescent="0.25">
      <c r="A34" s="109">
        <v>24</v>
      </c>
      <c r="B34" s="110">
        <v>4.2300000000000004</v>
      </c>
      <c r="C34" s="110">
        <v>0.24</v>
      </c>
      <c r="D34" s="110">
        <v>4.2300000000000004</v>
      </c>
      <c r="E34" s="110">
        <v>0.24</v>
      </c>
    </row>
    <row r="35" spans="1:5" x14ac:dyDescent="0.25">
      <c r="A35" s="109">
        <v>25</v>
      </c>
      <c r="B35" s="110">
        <v>4.38</v>
      </c>
      <c r="C35" s="110">
        <v>0.24</v>
      </c>
      <c r="D35" s="110">
        <v>4.38</v>
      </c>
      <c r="E35" s="110">
        <v>0.24</v>
      </c>
    </row>
    <row r="36" spans="1:5" x14ac:dyDescent="0.25">
      <c r="A36" s="109">
        <v>26</v>
      </c>
      <c r="B36" s="110">
        <v>4.53</v>
      </c>
      <c r="C36" s="110">
        <v>0.25</v>
      </c>
      <c r="D36" s="110">
        <v>4.53</v>
      </c>
      <c r="E36" s="110">
        <v>0.25</v>
      </c>
    </row>
    <row r="37" spans="1:5" x14ac:dyDescent="0.25">
      <c r="A37" s="109">
        <v>27</v>
      </c>
      <c r="B37" s="110">
        <v>4.68</v>
      </c>
      <c r="C37" s="110">
        <v>0.26</v>
      </c>
      <c r="D37" s="110">
        <v>4.68</v>
      </c>
      <c r="E37" s="110">
        <v>0.26</v>
      </c>
    </row>
    <row r="38" spans="1:5" x14ac:dyDescent="0.25">
      <c r="A38" s="109">
        <v>28</v>
      </c>
      <c r="B38" s="110">
        <v>4.84</v>
      </c>
      <c r="C38" s="110">
        <v>0.27</v>
      </c>
      <c r="D38" s="110">
        <v>4.84</v>
      </c>
      <c r="E38" s="110">
        <v>0.27</v>
      </c>
    </row>
    <row r="39" spans="1:5" x14ac:dyDescent="0.25">
      <c r="A39" s="109">
        <v>29</v>
      </c>
      <c r="B39" s="110">
        <v>5.01</v>
      </c>
      <c r="C39" s="110">
        <v>0.28000000000000003</v>
      </c>
      <c r="D39" s="110">
        <v>5.01</v>
      </c>
      <c r="E39" s="110">
        <v>0.28000000000000003</v>
      </c>
    </row>
    <row r="40" spans="1:5" x14ac:dyDescent="0.25">
      <c r="A40" s="109">
        <v>30</v>
      </c>
      <c r="B40" s="110">
        <v>5.18</v>
      </c>
      <c r="C40" s="110">
        <v>0.28999999999999998</v>
      </c>
      <c r="D40" s="110">
        <v>5.18</v>
      </c>
      <c r="E40" s="110">
        <v>0.28999999999999998</v>
      </c>
    </row>
    <row r="41" spans="1:5" x14ac:dyDescent="0.25">
      <c r="A41" s="109">
        <v>31</v>
      </c>
      <c r="B41" s="110">
        <v>5.35</v>
      </c>
      <c r="C41" s="110">
        <v>0.3</v>
      </c>
      <c r="D41" s="110">
        <v>5.35</v>
      </c>
      <c r="E41" s="110">
        <v>0.3</v>
      </c>
    </row>
    <row r="42" spans="1:5" x14ac:dyDescent="0.25">
      <c r="A42" s="109">
        <v>32</v>
      </c>
      <c r="B42" s="110">
        <v>5.53</v>
      </c>
      <c r="C42" s="110">
        <v>0.31</v>
      </c>
      <c r="D42" s="110">
        <v>5.53</v>
      </c>
      <c r="E42" s="110">
        <v>0.31</v>
      </c>
    </row>
    <row r="43" spans="1:5" x14ac:dyDescent="0.25">
      <c r="A43" s="109">
        <v>33</v>
      </c>
      <c r="B43" s="110">
        <v>5.72</v>
      </c>
      <c r="C43" s="110">
        <v>0.32</v>
      </c>
      <c r="D43" s="110">
        <v>5.72</v>
      </c>
      <c r="E43" s="110">
        <v>0.32</v>
      </c>
    </row>
    <row r="44" spans="1:5" x14ac:dyDescent="0.25">
      <c r="A44" s="109">
        <v>34</v>
      </c>
      <c r="B44" s="110">
        <v>5.91</v>
      </c>
      <c r="C44" s="110">
        <v>0.33</v>
      </c>
      <c r="D44" s="110">
        <v>5.91</v>
      </c>
      <c r="E44" s="110">
        <v>0.33</v>
      </c>
    </row>
    <row r="45" spans="1:5" x14ac:dyDescent="0.25">
      <c r="A45" s="109">
        <v>35</v>
      </c>
      <c r="B45" s="110">
        <v>6.1</v>
      </c>
      <c r="C45" s="110">
        <v>0.34</v>
      </c>
      <c r="D45" s="110">
        <v>6.1</v>
      </c>
      <c r="E45" s="110">
        <v>0.34</v>
      </c>
    </row>
    <row r="46" spans="1:5" x14ac:dyDescent="0.25">
      <c r="A46" s="109">
        <v>36</v>
      </c>
      <c r="B46" s="110">
        <v>6.3</v>
      </c>
      <c r="C46" s="110">
        <v>0.35</v>
      </c>
      <c r="D46" s="110">
        <v>6.3</v>
      </c>
      <c r="E46" s="110">
        <v>0.35</v>
      </c>
    </row>
    <row r="47" spans="1:5" x14ac:dyDescent="0.25">
      <c r="A47" s="109">
        <v>37</v>
      </c>
      <c r="B47" s="110">
        <v>6.51</v>
      </c>
      <c r="C47" s="110">
        <v>0.36</v>
      </c>
      <c r="D47" s="110">
        <v>6.51</v>
      </c>
      <c r="E47" s="110">
        <v>0.36</v>
      </c>
    </row>
    <row r="48" spans="1:5" x14ac:dyDescent="0.25">
      <c r="A48" s="109">
        <v>38</v>
      </c>
      <c r="B48" s="110">
        <v>6.72</v>
      </c>
      <c r="C48" s="110">
        <v>0.38</v>
      </c>
      <c r="D48" s="110">
        <v>6.72</v>
      </c>
      <c r="E48" s="110">
        <v>0.38</v>
      </c>
    </row>
    <row r="49" spans="1:5" x14ac:dyDescent="0.25">
      <c r="A49" s="109">
        <v>39</v>
      </c>
      <c r="B49" s="110">
        <v>6.94</v>
      </c>
      <c r="C49" s="110">
        <v>0.39</v>
      </c>
      <c r="D49" s="110">
        <v>6.94</v>
      </c>
      <c r="E49" s="110">
        <v>0.39</v>
      </c>
    </row>
    <row r="50" spans="1:5" x14ac:dyDescent="0.25">
      <c r="A50" s="109">
        <v>40</v>
      </c>
      <c r="B50" s="110">
        <v>7.17</v>
      </c>
      <c r="C50" s="110">
        <v>0.4</v>
      </c>
      <c r="D50" s="110">
        <v>7.17</v>
      </c>
      <c r="E50" s="110">
        <v>0.4</v>
      </c>
    </row>
    <row r="51" spans="1:5" x14ac:dyDescent="0.25">
      <c r="A51" s="109">
        <v>41</v>
      </c>
      <c r="B51" s="110">
        <v>7.4</v>
      </c>
      <c r="C51" s="110">
        <v>0.41</v>
      </c>
      <c r="D51" s="110">
        <v>7.4</v>
      </c>
      <c r="E51" s="110">
        <v>0.41</v>
      </c>
    </row>
    <row r="52" spans="1:5" x14ac:dyDescent="0.25">
      <c r="A52" s="109">
        <v>42</v>
      </c>
      <c r="B52" s="110">
        <v>7.64</v>
      </c>
      <c r="C52" s="110">
        <v>0.43</v>
      </c>
      <c r="D52" s="110">
        <v>7.64</v>
      </c>
      <c r="E52" s="110">
        <v>0.43</v>
      </c>
    </row>
    <row r="53" spans="1:5" x14ac:dyDescent="0.25">
      <c r="A53" s="109">
        <v>43</v>
      </c>
      <c r="B53" s="110">
        <v>7.89</v>
      </c>
      <c r="C53" s="110">
        <v>0.44</v>
      </c>
      <c r="D53" s="110">
        <v>7.89</v>
      </c>
      <c r="E53" s="110">
        <v>0.44</v>
      </c>
    </row>
    <row r="54" spans="1:5" x14ac:dyDescent="0.25">
      <c r="A54" s="109">
        <v>44</v>
      </c>
      <c r="B54" s="110">
        <v>8.14</v>
      </c>
      <c r="C54" s="110">
        <v>0.45</v>
      </c>
      <c r="D54" s="110">
        <v>8.14</v>
      </c>
      <c r="E54" s="110">
        <v>0.45</v>
      </c>
    </row>
    <row r="55" spans="1:5" x14ac:dyDescent="0.25">
      <c r="A55" s="109">
        <v>45</v>
      </c>
      <c r="B55" s="110">
        <v>8.4</v>
      </c>
      <c r="C55" s="110">
        <v>0.47</v>
      </c>
      <c r="D55" s="110">
        <v>8.4</v>
      </c>
      <c r="E55" s="110">
        <v>0.47</v>
      </c>
    </row>
    <row r="56" spans="1:5" x14ac:dyDescent="0.25">
      <c r="A56" s="109">
        <v>46</v>
      </c>
      <c r="B56" s="110">
        <v>8.67</v>
      </c>
      <c r="C56" s="110">
        <v>0.48</v>
      </c>
      <c r="D56" s="110">
        <v>8.67</v>
      </c>
      <c r="E56" s="110">
        <v>0.48</v>
      </c>
    </row>
    <row r="57" spans="1:5" x14ac:dyDescent="0.25">
      <c r="A57" s="109">
        <v>47</v>
      </c>
      <c r="B57" s="110">
        <v>8.94</v>
      </c>
      <c r="C57" s="110">
        <v>0.5</v>
      </c>
      <c r="D57" s="110">
        <v>8.94</v>
      </c>
      <c r="E57" s="110">
        <v>0.5</v>
      </c>
    </row>
    <row r="58" spans="1:5" x14ac:dyDescent="0.25">
      <c r="A58" s="109">
        <v>48</v>
      </c>
      <c r="B58" s="110">
        <v>9.23</v>
      </c>
      <c r="C58" s="110">
        <v>0.51</v>
      </c>
      <c r="D58" s="110">
        <v>9.23</v>
      </c>
      <c r="E58" s="110">
        <v>0.51</v>
      </c>
    </row>
    <row r="59" spans="1:5" x14ac:dyDescent="0.25">
      <c r="A59" s="109">
        <v>49</v>
      </c>
      <c r="B59" s="110">
        <v>9.52</v>
      </c>
      <c r="C59" s="110">
        <v>0.53</v>
      </c>
      <c r="D59" s="110">
        <v>9.52</v>
      </c>
      <c r="E59" s="110">
        <v>0.53</v>
      </c>
    </row>
    <row r="60" spans="1:5" x14ac:dyDescent="0.25">
      <c r="A60" s="109">
        <v>50</v>
      </c>
      <c r="B60" s="110">
        <v>9.82</v>
      </c>
      <c r="C60" s="110">
        <v>0.54</v>
      </c>
      <c r="D60" s="110">
        <v>9.82</v>
      </c>
      <c r="E60" s="110">
        <v>0.54</v>
      </c>
    </row>
    <row r="61" spans="1:5" x14ac:dyDescent="0.25">
      <c r="A61" s="109">
        <v>51</v>
      </c>
      <c r="B61" s="110">
        <v>10.130000000000001</v>
      </c>
      <c r="C61" s="110">
        <v>0.56000000000000005</v>
      </c>
      <c r="D61" s="110">
        <v>10.130000000000001</v>
      </c>
      <c r="E61" s="110">
        <v>0.56000000000000005</v>
      </c>
    </row>
    <row r="62" spans="1:5" x14ac:dyDescent="0.25">
      <c r="A62" s="109">
        <v>52</v>
      </c>
      <c r="B62" s="110">
        <v>10.44</v>
      </c>
      <c r="C62" s="110">
        <v>0.56999999999999995</v>
      </c>
      <c r="D62" s="110">
        <v>10.44</v>
      </c>
      <c r="E62" s="110">
        <v>0.56999999999999995</v>
      </c>
    </row>
    <row r="63" spans="1:5" x14ac:dyDescent="0.25">
      <c r="A63" s="109">
        <v>53</v>
      </c>
      <c r="B63" s="110">
        <v>10.77</v>
      </c>
      <c r="C63" s="110">
        <v>0.59</v>
      </c>
      <c r="D63" s="110">
        <v>10.77</v>
      </c>
      <c r="E63" s="110">
        <v>0.59</v>
      </c>
    </row>
    <row r="64" spans="1:5" x14ac:dyDescent="0.25">
      <c r="A64" s="109">
        <v>54</v>
      </c>
      <c r="B64" s="110">
        <v>11.1</v>
      </c>
      <c r="C64" s="110">
        <v>0.61</v>
      </c>
      <c r="D64" s="110">
        <v>11.1</v>
      </c>
      <c r="E64" s="110">
        <v>0.61</v>
      </c>
    </row>
    <row r="65" spans="1:5" x14ac:dyDescent="0.25">
      <c r="A65" s="109">
        <v>55</v>
      </c>
      <c r="B65" s="110">
        <v>11.45</v>
      </c>
      <c r="C65" s="110">
        <v>0.62</v>
      </c>
      <c r="D65" s="110">
        <v>11.45</v>
      </c>
      <c r="E65" s="110">
        <v>0.62</v>
      </c>
    </row>
    <row r="66" spans="1:5" x14ac:dyDescent="0.25">
      <c r="A66" s="109">
        <v>56</v>
      </c>
      <c r="B66" s="110">
        <v>11.81</v>
      </c>
      <c r="C66" s="110">
        <v>0.64</v>
      </c>
      <c r="D66" s="110">
        <v>11.81</v>
      </c>
      <c r="E66" s="110">
        <v>0.64</v>
      </c>
    </row>
    <row r="67" spans="1:5" x14ac:dyDescent="0.25">
      <c r="A67" s="109">
        <v>57</v>
      </c>
      <c r="B67" s="110">
        <v>12.18</v>
      </c>
      <c r="C67" s="110">
        <v>0.65</v>
      </c>
      <c r="D67" s="110">
        <v>12.18</v>
      </c>
      <c r="E67" s="110">
        <v>0.65</v>
      </c>
    </row>
    <row r="68" spans="1:5" x14ac:dyDescent="0.25">
      <c r="A68" s="109">
        <v>58</v>
      </c>
      <c r="B68" s="110">
        <v>12.56</v>
      </c>
      <c r="C68" s="110">
        <v>0.67</v>
      </c>
      <c r="D68" s="110">
        <v>12.56</v>
      </c>
      <c r="E68" s="110">
        <v>0.67</v>
      </c>
    </row>
    <row r="69" spans="1:5" x14ac:dyDescent="0.25">
      <c r="A69" s="109">
        <v>59</v>
      </c>
      <c r="B69" s="110">
        <v>12.96</v>
      </c>
      <c r="C69" s="110">
        <v>0.69</v>
      </c>
      <c r="D69" s="110">
        <v>12.96</v>
      </c>
      <c r="E69" s="110">
        <v>0.69</v>
      </c>
    </row>
    <row r="70" spans="1:5" x14ac:dyDescent="0.25">
      <c r="A70" s="109">
        <v>60</v>
      </c>
      <c r="B70" s="110">
        <v>13.37</v>
      </c>
      <c r="C70" s="110">
        <v>0.7</v>
      </c>
      <c r="D70" s="110">
        <v>13.37</v>
      </c>
      <c r="E70" s="110">
        <v>0.7</v>
      </c>
    </row>
    <row r="71" spans="1:5" x14ac:dyDescent="0.25">
      <c r="A71" s="109">
        <v>61</v>
      </c>
      <c r="B71" s="110">
        <v>13.81</v>
      </c>
      <c r="C71" s="110">
        <v>0.72</v>
      </c>
      <c r="D71" s="110">
        <v>13.81</v>
      </c>
      <c r="E71" s="110">
        <v>0.72</v>
      </c>
    </row>
    <row r="72" spans="1:5" x14ac:dyDescent="0.25">
      <c r="A72" s="109">
        <v>62</v>
      </c>
      <c r="B72" s="110">
        <v>14.27</v>
      </c>
      <c r="C72" s="110">
        <v>0.74</v>
      </c>
      <c r="D72" s="110">
        <v>14.27</v>
      </c>
      <c r="E72" s="110">
        <v>0.74</v>
      </c>
    </row>
    <row r="73" spans="1:5" x14ac:dyDescent="0.25">
      <c r="A73" s="109">
        <v>63</v>
      </c>
      <c r="B73" s="110">
        <v>14.76</v>
      </c>
      <c r="C73" s="110">
        <v>0.75</v>
      </c>
      <c r="D73" s="110">
        <v>14.76</v>
      </c>
      <c r="E73" s="110">
        <v>0.75</v>
      </c>
    </row>
    <row r="74" spans="1:5" x14ac:dyDescent="0.25">
      <c r="A74" s="109">
        <v>64</v>
      </c>
      <c r="B74" s="110">
        <v>15.28</v>
      </c>
      <c r="C74" s="110">
        <v>0.77</v>
      </c>
      <c r="D74" s="110">
        <v>15.28</v>
      </c>
      <c r="E74" s="110">
        <v>0.77</v>
      </c>
    </row>
    <row r="75" spans="1:5" x14ac:dyDescent="0.25">
      <c r="A75" s="109">
        <v>65</v>
      </c>
      <c r="B75" s="110">
        <v>15.83</v>
      </c>
      <c r="C75" s="110">
        <v>0.78</v>
      </c>
      <c r="D75" s="110">
        <v>15.83</v>
      </c>
      <c r="E75" s="110">
        <v>0.78</v>
      </c>
    </row>
    <row r="76" spans="1:5" x14ac:dyDescent="0.25">
      <c r="A76" s="109">
        <v>66</v>
      </c>
      <c r="B76" s="110">
        <v>16.43</v>
      </c>
      <c r="C76" s="110">
        <v>0.8</v>
      </c>
      <c r="D76" s="110">
        <v>16.43</v>
      </c>
      <c r="E76" s="110">
        <v>0.8</v>
      </c>
    </row>
    <row r="77" spans="1:5" x14ac:dyDescent="0.25">
      <c r="A77" s="109">
        <v>67</v>
      </c>
      <c r="B77" s="110">
        <v>16.43</v>
      </c>
      <c r="C77" s="110">
        <v>0.8</v>
      </c>
      <c r="D77" s="110">
        <v>16.43</v>
      </c>
      <c r="E77" s="110">
        <v>0.8</v>
      </c>
    </row>
    <row r="78" spans="1:5" x14ac:dyDescent="0.25">
      <c r="A78" s="109">
        <v>68</v>
      </c>
      <c r="B78" s="110">
        <v>15.82</v>
      </c>
      <c r="C78" s="110">
        <v>0.79</v>
      </c>
      <c r="D78" s="110">
        <v>15.82</v>
      </c>
      <c r="E78" s="110">
        <v>0.79</v>
      </c>
    </row>
    <row r="79" spans="1:5" x14ac:dyDescent="0.25">
      <c r="A79" s="109">
        <v>69</v>
      </c>
      <c r="B79" s="110">
        <v>15.21</v>
      </c>
      <c r="C79" s="110">
        <v>0.79</v>
      </c>
      <c r="D79" s="110">
        <v>15.21</v>
      </c>
      <c r="E79" s="110">
        <v>0.79</v>
      </c>
    </row>
    <row r="80" spans="1:5" x14ac:dyDescent="0.25">
      <c r="A80" s="109">
        <v>70</v>
      </c>
      <c r="B80" s="110">
        <v>14.6</v>
      </c>
      <c r="C80" s="110">
        <v>0.78</v>
      </c>
      <c r="D80" s="110">
        <v>14.6</v>
      </c>
      <c r="E80" s="110">
        <v>0.78</v>
      </c>
    </row>
    <row r="81" spans="1:5" x14ac:dyDescent="0.25">
      <c r="A81" s="109">
        <v>71</v>
      </c>
      <c r="B81" s="110">
        <v>14</v>
      </c>
      <c r="C81" s="110">
        <v>0.77</v>
      </c>
      <c r="D81" s="110">
        <v>14</v>
      </c>
      <c r="E81" s="110">
        <v>0.77</v>
      </c>
    </row>
    <row r="82" spans="1:5" x14ac:dyDescent="0.25">
      <c r="A82" s="109">
        <v>72</v>
      </c>
      <c r="B82" s="110">
        <v>13.4</v>
      </c>
      <c r="C82" s="110">
        <v>0.76</v>
      </c>
      <c r="D82" s="110">
        <v>13.4</v>
      </c>
      <c r="E82" s="110">
        <v>0.76</v>
      </c>
    </row>
    <row r="83" spans="1:5" x14ac:dyDescent="0.25">
      <c r="A83" s="109">
        <v>73</v>
      </c>
      <c r="B83" s="110">
        <v>12.82</v>
      </c>
      <c r="C83" s="110">
        <v>0.75</v>
      </c>
      <c r="D83" s="110">
        <v>12.82</v>
      </c>
      <c r="E83" s="110">
        <v>0.75</v>
      </c>
    </row>
    <row r="84" spans="1:5" x14ac:dyDescent="0.25">
      <c r="A84" s="109">
        <v>74</v>
      </c>
      <c r="B84" s="110">
        <v>12.24</v>
      </c>
      <c r="C84" s="110">
        <v>0.73</v>
      </c>
      <c r="D84" s="110">
        <v>12.24</v>
      </c>
      <c r="E84" s="110">
        <v>0.73</v>
      </c>
    </row>
    <row r="85" spans="1:5" x14ac:dyDescent="0.25">
      <c r="A85" s="109">
        <v>75</v>
      </c>
      <c r="B85" s="110">
        <v>11.96</v>
      </c>
      <c r="C85" s="110">
        <v>0.73</v>
      </c>
      <c r="D85" s="110">
        <v>11.96</v>
      </c>
      <c r="E85" s="110">
        <v>0.73</v>
      </c>
    </row>
  </sheetData>
  <conditionalFormatting sqref="A6:A21">
    <cfRule type="expression" dxfId="1021" priority="3" stopIfTrue="1">
      <formula>MOD(ROW(),2)=0</formula>
    </cfRule>
    <cfRule type="expression" dxfId="1020" priority="4" stopIfTrue="1">
      <formula>MOD(ROW(),2)&lt;&gt;0</formula>
    </cfRule>
  </conditionalFormatting>
  <conditionalFormatting sqref="A26:A85">
    <cfRule type="expression" dxfId="1019" priority="7" stopIfTrue="1">
      <formula>MOD(ROW(),2)=0</formula>
    </cfRule>
    <cfRule type="expression" dxfId="1018" priority="8" stopIfTrue="1">
      <formula>MOD(ROW(),2)&lt;&gt;0</formula>
    </cfRule>
  </conditionalFormatting>
  <conditionalFormatting sqref="B12">
    <cfRule type="expression" dxfId="1017" priority="13" stopIfTrue="1">
      <formula>MOD(ROW(),2)=0</formula>
    </cfRule>
    <cfRule type="expression" dxfId="1016" priority="14" stopIfTrue="1">
      <formula>MOD(ROW(),2)&lt;&gt;0</formula>
    </cfRule>
  </conditionalFormatting>
  <conditionalFormatting sqref="B17:B21">
    <cfRule type="expression" dxfId="1015" priority="1" stopIfTrue="1">
      <formula>MOD(ROW(),2)=0</formula>
    </cfRule>
    <cfRule type="expression" dxfId="1014" priority="2" stopIfTrue="1">
      <formula>MOD(ROW(),2)&lt;&gt;0</formula>
    </cfRule>
  </conditionalFormatting>
  <conditionalFormatting sqref="B6:E6">
    <cfRule type="expression" dxfId="1013" priority="27" stopIfTrue="1">
      <formula>MOD(ROW(),2)=0</formula>
    </cfRule>
    <cfRule type="expression" dxfId="1012" priority="28" stopIfTrue="1">
      <formula>MOD(ROW(),2)&lt;&gt;0</formula>
    </cfRule>
  </conditionalFormatting>
  <conditionalFormatting sqref="B6:E21">
    <cfRule type="expression" dxfId="1011" priority="19" stopIfTrue="1">
      <formula>MOD(ROW(),2)=0</formula>
    </cfRule>
    <cfRule type="expression" dxfId="1010" priority="20" stopIfTrue="1">
      <formula>MOD(ROW(),2)&lt;&gt;0</formula>
    </cfRule>
  </conditionalFormatting>
  <conditionalFormatting sqref="B26:E85">
    <cfRule type="expression" dxfId="1009" priority="9" stopIfTrue="1">
      <formula>MOD(ROW(),2)=0</formula>
    </cfRule>
    <cfRule type="expression" dxfId="1008" priority="10" stopIfTrue="1">
      <formula>MOD(ROW(),2)&lt;&gt;0</formula>
    </cfRule>
  </conditionalFormatting>
  <hyperlinks>
    <hyperlink ref="B24" location="Assumptions!A1" display="Assumptions" xr:uid="{14B92ABA-531E-4591-8E8A-B2FC9DC49A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3"/>
  <dimension ref="A1:E85"/>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5" ht="20" x14ac:dyDescent="0.4">
      <c r="A1" s="53" t="s">
        <v>0</v>
      </c>
      <c r="B1" s="54"/>
      <c r="C1" s="54"/>
      <c r="D1" s="54"/>
      <c r="E1" s="54"/>
    </row>
    <row r="2" spans="1:5" ht="15.5" x14ac:dyDescent="0.35">
      <c r="A2" s="55" t="str">
        <f>IF(title="&gt; Enter workbook title here","Enter workbook title in Cover sheet",title)</f>
        <v>Northern Ireland Civil Service Pension Schemes - Consolidated Factor Spreadsheet</v>
      </c>
      <c r="B2" s="56"/>
      <c r="C2" s="56"/>
      <c r="D2" s="56"/>
      <c r="E2" s="56"/>
    </row>
    <row r="3" spans="1:5" ht="15.5" x14ac:dyDescent="0.35">
      <c r="A3" s="57" t="str">
        <f>TABLE_FACTOR_TYPE_1&amp;" - x-"&amp;TABLE_SERIES_NUMBER_1</f>
        <v>TV In (non-club) - x-217</v>
      </c>
      <c r="B3" s="56"/>
      <c r="C3" s="56"/>
      <c r="D3" s="56"/>
      <c r="E3" s="56"/>
    </row>
    <row r="4" spans="1:5" x14ac:dyDescent="0.25">
      <c r="A4" s="58"/>
    </row>
    <row r="6" spans="1:5" ht="13" x14ac:dyDescent="0.3">
      <c r="A6" s="92" t="s">
        <v>716</v>
      </c>
      <c r="B6" s="181" t="s">
        <v>717</v>
      </c>
      <c r="C6" s="181"/>
      <c r="D6" s="181"/>
      <c r="E6" s="181"/>
    </row>
    <row r="7" spans="1:5" x14ac:dyDescent="0.25">
      <c r="A7" s="94" t="s">
        <v>797</v>
      </c>
      <c r="B7" s="181" t="s">
        <v>316</v>
      </c>
      <c r="C7" s="181"/>
      <c r="D7" s="181"/>
      <c r="E7" s="181"/>
    </row>
    <row r="8" spans="1:5" x14ac:dyDescent="0.25">
      <c r="A8" s="94" t="s">
        <v>798</v>
      </c>
      <c r="B8" s="181" t="s">
        <v>92</v>
      </c>
      <c r="C8" s="181"/>
      <c r="D8" s="181"/>
      <c r="E8" s="181"/>
    </row>
    <row r="9" spans="1:5" x14ac:dyDescent="0.25">
      <c r="A9" s="94" t="s">
        <v>300</v>
      </c>
      <c r="B9" s="181" t="s">
        <v>372</v>
      </c>
      <c r="C9" s="181"/>
      <c r="D9" s="181"/>
      <c r="E9" s="181"/>
    </row>
    <row r="10" spans="1:5" x14ac:dyDescent="0.25">
      <c r="A10" s="94" t="s">
        <v>6</v>
      </c>
      <c r="B10" s="181" t="s">
        <v>384</v>
      </c>
      <c r="C10" s="181"/>
      <c r="D10" s="181"/>
      <c r="E10" s="181"/>
    </row>
    <row r="11" spans="1:5" x14ac:dyDescent="0.25">
      <c r="A11" s="94" t="s">
        <v>301</v>
      </c>
      <c r="B11" s="181" t="s">
        <v>334</v>
      </c>
      <c r="C11" s="181"/>
      <c r="D11" s="181"/>
      <c r="E11" s="181"/>
    </row>
    <row r="12" spans="1:5" x14ac:dyDescent="0.25">
      <c r="A12" s="94" t="s">
        <v>302</v>
      </c>
      <c r="B12" s="181" t="s">
        <v>335</v>
      </c>
      <c r="C12" s="181"/>
      <c r="D12" s="181"/>
      <c r="E12" s="181"/>
    </row>
    <row r="13" spans="1:5" x14ac:dyDescent="0.25">
      <c r="A13" s="94" t="s">
        <v>813</v>
      </c>
      <c r="B13" s="181">
        <v>0</v>
      </c>
      <c r="C13" s="181"/>
      <c r="D13" s="181"/>
      <c r="E13" s="181"/>
    </row>
    <row r="14" spans="1:5" x14ac:dyDescent="0.25">
      <c r="A14" s="94" t="s">
        <v>304</v>
      </c>
      <c r="B14" s="181">
        <v>217</v>
      </c>
      <c r="C14" s="181"/>
      <c r="D14" s="181"/>
      <c r="E14" s="181"/>
    </row>
    <row r="15" spans="1:5" x14ac:dyDescent="0.25">
      <c r="A15" s="94" t="s">
        <v>727</v>
      </c>
      <c r="B15" s="181" t="s">
        <v>385</v>
      </c>
      <c r="C15" s="181"/>
      <c r="D15" s="181"/>
      <c r="E15" s="181"/>
    </row>
    <row r="16" spans="1:5" x14ac:dyDescent="0.25">
      <c r="A16" s="94" t="s">
        <v>814</v>
      </c>
      <c r="B16" s="181" t="s">
        <v>386</v>
      </c>
      <c r="C16" s="181"/>
      <c r="D16" s="181"/>
      <c r="E16" s="181"/>
    </row>
    <row r="17" spans="1:5" ht="43" customHeight="1" x14ac:dyDescent="0.25">
      <c r="A17" s="94" t="s">
        <v>800</v>
      </c>
      <c r="B17" s="181"/>
      <c r="C17" s="181"/>
      <c r="D17" s="181"/>
      <c r="E17" s="181"/>
    </row>
    <row r="18" spans="1:5" x14ac:dyDescent="0.25">
      <c r="A18" s="94" t="s">
        <v>308</v>
      </c>
      <c r="B18" s="185">
        <v>45106</v>
      </c>
      <c r="C18" s="181"/>
      <c r="D18" s="181"/>
      <c r="E18" s="181"/>
    </row>
    <row r="19" spans="1:5" x14ac:dyDescent="0.25">
      <c r="A19" s="94" t="s">
        <v>309</v>
      </c>
      <c r="B19" s="185">
        <v>45014</v>
      </c>
      <c r="C19" s="181"/>
      <c r="D19" s="181"/>
      <c r="E19" s="181"/>
    </row>
    <row r="20" spans="1:5" x14ac:dyDescent="0.25">
      <c r="A20" s="94" t="s">
        <v>310</v>
      </c>
      <c r="B20" s="181" t="s">
        <v>324</v>
      </c>
      <c r="C20" s="181"/>
      <c r="D20" s="181"/>
      <c r="E20" s="181"/>
    </row>
    <row r="21" spans="1:5" x14ac:dyDescent="0.25">
      <c r="A21" s="87" t="s">
        <v>311</v>
      </c>
      <c r="B21" s="181" t="s">
        <v>325</v>
      </c>
      <c r="C21" s="181"/>
      <c r="D21" s="181"/>
      <c r="E21" s="181"/>
    </row>
    <row r="23" spans="1:5" x14ac:dyDescent="0.25">
      <c r="B23" s="104" t="str">
        <f>HYPERLINK("#'Factor List'!A1","Back to Factor List")</f>
        <v>Back to Factor List</v>
      </c>
    </row>
    <row r="24" spans="1:5" x14ac:dyDescent="0.25">
      <c r="B24" s="104" t="s">
        <v>13</v>
      </c>
    </row>
    <row r="26" spans="1:5" ht="26" x14ac:dyDescent="0.25">
      <c r="A26" s="108" t="s">
        <v>534</v>
      </c>
      <c r="B26" s="108" t="s">
        <v>815</v>
      </c>
      <c r="C26" s="108" t="s">
        <v>816</v>
      </c>
      <c r="D26" s="108" t="s">
        <v>817</v>
      </c>
      <c r="E26" s="108" t="s">
        <v>818</v>
      </c>
    </row>
    <row r="27" spans="1:5" x14ac:dyDescent="0.25">
      <c r="A27" s="109">
        <v>17</v>
      </c>
      <c r="B27" s="110">
        <v>3.16</v>
      </c>
      <c r="C27" s="110">
        <v>0.18</v>
      </c>
      <c r="D27" s="110">
        <v>3.16</v>
      </c>
      <c r="E27" s="110">
        <v>0.18</v>
      </c>
    </row>
    <row r="28" spans="1:5" x14ac:dyDescent="0.25">
      <c r="A28" s="109">
        <v>18</v>
      </c>
      <c r="B28" s="110">
        <v>3.27</v>
      </c>
      <c r="C28" s="110">
        <v>0.19</v>
      </c>
      <c r="D28" s="110">
        <v>3.27</v>
      </c>
      <c r="E28" s="110">
        <v>0.19</v>
      </c>
    </row>
    <row r="29" spans="1:5" x14ac:dyDescent="0.25">
      <c r="A29" s="109">
        <v>19</v>
      </c>
      <c r="B29" s="110">
        <v>3.38</v>
      </c>
      <c r="C29" s="110">
        <v>0.19</v>
      </c>
      <c r="D29" s="110">
        <v>3.38</v>
      </c>
      <c r="E29" s="110">
        <v>0.19</v>
      </c>
    </row>
    <row r="30" spans="1:5" x14ac:dyDescent="0.25">
      <c r="A30" s="109">
        <v>20</v>
      </c>
      <c r="B30" s="110">
        <v>3.49</v>
      </c>
      <c r="C30" s="110">
        <v>0.2</v>
      </c>
      <c r="D30" s="110">
        <v>3.49</v>
      </c>
      <c r="E30" s="110">
        <v>0.2</v>
      </c>
    </row>
    <row r="31" spans="1:5" x14ac:dyDescent="0.25">
      <c r="A31" s="109">
        <v>21</v>
      </c>
      <c r="B31" s="110">
        <v>3.61</v>
      </c>
      <c r="C31" s="110">
        <v>0.21</v>
      </c>
      <c r="D31" s="110">
        <v>3.61</v>
      </c>
      <c r="E31" s="110">
        <v>0.21</v>
      </c>
    </row>
    <row r="32" spans="1:5" x14ac:dyDescent="0.25">
      <c r="A32" s="109">
        <v>22</v>
      </c>
      <c r="B32" s="110">
        <v>3.74</v>
      </c>
      <c r="C32" s="110">
        <v>0.22</v>
      </c>
      <c r="D32" s="110">
        <v>3.74</v>
      </c>
      <c r="E32" s="110">
        <v>0.22</v>
      </c>
    </row>
    <row r="33" spans="1:5" x14ac:dyDescent="0.25">
      <c r="A33" s="109">
        <v>23</v>
      </c>
      <c r="B33" s="110">
        <v>3.86</v>
      </c>
      <c r="C33" s="110">
        <v>0.22</v>
      </c>
      <c r="D33" s="110">
        <v>3.86</v>
      </c>
      <c r="E33" s="110">
        <v>0.22</v>
      </c>
    </row>
    <row r="34" spans="1:5" x14ac:dyDescent="0.25">
      <c r="A34" s="109">
        <v>24</v>
      </c>
      <c r="B34" s="110">
        <v>4</v>
      </c>
      <c r="C34" s="110">
        <v>0.23</v>
      </c>
      <c r="D34" s="110">
        <v>4</v>
      </c>
      <c r="E34" s="110">
        <v>0.23</v>
      </c>
    </row>
    <row r="35" spans="1:5" x14ac:dyDescent="0.25">
      <c r="A35" s="109">
        <v>25</v>
      </c>
      <c r="B35" s="110">
        <v>4.13</v>
      </c>
      <c r="C35" s="110">
        <v>0.24</v>
      </c>
      <c r="D35" s="110">
        <v>4.13</v>
      </c>
      <c r="E35" s="110">
        <v>0.24</v>
      </c>
    </row>
    <row r="36" spans="1:5" x14ac:dyDescent="0.25">
      <c r="A36" s="109">
        <v>26</v>
      </c>
      <c r="B36" s="110">
        <v>4.2699999999999996</v>
      </c>
      <c r="C36" s="110">
        <v>0.25</v>
      </c>
      <c r="D36" s="110">
        <v>4.2699999999999996</v>
      </c>
      <c r="E36" s="110">
        <v>0.25</v>
      </c>
    </row>
    <row r="37" spans="1:5" x14ac:dyDescent="0.25">
      <c r="A37" s="109">
        <v>27</v>
      </c>
      <c r="B37" s="110">
        <v>4.42</v>
      </c>
      <c r="C37" s="110">
        <v>0.26</v>
      </c>
      <c r="D37" s="110">
        <v>4.42</v>
      </c>
      <c r="E37" s="110">
        <v>0.26</v>
      </c>
    </row>
    <row r="38" spans="1:5" x14ac:dyDescent="0.25">
      <c r="A38" s="109">
        <v>28</v>
      </c>
      <c r="B38" s="110">
        <v>4.57</v>
      </c>
      <c r="C38" s="110">
        <v>0.26</v>
      </c>
      <c r="D38" s="110">
        <v>4.57</v>
      </c>
      <c r="E38" s="110">
        <v>0.26</v>
      </c>
    </row>
    <row r="39" spans="1:5" x14ac:dyDescent="0.25">
      <c r="A39" s="109">
        <v>29</v>
      </c>
      <c r="B39" s="110">
        <v>4.72</v>
      </c>
      <c r="C39" s="110">
        <v>0.27</v>
      </c>
      <c r="D39" s="110">
        <v>4.72</v>
      </c>
      <c r="E39" s="110">
        <v>0.27</v>
      </c>
    </row>
    <row r="40" spans="1:5" x14ac:dyDescent="0.25">
      <c r="A40" s="109">
        <v>30</v>
      </c>
      <c r="B40" s="110">
        <v>4.88</v>
      </c>
      <c r="C40" s="110">
        <v>0.28000000000000003</v>
      </c>
      <c r="D40" s="110">
        <v>4.88</v>
      </c>
      <c r="E40" s="110">
        <v>0.28000000000000003</v>
      </c>
    </row>
    <row r="41" spans="1:5" x14ac:dyDescent="0.25">
      <c r="A41" s="109">
        <v>31</v>
      </c>
      <c r="B41" s="110">
        <v>5.05</v>
      </c>
      <c r="C41" s="110">
        <v>0.28999999999999998</v>
      </c>
      <c r="D41" s="110">
        <v>5.05</v>
      </c>
      <c r="E41" s="110">
        <v>0.28999999999999998</v>
      </c>
    </row>
    <row r="42" spans="1:5" x14ac:dyDescent="0.25">
      <c r="A42" s="109">
        <v>32</v>
      </c>
      <c r="B42" s="110">
        <v>5.22</v>
      </c>
      <c r="C42" s="110">
        <v>0.3</v>
      </c>
      <c r="D42" s="110">
        <v>5.22</v>
      </c>
      <c r="E42" s="110">
        <v>0.3</v>
      </c>
    </row>
    <row r="43" spans="1:5" x14ac:dyDescent="0.25">
      <c r="A43" s="109">
        <v>33</v>
      </c>
      <c r="B43" s="110">
        <v>5.39</v>
      </c>
      <c r="C43" s="110">
        <v>0.31</v>
      </c>
      <c r="D43" s="110">
        <v>5.39</v>
      </c>
      <c r="E43" s="110">
        <v>0.31</v>
      </c>
    </row>
    <row r="44" spans="1:5" x14ac:dyDescent="0.25">
      <c r="A44" s="109">
        <v>34</v>
      </c>
      <c r="B44" s="110">
        <v>5.57</v>
      </c>
      <c r="C44" s="110">
        <v>0.32</v>
      </c>
      <c r="D44" s="110">
        <v>5.57</v>
      </c>
      <c r="E44" s="110">
        <v>0.32</v>
      </c>
    </row>
    <row r="45" spans="1:5" x14ac:dyDescent="0.25">
      <c r="A45" s="109">
        <v>35</v>
      </c>
      <c r="B45" s="110">
        <v>5.75</v>
      </c>
      <c r="C45" s="110">
        <v>0.33</v>
      </c>
      <c r="D45" s="110">
        <v>5.75</v>
      </c>
      <c r="E45" s="110">
        <v>0.33</v>
      </c>
    </row>
    <row r="46" spans="1:5" x14ac:dyDescent="0.25">
      <c r="A46" s="109">
        <v>36</v>
      </c>
      <c r="B46" s="110">
        <v>5.94</v>
      </c>
      <c r="C46" s="110">
        <v>0.35</v>
      </c>
      <c r="D46" s="110">
        <v>5.94</v>
      </c>
      <c r="E46" s="110">
        <v>0.35</v>
      </c>
    </row>
    <row r="47" spans="1:5" x14ac:dyDescent="0.25">
      <c r="A47" s="109">
        <v>37</v>
      </c>
      <c r="B47" s="110">
        <v>6.14</v>
      </c>
      <c r="C47" s="110">
        <v>0.36</v>
      </c>
      <c r="D47" s="110">
        <v>6.14</v>
      </c>
      <c r="E47" s="110">
        <v>0.36</v>
      </c>
    </row>
    <row r="48" spans="1:5" x14ac:dyDescent="0.25">
      <c r="A48" s="109">
        <v>38</v>
      </c>
      <c r="B48" s="110">
        <v>6.34</v>
      </c>
      <c r="C48" s="110">
        <v>0.37</v>
      </c>
      <c r="D48" s="110">
        <v>6.34</v>
      </c>
      <c r="E48" s="110">
        <v>0.37</v>
      </c>
    </row>
    <row r="49" spans="1:5" x14ac:dyDescent="0.25">
      <c r="A49" s="109">
        <v>39</v>
      </c>
      <c r="B49" s="110">
        <v>6.54</v>
      </c>
      <c r="C49" s="110">
        <v>0.38</v>
      </c>
      <c r="D49" s="110">
        <v>6.54</v>
      </c>
      <c r="E49" s="110">
        <v>0.38</v>
      </c>
    </row>
    <row r="50" spans="1:5" x14ac:dyDescent="0.25">
      <c r="A50" s="109">
        <v>40</v>
      </c>
      <c r="B50" s="110">
        <v>6.75</v>
      </c>
      <c r="C50" s="110">
        <v>0.39</v>
      </c>
      <c r="D50" s="110">
        <v>6.75</v>
      </c>
      <c r="E50" s="110">
        <v>0.39</v>
      </c>
    </row>
    <row r="51" spans="1:5" x14ac:dyDescent="0.25">
      <c r="A51" s="109">
        <v>41</v>
      </c>
      <c r="B51" s="110">
        <v>6.97</v>
      </c>
      <c r="C51" s="110">
        <v>0.41</v>
      </c>
      <c r="D51" s="110">
        <v>6.97</v>
      </c>
      <c r="E51" s="110">
        <v>0.41</v>
      </c>
    </row>
    <row r="52" spans="1:5" x14ac:dyDescent="0.25">
      <c r="A52" s="109">
        <v>42</v>
      </c>
      <c r="B52" s="110">
        <v>7.19</v>
      </c>
      <c r="C52" s="110">
        <v>0.42</v>
      </c>
      <c r="D52" s="110">
        <v>7.19</v>
      </c>
      <c r="E52" s="110">
        <v>0.42</v>
      </c>
    </row>
    <row r="53" spans="1:5" x14ac:dyDescent="0.25">
      <c r="A53" s="109">
        <v>43</v>
      </c>
      <c r="B53" s="110">
        <v>7.42</v>
      </c>
      <c r="C53" s="110">
        <v>0.43</v>
      </c>
      <c r="D53" s="110">
        <v>7.42</v>
      </c>
      <c r="E53" s="110">
        <v>0.43</v>
      </c>
    </row>
    <row r="54" spans="1:5" x14ac:dyDescent="0.25">
      <c r="A54" s="109">
        <v>44</v>
      </c>
      <c r="B54" s="110">
        <v>7.66</v>
      </c>
      <c r="C54" s="110">
        <v>0.44</v>
      </c>
      <c r="D54" s="110">
        <v>7.66</v>
      </c>
      <c r="E54" s="110">
        <v>0.44</v>
      </c>
    </row>
    <row r="55" spans="1:5" x14ac:dyDescent="0.25">
      <c r="A55" s="109">
        <v>45</v>
      </c>
      <c r="B55" s="110">
        <v>7.9</v>
      </c>
      <c r="C55" s="110">
        <v>0.46</v>
      </c>
      <c r="D55" s="110">
        <v>7.9</v>
      </c>
      <c r="E55" s="110">
        <v>0.46</v>
      </c>
    </row>
    <row r="56" spans="1:5" x14ac:dyDescent="0.25">
      <c r="A56" s="109">
        <v>46</v>
      </c>
      <c r="B56" s="110">
        <v>8.15</v>
      </c>
      <c r="C56" s="110">
        <v>0.47</v>
      </c>
      <c r="D56" s="110">
        <v>8.15</v>
      </c>
      <c r="E56" s="110">
        <v>0.47</v>
      </c>
    </row>
    <row r="57" spans="1:5" x14ac:dyDescent="0.25">
      <c r="A57" s="109">
        <v>47</v>
      </c>
      <c r="B57" s="110">
        <v>8.41</v>
      </c>
      <c r="C57" s="110">
        <v>0.49</v>
      </c>
      <c r="D57" s="110">
        <v>8.41</v>
      </c>
      <c r="E57" s="110">
        <v>0.49</v>
      </c>
    </row>
    <row r="58" spans="1:5" x14ac:dyDescent="0.25">
      <c r="A58" s="109">
        <v>48</v>
      </c>
      <c r="B58" s="110">
        <v>8.67</v>
      </c>
      <c r="C58" s="110">
        <v>0.5</v>
      </c>
      <c r="D58" s="110">
        <v>8.67</v>
      </c>
      <c r="E58" s="110">
        <v>0.5</v>
      </c>
    </row>
    <row r="59" spans="1:5" x14ac:dyDescent="0.25">
      <c r="A59" s="109">
        <v>49</v>
      </c>
      <c r="B59" s="110">
        <v>8.94</v>
      </c>
      <c r="C59" s="110">
        <v>0.52</v>
      </c>
      <c r="D59" s="110">
        <v>8.94</v>
      </c>
      <c r="E59" s="110">
        <v>0.52</v>
      </c>
    </row>
    <row r="60" spans="1:5" x14ac:dyDescent="0.25">
      <c r="A60" s="109">
        <v>50</v>
      </c>
      <c r="B60" s="110">
        <v>9.2200000000000006</v>
      </c>
      <c r="C60" s="110">
        <v>0.53</v>
      </c>
      <c r="D60" s="110">
        <v>9.2200000000000006</v>
      </c>
      <c r="E60" s="110">
        <v>0.53</v>
      </c>
    </row>
    <row r="61" spans="1:5" x14ac:dyDescent="0.25">
      <c r="A61" s="109">
        <v>51</v>
      </c>
      <c r="B61" s="110">
        <v>9.51</v>
      </c>
      <c r="C61" s="110">
        <v>0.55000000000000004</v>
      </c>
      <c r="D61" s="110">
        <v>9.51</v>
      </c>
      <c r="E61" s="110">
        <v>0.55000000000000004</v>
      </c>
    </row>
    <row r="62" spans="1:5" x14ac:dyDescent="0.25">
      <c r="A62" s="109">
        <v>52</v>
      </c>
      <c r="B62" s="110">
        <v>9.8000000000000007</v>
      </c>
      <c r="C62" s="110">
        <v>0.56000000000000005</v>
      </c>
      <c r="D62" s="110">
        <v>9.8000000000000007</v>
      </c>
      <c r="E62" s="110">
        <v>0.56000000000000005</v>
      </c>
    </row>
    <row r="63" spans="1:5" x14ac:dyDescent="0.25">
      <c r="A63" s="109">
        <v>53</v>
      </c>
      <c r="B63" s="110">
        <v>10.1</v>
      </c>
      <c r="C63" s="110">
        <v>0.57999999999999996</v>
      </c>
      <c r="D63" s="110">
        <v>10.1</v>
      </c>
      <c r="E63" s="110">
        <v>0.57999999999999996</v>
      </c>
    </row>
    <row r="64" spans="1:5" x14ac:dyDescent="0.25">
      <c r="A64" s="109">
        <v>54</v>
      </c>
      <c r="B64" s="110">
        <v>10.41</v>
      </c>
      <c r="C64" s="110">
        <v>0.59</v>
      </c>
      <c r="D64" s="110">
        <v>10.41</v>
      </c>
      <c r="E64" s="110">
        <v>0.59</v>
      </c>
    </row>
    <row r="65" spans="1:5" x14ac:dyDescent="0.25">
      <c r="A65" s="109">
        <v>55</v>
      </c>
      <c r="B65" s="110">
        <v>10.72</v>
      </c>
      <c r="C65" s="110">
        <v>0.61</v>
      </c>
      <c r="D65" s="110">
        <v>10.72</v>
      </c>
      <c r="E65" s="110">
        <v>0.61</v>
      </c>
    </row>
    <row r="66" spans="1:5" x14ac:dyDescent="0.25">
      <c r="A66" s="109">
        <v>56</v>
      </c>
      <c r="B66" s="110">
        <v>11.05</v>
      </c>
      <c r="C66" s="110">
        <v>0.62</v>
      </c>
      <c r="D66" s="110">
        <v>11.05</v>
      </c>
      <c r="E66" s="110">
        <v>0.62</v>
      </c>
    </row>
    <row r="67" spans="1:5" x14ac:dyDescent="0.25">
      <c r="A67" s="109">
        <v>57</v>
      </c>
      <c r="B67" s="110">
        <v>11.39</v>
      </c>
      <c r="C67" s="110">
        <v>0.64</v>
      </c>
      <c r="D67" s="110">
        <v>11.39</v>
      </c>
      <c r="E67" s="110">
        <v>0.64</v>
      </c>
    </row>
    <row r="68" spans="1:5" x14ac:dyDescent="0.25">
      <c r="A68" s="109">
        <v>58</v>
      </c>
      <c r="B68" s="110">
        <v>11.74</v>
      </c>
      <c r="C68" s="110">
        <v>0.66</v>
      </c>
      <c r="D68" s="110">
        <v>11.74</v>
      </c>
      <c r="E68" s="110">
        <v>0.66</v>
      </c>
    </row>
    <row r="69" spans="1:5" x14ac:dyDescent="0.25">
      <c r="A69" s="109">
        <v>59</v>
      </c>
      <c r="B69" s="110">
        <v>12.1</v>
      </c>
      <c r="C69" s="110">
        <v>0.67</v>
      </c>
      <c r="D69" s="110">
        <v>12.1</v>
      </c>
      <c r="E69" s="110">
        <v>0.67</v>
      </c>
    </row>
    <row r="70" spans="1:5" x14ac:dyDescent="0.25">
      <c r="A70" s="109">
        <v>60</v>
      </c>
      <c r="B70" s="110">
        <v>12.48</v>
      </c>
      <c r="C70" s="110">
        <v>0.69</v>
      </c>
      <c r="D70" s="110">
        <v>12.48</v>
      </c>
      <c r="E70" s="110">
        <v>0.69</v>
      </c>
    </row>
    <row r="71" spans="1:5" x14ac:dyDescent="0.25">
      <c r="A71" s="109">
        <v>61</v>
      </c>
      <c r="B71" s="110">
        <v>12.88</v>
      </c>
      <c r="C71" s="110">
        <v>0.7</v>
      </c>
      <c r="D71" s="110">
        <v>12.88</v>
      </c>
      <c r="E71" s="110">
        <v>0.7</v>
      </c>
    </row>
    <row r="72" spans="1:5" x14ac:dyDescent="0.25">
      <c r="A72" s="109">
        <v>62</v>
      </c>
      <c r="B72" s="110">
        <v>13.29</v>
      </c>
      <c r="C72" s="110">
        <v>0.72</v>
      </c>
      <c r="D72" s="110">
        <v>13.29</v>
      </c>
      <c r="E72" s="110">
        <v>0.72</v>
      </c>
    </row>
    <row r="73" spans="1:5" x14ac:dyDescent="0.25">
      <c r="A73" s="109">
        <v>63</v>
      </c>
      <c r="B73" s="110">
        <v>13.74</v>
      </c>
      <c r="C73" s="110">
        <v>0.73</v>
      </c>
      <c r="D73" s="110">
        <v>13.74</v>
      </c>
      <c r="E73" s="110">
        <v>0.73</v>
      </c>
    </row>
    <row r="74" spans="1:5" x14ac:dyDescent="0.25">
      <c r="A74" s="109">
        <v>64</v>
      </c>
      <c r="B74" s="110">
        <v>14.21</v>
      </c>
      <c r="C74" s="110">
        <v>0.75</v>
      </c>
      <c r="D74" s="110">
        <v>14.21</v>
      </c>
      <c r="E74" s="110">
        <v>0.75</v>
      </c>
    </row>
    <row r="75" spans="1:5" x14ac:dyDescent="0.25">
      <c r="A75" s="109">
        <v>65</v>
      </c>
      <c r="B75" s="110">
        <v>14.71</v>
      </c>
      <c r="C75" s="110">
        <v>0.76</v>
      </c>
      <c r="D75" s="110">
        <v>14.71</v>
      </c>
      <c r="E75" s="110">
        <v>0.76</v>
      </c>
    </row>
    <row r="76" spans="1:5" x14ac:dyDescent="0.25">
      <c r="A76" s="109">
        <v>66</v>
      </c>
      <c r="B76" s="110">
        <v>15.24</v>
      </c>
      <c r="C76" s="110">
        <v>0.78</v>
      </c>
      <c r="D76" s="110">
        <v>15.24</v>
      </c>
      <c r="E76" s="110">
        <v>0.78</v>
      </c>
    </row>
    <row r="77" spans="1:5" x14ac:dyDescent="0.25">
      <c r="A77" s="109">
        <v>67</v>
      </c>
      <c r="B77" s="110">
        <v>15.82</v>
      </c>
      <c r="C77" s="110">
        <v>0.79</v>
      </c>
      <c r="D77" s="110">
        <v>15.82</v>
      </c>
      <c r="E77" s="110">
        <v>0.79</v>
      </c>
    </row>
    <row r="78" spans="1:5" x14ac:dyDescent="0.25">
      <c r="A78" s="109">
        <v>68</v>
      </c>
      <c r="B78" s="110">
        <v>15.82</v>
      </c>
      <c r="C78" s="110">
        <v>0.79</v>
      </c>
      <c r="D78" s="110">
        <v>15.82</v>
      </c>
      <c r="E78" s="110">
        <v>0.79</v>
      </c>
    </row>
    <row r="79" spans="1:5" x14ac:dyDescent="0.25">
      <c r="A79" s="109">
        <v>69</v>
      </c>
      <c r="B79" s="110">
        <v>15.21</v>
      </c>
      <c r="C79" s="110">
        <v>0.79</v>
      </c>
      <c r="D79" s="110">
        <v>15.21</v>
      </c>
      <c r="E79" s="110">
        <v>0.79</v>
      </c>
    </row>
    <row r="80" spans="1:5" x14ac:dyDescent="0.25">
      <c r="A80" s="109">
        <v>70</v>
      </c>
      <c r="B80" s="110">
        <v>14.6</v>
      </c>
      <c r="C80" s="110">
        <v>0.78</v>
      </c>
      <c r="D80" s="110">
        <v>14.6</v>
      </c>
      <c r="E80" s="110">
        <v>0.78</v>
      </c>
    </row>
    <row r="81" spans="1:5" x14ac:dyDescent="0.25">
      <c r="A81" s="109">
        <v>71</v>
      </c>
      <c r="B81" s="110">
        <v>14</v>
      </c>
      <c r="C81" s="110">
        <v>0.77</v>
      </c>
      <c r="D81" s="110">
        <v>14</v>
      </c>
      <c r="E81" s="110">
        <v>0.77</v>
      </c>
    </row>
    <row r="82" spans="1:5" x14ac:dyDescent="0.25">
      <c r="A82" s="109">
        <v>72</v>
      </c>
      <c r="B82" s="110">
        <v>13.4</v>
      </c>
      <c r="C82" s="110">
        <v>0.76</v>
      </c>
      <c r="D82" s="110">
        <v>13.4</v>
      </c>
      <c r="E82" s="110">
        <v>0.76</v>
      </c>
    </row>
    <row r="83" spans="1:5" x14ac:dyDescent="0.25">
      <c r="A83" s="109">
        <v>73</v>
      </c>
      <c r="B83" s="110">
        <v>12.82</v>
      </c>
      <c r="C83" s="110">
        <v>0.75</v>
      </c>
      <c r="D83" s="110">
        <v>12.82</v>
      </c>
      <c r="E83" s="110">
        <v>0.75</v>
      </c>
    </row>
    <row r="84" spans="1:5" x14ac:dyDescent="0.25">
      <c r="A84" s="109">
        <v>74</v>
      </c>
      <c r="B84" s="110">
        <v>12.24</v>
      </c>
      <c r="C84" s="110">
        <v>0.73</v>
      </c>
      <c r="D84" s="110">
        <v>12.24</v>
      </c>
      <c r="E84" s="110">
        <v>0.73</v>
      </c>
    </row>
    <row r="85" spans="1:5" x14ac:dyDescent="0.25">
      <c r="A85" s="109">
        <v>75</v>
      </c>
      <c r="B85" s="110">
        <v>11.96</v>
      </c>
      <c r="C85" s="110">
        <v>0.73</v>
      </c>
      <c r="D85" s="110">
        <v>11.96</v>
      </c>
      <c r="E85" s="110">
        <v>0.73</v>
      </c>
    </row>
  </sheetData>
  <conditionalFormatting sqref="A6:A21">
    <cfRule type="expression" dxfId="1007" priority="3" stopIfTrue="1">
      <formula>MOD(ROW(),2)=0</formula>
    </cfRule>
    <cfRule type="expression" dxfId="1006" priority="4" stopIfTrue="1">
      <formula>MOD(ROW(),2)&lt;&gt;0</formula>
    </cfRule>
  </conditionalFormatting>
  <conditionalFormatting sqref="A26:A85">
    <cfRule type="expression" dxfId="1005" priority="7" stopIfTrue="1">
      <formula>MOD(ROW(),2)=0</formula>
    </cfRule>
    <cfRule type="expression" dxfId="1004" priority="8" stopIfTrue="1">
      <formula>MOD(ROW(),2)&lt;&gt;0</formula>
    </cfRule>
  </conditionalFormatting>
  <conditionalFormatting sqref="B12">
    <cfRule type="expression" dxfId="1003" priority="13" stopIfTrue="1">
      <formula>MOD(ROW(),2)=0</formula>
    </cfRule>
    <cfRule type="expression" dxfId="1002" priority="14" stopIfTrue="1">
      <formula>MOD(ROW(),2)&lt;&gt;0</formula>
    </cfRule>
  </conditionalFormatting>
  <conditionalFormatting sqref="B17:B21">
    <cfRule type="expression" dxfId="1001" priority="1" stopIfTrue="1">
      <formula>MOD(ROW(),2)=0</formula>
    </cfRule>
    <cfRule type="expression" dxfId="1000" priority="2" stopIfTrue="1">
      <formula>MOD(ROW(),2)&lt;&gt;0</formula>
    </cfRule>
  </conditionalFormatting>
  <conditionalFormatting sqref="B6:E6">
    <cfRule type="expression" dxfId="999" priority="27" stopIfTrue="1">
      <formula>MOD(ROW(),2)=0</formula>
    </cfRule>
    <cfRule type="expression" dxfId="998" priority="28" stopIfTrue="1">
      <formula>MOD(ROW(),2)&lt;&gt;0</formula>
    </cfRule>
  </conditionalFormatting>
  <conditionalFormatting sqref="B6:E21">
    <cfRule type="expression" dxfId="997" priority="19" stopIfTrue="1">
      <formula>MOD(ROW(),2)=0</formula>
    </cfRule>
    <cfRule type="expression" dxfId="996" priority="20" stopIfTrue="1">
      <formula>MOD(ROW(),2)&lt;&gt;0</formula>
    </cfRule>
  </conditionalFormatting>
  <conditionalFormatting sqref="B26:E85">
    <cfRule type="expression" dxfId="995" priority="9" stopIfTrue="1">
      <formula>MOD(ROW(),2)=0</formula>
    </cfRule>
    <cfRule type="expression" dxfId="994" priority="10" stopIfTrue="1">
      <formula>MOD(ROW(),2)&lt;&gt;0</formula>
    </cfRule>
  </conditionalFormatting>
  <hyperlinks>
    <hyperlink ref="B24" location="Assumptions!A1" display="Assumptions" xr:uid="{D968FF0B-1407-41D1-93CA-2F0D10AE975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0"/>
  <dimension ref="A1:I70"/>
  <sheetViews>
    <sheetView workbookViewId="0"/>
  </sheetViews>
  <sheetFormatPr defaultColWidth="10" defaultRowHeight="12.5" x14ac:dyDescent="0.25"/>
  <cols>
    <col min="1" max="1" width="31.54296875" style="28" customWidth="1"/>
    <col min="2" max="9" width="22.54296875" style="28" customWidth="1"/>
    <col min="10"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Pensioner CE - x-301</v>
      </c>
      <c r="B3" s="56"/>
      <c r="C3" s="56"/>
      <c r="D3" s="56"/>
      <c r="E3" s="56"/>
      <c r="F3" s="56"/>
      <c r="G3" s="56"/>
      <c r="H3" s="56"/>
      <c r="I3" s="56"/>
    </row>
    <row r="4" spans="1:9" x14ac:dyDescent="0.25">
      <c r="A4" s="58"/>
    </row>
    <row r="6" spans="1:9" ht="13" x14ac:dyDescent="0.3">
      <c r="A6" s="86" t="s">
        <v>716</v>
      </c>
      <c r="B6" s="111" t="s">
        <v>717</v>
      </c>
      <c r="C6" s="111"/>
      <c r="D6" s="111"/>
      <c r="E6" s="111"/>
      <c r="F6" s="111"/>
      <c r="G6" s="111"/>
      <c r="H6" s="111"/>
      <c r="I6" s="111"/>
    </row>
    <row r="7" spans="1:9" x14ac:dyDescent="0.25">
      <c r="A7" s="87" t="s">
        <v>797</v>
      </c>
      <c r="B7" s="111" t="s">
        <v>316</v>
      </c>
      <c r="C7" s="111"/>
      <c r="D7" s="111"/>
      <c r="E7" s="111"/>
      <c r="F7" s="111"/>
      <c r="G7" s="111"/>
      <c r="H7" s="111"/>
      <c r="I7" s="111"/>
    </row>
    <row r="8" spans="1:9" x14ac:dyDescent="0.25">
      <c r="A8" s="87" t="s">
        <v>798</v>
      </c>
      <c r="B8" s="111" t="s">
        <v>92</v>
      </c>
      <c r="C8" s="111"/>
      <c r="D8" s="111"/>
      <c r="E8" s="111"/>
      <c r="F8" s="111"/>
      <c r="G8" s="111"/>
      <c r="H8" s="111"/>
      <c r="I8" s="111"/>
    </row>
    <row r="9" spans="1:9" x14ac:dyDescent="0.25">
      <c r="A9" s="87" t="s">
        <v>300</v>
      </c>
      <c r="B9" s="111" t="s">
        <v>387</v>
      </c>
      <c r="C9" s="111"/>
      <c r="D9" s="111"/>
      <c r="E9" s="111"/>
      <c r="F9" s="111"/>
      <c r="G9" s="111"/>
      <c r="H9" s="111"/>
      <c r="I9" s="111"/>
    </row>
    <row r="10" spans="1:9" x14ac:dyDescent="0.25">
      <c r="A10" s="87" t="s">
        <v>6</v>
      </c>
      <c r="B10" s="111" t="s">
        <v>388</v>
      </c>
      <c r="C10" s="111"/>
      <c r="D10" s="111"/>
      <c r="E10" s="111"/>
      <c r="F10" s="111"/>
      <c r="G10" s="111"/>
      <c r="H10" s="111"/>
      <c r="I10" s="111"/>
    </row>
    <row r="11" spans="1:9" x14ac:dyDescent="0.25">
      <c r="A11" s="87" t="s">
        <v>301</v>
      </c>
      <c r="B11" s="111" t="s">
        <v>334</v>
      </c>
      <c r="C11" s="111"/>
      <c r="D11" s="111"/>
      <c r="E11" s="111"/>
      <c r="F11" s="111"/>
      <c r="G11" s="111"/>
      <c r="H11" s="111"/>
      <c r="I11" s="111"/>
    </row>
    <row r="12" spans="1:9" x14ac:dyDescent="0.25">
      <c r="A12" s="87" t="s">
        <v>302</v>
      </c>
      <c r="B12" s="111" t="s">
        <v>335</v>
      </c>
      <c r="C12" s="111"/>
      <c r="D12" s="111"/>
      <c r="E12" s="111"/>
      <c r="F12" s="111"/>
      <c r="G12" s="111"/>
      <c r="H12" s="111"/>
      <c r="I12" s="111"/>
    </row>
    <row r="13" spans="1:9" x14ac:dyDescent="0.25">
      <c r="A13" s="87" t="s">
        <v>724</v>
      </c>
      <c r="B13" s="111">
        <v>0</v>
      </c>
      <c r="C13" s="111"/>
      <c r="D13" s="111"/>
      <c r="E13" s="111"/>
      <c r="F13" s="111"/>
      <c r="G13" s="111"/>
      <c r="H13" s="111"/>
      <c r="I13" s="111"/>
    </row>
    <row r="14" spans="1:9" x14ac:dyDescent="0.25">
      <c r="A14" s="87" t="s">
        <v>304</v>
      </c>
      <c r="B14" s="111">
        <v>301</v>
      </c>
      <c r="C14" s="111"/>
      <c r="D14" s="111"/>
      <c r="E14" s="111"/>
      <c r="F14" s="111"/>
      <c r="G14" s="111"/>
      <c r="H14" s="111"/>
      <c r="I14" s="111"/>
    </row>
    <row r="15" spans="1:9" x14ac:dyDescent="0.25">
      <c r="A15" s="87" t="s">
        <v>727</v>
      </c>
      <c r="B15" s="111" t="s">
        <v>389</v>
      </c>
      <c r="C15" s="111"/>
      <c r="D15" s="111"/>
      <c r="E15" s="111"/>
      <c r="F15" s="111"/>
      <c r="G15" s="111"/>
      <c r="H15" s="111"/>
      <c r="I15" s="111"/>
    </row>
    <row r="16" spans="1:9" x14ac:dyDescent="0.25">
      <c r="A16" s="87" t="s">
        <v>306</v>
      </c>
      <c r="B16" s="111" t="s">
        <v>390</v>
      </c>
      <c r="C16" s="111"/>
      <c r="D16" s="111"/>
      <c r="E16" s="111"/>
      <c r="F16" s="111"/>
      <c r="G16" s="111"/>
      <c r="H16" s="111"/>
      <c r="I16" s="111"/>
    </row>
    <row r="17" spans="1:9" x14ac:dyDescent="0.25">
      <c r="A17" s="94" t="s">
        <v>800</v>
      </c>
      <c r="B17" s="111"/>
      <c r="C17" s="111"/>
      <c r="D17" s="111"/>
      <c r="E17" s="111"/>
      <c r="F17" s="111"/>
      <c r="G17" s="111"/>
      <c r="H17" s="111"/>
      <c r="I17" s="111"/>
    </row>
    <row r="18" spans="1:9" x14ac:dyDescent="0.25">
      <c r="A18" s="87" t="s">
        <v>308</v>
      </c>
      <c r="B18" s="122">
        <v>45071</v>
      </c>
      <c r="C18" s="111"/>
      <c r="D18" s="111"/>
      <c r="E18" s="111"/>
      <c r="F18" s="111"/>
      <c r="G18" s="111"/>
      <c r="H18" s="111"/>
      <c r="I18" s="111"/>
    </row>
    <row r="19" spans="1:9" x14ac:dyDescent="0.25">
      <c r="A19" s="87" t="s">
        <v>309</v>
      </c>
      <c r="B19" s="122">
        <v>45014</v>
      </c>
      <c r="C19" s="111"/>
      <c r="D19" s="111"/>
      <c r="E19" s="111"/>
      <c r="F19" s="111"/>
      <c r="G19" s="111"/>
      <c r="H19" s="111"/>
      <c r="I19" s="111"/>
    </row>
    <row r="20" spans="1:9" x14ac:dyDescent="0.25">
      <c r="A20" s="87" t="s">
        <v>310</v>
      </c>
      <c r="B20" s="111" t="s">
        <v>324</v>
      </c>
      <c r="C20" s="111"/>
      <c r="D20" s="111"/>
      <c r="E20" s="111"/>
      <c r="F20" s="111"/>
      <c r="G20" s="111"/>
      <c r="H20" s="111"/>
      <c r="I20" s="111"/>
    </row>
    <row r="21" spans="1:9" x14ac:dyDescent="0.25">
      <c r="A21" s="87" t="s">
        <v>311</v>
      </c>
      <c r="B21" s="111" t="s">
        <v>325</v>
      </c>
      <c r="C21" s="111"/>
      <c r="D21" s="111"/>
      <c r="E21" s="111"/>
      <c r="F21" s="111"/>
      <c r="G21" s="111"/>
      <c r="H21" s="111"/>
      <c r="I21" s="111"/>
    </row>
    <row r="23" spans="1:9" x14ac:dyDescent="0.25">
      <c r="B23" s="104" t="str">
        <f>HYPERLINK("#'Factor List'!A1","Back to Factor List")</f>
        <v>Back to Factor List</v>
      </c>
    </row>
    <row r="24" spans="1:9" x14ac:dyDescent="0.25">
      <c r="B24" s="104" t="s">
        <v>13</v>
      </c>
    </row>
    <row r="26" spans="1:9" ht="39" x14ac:dyDescent="0.25">
      <c r="A26" s="108" t="s">
        <v>534</v>
      </c>
      <c r="B26" s="108" t="s">
        <v>819</v>
      </c>
      <c r="C26" s="108" t="s">
        <v>820</v>
      </c>
      <c r="D26" s="108" t="s">
        <v>821</v>
      </c>
      <c r="E26" s="108" t="s">
        <v>822</v>
      </c>
      <c r="F26" s="108" t="s">
        <v>823</v>
      </c>
      <c r="G26" s="108" t="s">
        <v>824</v>
      </c>
      <c r="H26" s="108" t="s">
        <v>825</v>
      </c>
      <c r="I26" s="108" t="s">
        <v>826</v>
      </c>
    </row>
    <row r="27" spans="1:9" x14ac:dyDescent="0.25">
      <c r="A27" s="109">
        <v>55</v>
      </c>
      <c r="B27" s="110">
        <v>23.73</v>
      </c>
      <c r="C27" s="110">
        <v>2.35</v>
      </c>
      <c r="D27" s="110"/>
      <c r="E27" s="110"/>
      <c r="F27" s="110">
        <v>23.73</v>
      </c>
      <c r="G27" s="110">
        <v>2.35</v>
      </c>
      <c r="H27" s="110"/>
      <c r="I27" s="110"/>
    </row>
    <row r="28" spans="1:9" x14ac:dyDescent="0.25">
      <c r="A28" s="109">
        <v>56</v>
      </c>
      <c r="B28" s="110">
        <v>23.14</v>
      </c>
      <c r="C28" s="110">
        <v>2.37</v>
      </c>
      <c r="D28" s="110"/>
      <c r="E28" s="110"/>
      <c r="F28" s="110">
        <v>23.14</v>
      </c>
      <c r="G28" s="110">
        <v>2.37</v>
      </c>
      <c r="H28" s="110"/>
      <c r="I28" s="110"/>
    </row>
    <row r="29" spans="1:9" x14ac:dyDescent="0.25">
      <c r="A29" s="109">
        <v>57</v>
      </c>
      <c r="B29" s="110">
        <v>22.55</v>
      </c>
      <c r="C29" s="110">
        <v>2.38</v>
      </c>
      <c r="D29" s="110"/>
      <c r="E29" s="110"/>
      <c r="F29" s="110">
        <v>22.55</v>
      </c>
      <c r="G29" s="110">
        <v>2.38</v>
      </c>
      <c r="H29" s="110"/>
      <c r="I29" s="110"/>
    </row>
    <row r="30" spans="1:9" x14ac:dyDescent="0.25">
      <c r="A30" s="109">
        <v>58</v>
      </c>
      <c r="B30" s="110">
        <v>21.95</v>
      </c>
      <c r="C30" s="110">
        <v>2.39</v>
      </c>
      <c r="D30" s="110"/>
      <c r="E30" s="110"/>
      <c r="F30" s="110">
        <v>21.95</v>
      </c>
      <c r="G30" s="110">
        <v>2.39</v>
      </c>
      <c r="H30" s="110"/>
      <c r="I30" s="110"/>
    </row>
    <row r="31" spans="1:9" x14ac:dyDescent="0.25">
      <c r="A31" s="109">
        <v>59</v>
      </c>
      <c r="B31" s="110">
        <v>21.35</v>
      </c>
      <c r="C31" s="110">
        <v>2.4</v>
      </c>
      <c r="D31" s="110"/>
      <c r="E31" s="110"/>
      <c r="F31" s="110">
        <v>21.35</v>
      </c>
      <c r="G31" s="110">
        <v>2.4</v>
      </c>
      <c r="H31" s="110"/>
      <c r="I31" s="110"/>
    </row>
    <row r="32" spans="1:9" x14ac:dyDescent="0.25">
      <c r="A32" s="109">
        <v>60</v>
      </c>
      <c r="B32" s="110">
        <v>20.74</v>
      </c>
      <c r="C32" s="110">
        <v>2.41</v>
      </c>
      <c r="D32" s="110"/>
      <c r="E32" s="110"/>
      <c r="F32" s="110">
        <v>20.74</v>
      </c>
      <c r="G32" s="110">
        <v>2.41</v>
      </c>
      <c r="H32" s="110"/>
      <c r="I32" s="110"/>
    </row>
    <row r="33" spans="1:9" x14ac:dyDescent="0.25">
      <c r="A33" s="109">
        <v>61</v>
      </c>
      <c r="B33" s="110">
        <v>20.13</v>
      </c>
      <c r="C33" s="110">
        <v>2.42</v>
      </c>
      <c r="D33" s="110"/>
      <c r="E33" s="110"/>
      <c r="F33" s="110">
        <v>20.13</v>
      </c>
      <c r="G33" s="110">
        <v>2.42</v>
      </c>
      <c r="H33" s="110"/>
      <c r="I33" s="110"/>
    </row>
    <row r="34" spans="1:9" x14ac:dyDescent="0.25">
      <c r="A34" s="109">
        <v>62</v>
      </c>
      <c r="B34" s="110">
        <v>19.52</v>
      </c>
      <c r="C34" s="110">
        <v>2.42</v>
      </c>
      <c r="D34" s="110"/>
      <c r="E34" s="110"/>
      <c r="F34" s="110">
        <v>19.52</v>
      </c>
      <c r="G34" s="110">
        <v>2.42</v>
      </c>
      <c r="H34" s="110"/>
      <c r="I34" s="110"/>
    </row>
    <row r="35" spans="1:9" x14ac:dyDescent="0.25">
      <c r="A35" s="109">
        <v>63</v>
      </c>
      <c r="B35" s="110">
        <v>18.899999999999999</v>
      </c>
      <c r="C35" s="110">
        <v>2.42</v>
      </c>
      <c r="D35" s="110"/>
      <c r="E35" s="110"/>
      <c r="F35" s="110">
        <v>18.899999999999999</v>
      </c>
      <c r="G35" s="110">
        <v>2.42</v>
      </c>
      <c r="H35" s="110"/>
      <c r="I35" s="110"/>
    </row>
    <row r="36" spans="1:9" x14ac:dyDescent="0.25">
      <c r="A36" s="109">
        <v>64</v>
      </c>
      <c r="B36" s="110">
        <v>18.28</v>
      </c>
      <c r="C36" s="110">
        <v>2.39</v>
      </c>
      <c r="D36" s="110"/>
      <c r="E36" s="110"/>
      <c r="F36" s="110">
        <v>18.28</v>
      </c>
      <c r="G36" s="110">
        <v>2.39</v>
      </c>
      <c r="H36" s="110"/>
      <c r="I36" s="110"/>
    </row>
    <row r="37" spans="1:9" x14ac:dyDescent="0.25">
      <c r="A37" s="109">
        <v>65</v>
      </c>
      <c r="B37" s="110">
        <v>17.670000000000002</v>
      </c>
      <c r="C37" s="110">
        <v>2.35</v>
      </c>
      <c r="D37" s="110"/>
      <c r="E37" s="110"/>
      <c r="F37" s="110">
        <v>17.670000000000002</v>
      </c>
      <c r="G37" s="110">
        <v>2.35</v>
      </c>
      <c r="H37" s="110"/>
      <c r="I37" s="110"/>
    </row>
    <row r="38" spans="1:9" x14ac:dyDescent="0.25">
      <c r="A38" s="109">
        <v>66</v>
      </c>
      <c r="B38" s="110">
        <v>17.05</v>
      </c>
      <c r="C38" s="110">
        <v>2.34</v>
      </c>
      <c r="D38" s="110"/>
      <c r="E38" s="110"/>
      <c r="F38" s="110">
        <v>17.05</v>
      </c>
      <c r="G38" s="110">
        <v>2.34</v>
      </c>
      <c r="H38" s="110"/>
      <c r="I38" s="110"/>
    </row>
    <row r="39" spans="1:9" x14ac:dyDescent="0.25">
      <c r="A39" s="109">
        <v>67</v>
      </c>
      <c r="B39" s="110">
        <v>16.43</v>
      </c>
      <c r="C39" s="110">
        <v>2.33</v>
      </c>
      <c r="D39" s="110"/>
      <c r="E39" s="110"/>
      <c r="F39" s="110">
        <v>16.43</v>
      </c>
      <c r="G39" s="110">
        <v>2.33</v>
      </c>
      <c r="H39" s="110"/>
      <c r="I39" s="110"/>
    </row>
    <row r="40" spans="1:9" x14ac:dyDescent="0.25">
      <c r="A40" s="109">
        <v>68</v>
      </c>
      <c r="B40" s="110">
        <v>15.79</v>
      </c>
      <c r="C40" s="110">
        <v>2.3199999999999998</v>
      </c>
      <c r="D40" s="110"/>
      <c r="E40" s="110"/>
      <c r="F40" s="110">
        <v>15.79</v>
      </c>
      <c r="G40" s="110">
        <v>2.3199999999999998</v>
      </c>
      <c r="H40" s="110"/>
      <c r="I40" s="110"/>
    </row>
    <row r="41" spans="1:9" x14ac:dyDescent="0.25">
      <c r="A41" s="109">
        <v>69</v>
      </c>
      <c r="B41" s="110">
        <v>15.13</v>
      </c>
      <c r="C41" s="110">
        <v>2.2400000000000002</v>
      </c>
      <c r="D41" s="110">
        <v>3</v>
      </c>
      <c r="E41" s="110">
        <v>0.99</v>
      </c>
      <c r="F41" s="110">
        <v>15.13</v>
      </c>
      <c r="G41" s="110">
        <v>2.2400000000000002</v>
      </c>
      <c r="H41" s="110">
        <v>2.62</v>
      </c>
      <c r="I41" s="110">
        <v>0.9</v>
      </c>
    </row>
    <row r="42" spans="1:9" x14ac:dyDescent="0.25">
      <c r="A42" s="109">
        <v>70</v>
      </c>
      <c r="B42" s="110">
        <v>14.47</v>
      </c>
      <c r="C42" s="110">
        <v>2.16</v>
      </c>
      <c r="D42" s="110">
        <v>2.79</v>
      </c>
      <c r="E42" s="110">
        <v>0.92</v>
      </c>
      <c r="F42" s="110">
        <v>14.47</v>
      </c>
      <c r="G42" s="110">
        <v>2.16</v>
      </c>
      <c r="H42" s="110">
        <v>2.4300000000000002</v>
      </c>
      <c r="I42" s="110">
        <v>0.83</v>
      </c>
    </row>
    <row r="43" spans="1:9" x14ac:dyDescent="0.25">
      <c r="A43" s="109">
        <v>71</v>
      </c>
      <c r="B43" s="110">
        <v>13.82</v>
      </c>
      <c r="C43" s="110">
        <v>2.14</v>
      </c>
      <c r="D43" s="110">
        <v>2.59</v>
      </c>
      <c r="E43" s="110">
        <v>0.85</v>
      </c>
      <c r="F43" s="110">
        <v>13.82</v>
      </c>
      <c r="G43" s="110">
        <v>2.14</v>
      </c>
      <c r="H43" s="110">
        <v>2.2400000000000002</v>
      </c>
      <c r="I43" s="110">
        <v>0.77</v>
      </c>
    </row>
    <row r="44" spans="1:9" x14ac:dyDescent="0.25">
      <c r="A44" s="109">
        <v>72</v>
      </c>
      <c r="B44" s="110">
        <v>13.19</v>
      </c>
      <c r="C44" s="110">
        <v>2.11</v>
      </c>
      <c r="D44" s="110">
        <v>2.41</v>
      </c>
      <c r="E44" s="110">
        <v>0.79</v>
      </c>
      <c r="F44" s="110">
        <v>13.19</v>
      </c>
      <c r="G44" s="110">
        <v>2.11</v>
      </c>
      <c r="H44" s="110">
        <v>2.06</v>
      </c>
      <c r="I44" s="110">
        <v>0.7</v>
      </c>
    </row>
    <row r="45" spans="1:9" x14ac:dyDescent="0.25">
      <c r="A45" s="109">
        <v>73</v>
      </c>
      <c r="B45" s="110">
        <v>12.57</v>
      </c>
      <c r="C45" s="110">
        <v>2.08</v>
      </c>
      <c r="D45" s="110">
        <v>2.23</v>
      </c>
      <c r="E45" s="110">
        <v>0.73</v>
      </c>
      <c r="F45" s="110">
        <v>12.57</v>
      </c>
      <c r="G45" s="110">
        <v>2.08</v>
      </c>
      <c r="H45" s="110">
        <v>1.89</v>
      </c>
      <c r="I45" s="110">
        <v>0.64</v>
      </c>
    </row>
    <row r="46" spans="1:9" x14ac:dyDescent="0.25">
      <c r="A46" s="109">
        <v>74</v>
      </c>
      <c r="B46" s="110">
        <v>11.96</v>
      </c>
      <c r="C46" s="110">
        <v>1.94</v>
      </c>
      <c r="D46" s="110">
        <v>2.04</v>
      </c>
      <c r="E46" s="110">
        <v>0.66</v>
      </c>
      <c r="F46" s="110">
        <v>11.96</v>
      </c>
      <c r="G46" s="110">
        <v>1.94</v>
      </c>
      <c r="H46" s="110">
        <v>1.73</v>
      </c>
      <c r="I46" s="110">
        <v>0.57999999999999996</v>
      </c>
    </row>
    <row r="47" spans="1:9" x14ac:dyDescent="0.25">
      <c r="A47" s="109">
        <v>75</v>
      </c>
      <c r="B47" s="110">
        <v>11.37</v>
      </c>
      <c r="C47" s="110">
        <v>1.8</v>
      </c>
      <c r="D47" s="110">
        <v>1.86</v>
      </c>
      <c r="E47" s="110">
        <v>0.6</v>
      </c>
      <c r="F47" s="110">
        <v>11.37</v>
      </c>
      <c r="G47" s="110">
        <v>1.8</v>
      </c>
      <c r="H47" s="110">
        <v>1.57</v>
      </c>
      <c r="I47" s="110">
        <v>0.53</v>
      </c>
    </row>
    <row r="48" spans="1:9" x14ac:dyDescent="0.25">
      <c r="A48" s="109">
        <v>76</v>
      </c>
      <c r="B48" s="110">
        <v>10.78</v>
      </c>
      <c r="C48" s="110">
        <v>1.76</v>
      </c>
      <c r="D48" s="110">
        <v>1.71</v>
      </c>
      <c r="E48" s="110">
        <v>0.55000000000000004</v>
      </c>
      <c r="F48" s="110">
        <v>10.78</v>
      </c>
      <c r="G48" s="110">
        <v>1.76</v>
      </c>
      <c r="H48" s="110">
        <v>1.43</v>
      </c>
      <c r="I48" s="110">
        <v>0.48</v>
      </c>
    </row>
    <row r="49" spans="1:9" x14ac:dyDescent="0.25">
      <c r="A49" s="109">
        <v>77</v>
      </c>
      <c r="B49" s="110">
        <v>10.199999999999999</v>
      </c>
      <c r="C49" s="110">
        <v>1.72</v>
      </c>
      <c r="D49" s="110">
        <v>1.56</v>
      </c>
      <c r="E49" s="110">
        <v>0.5</v>
      </c>
      <c r="F49" s="110">
        <v>10.199999999999999</v>
      </c>
      <c r="G49" s="110">
        <v>1.72</v>
      </c>
      <c r="H49" s="110">
        <v>1.29</v>
      </c>
      <c r="I49" s="110">
        <v>0.43</v>
      </c>
    </row>
    <row r="50" spans="1:9" x14ac:dyDescent="0.25">
      <c r="A50" s="109">
        <v>78</v>
      </c>
      <c r="B50" s="110">
        <v>9.6300000000000008</v>
      </c>
      <c r="C50" s="110">
        <v>1.67</v>
      </c>
      <c r="D50" s="110">
        <v>1.42</v>
      </c>
      <c r="E50" s="110">
        <v>0.46</v>
      </c>
      <c r="F50" s="110">
        <v>9.6300000000000008</v>
      </c>
      <c r="G50" s="110">
        <v>1.67</v>
      </c>
      <c r="H50" s="110">
        <v>1.17</v>
      </c>
      <c r="I50" s="110">
        <v>0.39</v>
      </c>
    </row>
    <row r="51" spans="1:9" x14ac:dyDescent="0.25">
      <c r="A51" s="109">
        <v>79</v>
      </c>
      <c r="B51" s="110">
        <v>9.08</v>
      </c>
      <c r="C51" s="110">
        <v>1.5</v>
      </c>
      <c r="D51" s="110">
        <v>1.27</v>
      </c>
      <c r="E51" s="110">
        <v>0.41</v>
      </c>
      <c r="F51" s="110">
        <v>9.08</v>
      </c>
      <c r="G51" s="110">
        <v>1.5</v>
      </c>
      <c r="H51" s="110">
        <v>1.05</v>
      </c>
      <c r="I51" s="110">
        <v>0.35</v>
      </c>
    </row>
    <row r="52" spans="1:9" x14ac:dyDescent="0.25">
      <c r="A52" s="109">
        <v>80</v>
      </c>
      <c r="B52" s="110">
        <v>8.5500000000000007</v>
      </c>
      <c r="C52" s="110">
        <v>1.32</v>
      </c>
      <c r="D52" s="110">
        <v>1.1399999999999999</v>
      </c>
      <c r="E52" s="110">
        <v>0.36</v>
      </c>
      <c r="F52" s="110">
        <v>8.5500000000000007</v>
      </c>
      <c r="G52" s="110">
        <v>1.32</v>
      </c>
      <c r="H52" s="110">
        <v>0.94</v>
      </c>
      <c r="I52" s="110">
        <v>0.31</v>
      </c>
    </row>
    <row r="53" spans="1:9" x14ac:dyDescent="0.25">
      <c r="A53" s="109">
        <v>81</v>
      </c>
      <c r="B53" s="110">
        <v>8.0299999999999994</v>
      </c>
      <c r="C53" s="110">
        <v>1.27</v>
      </c>
      <c r="D53" s="110">
        <v>1.03</v>
      </c>
      <c r="E53" s="110">
        <v>0.33</v>
      </c>
      <c r="F53" s="110">
        <v>8.0299999999999994</v>
      </c>
      <c r="G53" s="110">
        <v>1.27</v>
      </c>
      <c r="H53" s="110">
        <v>0.84</v>
      </c>
      <c r="I53" s="110">
        <v>0.27</v>
      </c>
    </row>
    <row r="54" spans="1:9" x14ac:dyDescent="0.25">
      <c r="A54" s="109">
        <v>82</v>
      </c>
      <c r="B54" s="110">
        <v>7.53</v>
      </c>
      <c r="C54" s="110">
        <v>1.22</v>
      </c>
      <c r="D54" s="110">
        <v>0.92</v>
      </c>
      <c r="E54" s="110">
        <v>0.28999999999999998</v>
      </c>
      <c r="F54" s="110">
        <v>7.53</v>
      </c>
      <c r="G54" s="110">
        <v>1.22</v>
      </c>
      <c r="H54" s="110">
        <v>0.74</v>
      </c>
      <c r="I54" s="110">
        <v>0.24</v>
      </c>
    </row>
    <row r="55" spans="1:9" x14ac:dyDescent="0.25">
      <c r="A55" s="109">
        <v>83</v>
      </c>
      <c r="B55" s="110">
        <v>7.05</v>
      </c>
      <c r="C55" s="110">
        <v>1.17</v>
      </c>
      <c r="D55" s="110">
        <v>0.83</v>
      </c>
      <c r="E55" s="110">
        <v>0.26</v>
      </c>
      <c r="F55" s="110">
        <v>7.05</v>
      </c>
      <c r="G55" s="110">
        <v>1.17</v>
      </c>
      <c r="H55" s="110">
        <v>0.66</v>
      </c>
      <c r="I55" s="110">
        <v>0.21</v>
      </c>
    </row>
    <row r="56" spans="1:9" x14ac:dyDescent="0.25">
      <c r="A56" s="109">
        <v>84</v>
      </c>
      <c r="B56" s="110">
        <v>6.59</v>
      </c>
      <c r="C56" s="110">
        <v>0.99</v>
      </c>
      <c r="D56" s="110">
        <v>0.73</v>
      </c>
      <c r="E56" s="110">
        <v>0.23</v>
      </c>
      <c r="F56" s="110">
        <v>6.59</v>
      </c>
      <c r="G56" s="110">
        <v>0.99</v>
      </c>
      <c r="H56" s="110">
        <v>0.57999999999999996</v>
      </c>
      <c r="I56" s="110">
        <v>0.19</v>
      </c>
    </row>
    <row r="57" spans="1:9" x14ac:dyDescent="0.25">
      <c r="A57" s="109">
        <v>85</v>
      </c>
      <c r="B57" s="110">
        <v>6.15</v>
      </c>
      <c r="C57" s="110">
        <v>0.83</v>
      </c>
      <c r="D57" s="110">
        <v>0.63</v>
      </c>
      <c r="E57" s="110">
        <v>0.2</v>
      </c>
      <c r="F57" s="110">
        <v>6.15</v>
      </c>
      <c r="G57" s="110">
        <v>0.83</v>
      </c>
      <c r="H57" s="110">
        <v>0.51</v>
      </c>
      <c r="I57" s="110">
        <v>0.16</v>
      </c>
    </row>
    <row r="58" spans="1:9" x14ac:dyDescent="0.25">
      <c r="A58" s="109">
        <v>86</v>
      </c>
      <c r="B58" s="110">
        <v>5.73</v>
      </c>
      <c r="C58" s="110">
        <v>0.78</v>
      </c>
      <c r="D58" s="110">
        <v>0.56000000000000005</v>
      </c>
      <c r="E58" s="110">
        <v>0.18</v>
      </c>
      <c r="F58" s="110">
        <v>5.73</v>
      </c>
      <c r="G58" s="110">
        <v>0.78</v>
      </c>
      <c r="H58" s="110">
        <v>0.45</v>
      </c>
      <c r="I58" s="110">
        <v>0.14000000000000001</v>
      </c>
    </row>
    <row r="59" spans="1:9" x14ac:dyDescent="0.25">
      <c r="A59" s="109">
        <v>87</v>
      </c>
      <c r="B59" s="110">
        <v>5.33</v>
      </c>
      <c r="C59" s="110">
        <v>0.74</v>
      </c>
      <c r="D59" s="110">
        <v>0.5</v>
      </c>
      <c r="E59" s="110">
        <v>0.16</v>
      </c>
      <c r="F59" s="110">
        <v>5.33</v>
      </c>
      <c r="G59" s="110">
        <v>0.74</v>
      </c>
      <c r="H59" s="110">
        <v>0.39</v>
      </c>
      <c r="I59" s="110">
        <v>0.12</v>
      </c>
    </row>
    <row r="60" spans="1:9" x14ac:dyDescent="0.25">
      <c r="A60" s="109">
        <v>88</v>
      </c>
      <c r="B60" s="110">
        <v>4.95</v>
      </c>
      <c r="C60" s="110">
        <v>0.69</v>
      </c>
      <c r="D60" s="110">
        <v>0.44</v>
      </c>
      <c r="E60" s="110">
        <v>0.14000000000000001</v>
      </c>
      <c r="F60" s="110">
        <v>4.95</v>
      </c>
      <c r="G60" s="110">
        <v>0.69</v>
      </c>
      <c r="H60" s="110">
        <v>0.34</v>
      </c>
      <c r="I60" s="110">
        <v>0.11</v>
      </c>
    </row>
    <row r="61" spans="1:9" x14ac:dyDescent="0.25">
      <c r="A61" s="109">
        <v>89</v>
      </c>
      <c r="B61" s="110">
        <v>4.59</v>
      </c>
      <c r="C61" s="110">
        <v>0.55000000000000004</v>
      </c>
      <c r="D61" s="110">
        <v>0.38</v>
      </c>
      <c r="E61" s="110">
        <v>0.12</v>
      </c>
      <c r="F61" s="110">
        <v>4.59</v>
      </c>
      <c r="G61" s="110">
        <v>0.55000000000000004</v>
      </c>
      <c r="H61" s="110">
        <v>0.3</v>
      </c>
      <c r="I61" s="110">
        <v>0.09</v>
      </c>
    </row>
    <row r="62" spans="1:9" x14ac:dyDescent="0.25">
      <c r="A62" s="109">
        <v>90</v>
      </c>
      <c r="B62" s="110">
        <v>4.26</v>
      </c>
      <c r="C62" s="110">
        <v>0.41</v>
      </c>
      <c r="D62" s="110">
        <v>0.32</v>
      </c>
      <c r="E62" s="110">
        <v>0.1</v>
      </c>
      <c r="F62" s="110">
        <v>4.26</v>
      </c>
      <c r="G62" s="110">
        <v>0.41</v>
      </c>
      <c r="H62" s="110">
        <v>0.26</v>
      </c>
      <c r="I62" s="110">
        <v>0.08</v>
      </c>
    </row>
    <row r="63" spans="1:9" x14ac:dyDescent="0.25">
      <c r="A63" s="109">
        <v>91</v>
      </c>
      <c r="B63" s="110">
        <v>3.94</v>
      </c>
      <c r="C63" s="110">
        <v>0.38</v>
      </c>
      <c r="D63" s="110">
        <v>0.28000000000000003</v>
      </c>
      <c r="E63" s="110">
        <v>0.09</v>
      </c>
      <c r="F63" s="110">
        <v>3.94</v>
      </c>
      <c r="G63" s="110">
        <v>0.38</v>
      </c>
      <c r="H63" s="110">
        <v>0.22</v>
      </c>
      <c r="I63" s="110">
        <v>7.0000000000000007E-2</v>
      </c>
    </row>
    <row r="64" spans="1:9" x14ac:dyDescent="0.25">
      <c r="A64" s="109">
        <v>92</v>
      </c>
      <c r="B64" s="110">
        <v>3.65</v>
      </c>
      <c r="C64" s="110">
        <v>0.35</v>
      </c>
      <c r="D64" s="110">
        <v>0.25</v>
      </c>
      <c r="E64" s="110">
        <v>0.08</v>
      </c>
      <c r="F64" s="110">
        <v>3.65</v>
      </c>
      <c r="G64" s="110">
        <v>0.35</v>
      </c>
      <c r="H64" s="110">
        <v>0.19</v>
      </c>
      <c r="I64" s="110">
        <v>0.06</v>
      </c>
    </row>
    <row r="65" spans="1:9" x14ac:dyDescent="0.25">
      <c r="A65" s="109">
        <v>93</v>
      </c>
      <c r="B65" s="110">
        <v>3.39</v>
      </c>
      <c r="C65" s="110">
        <v>0.33</v>
      </c>
      <c r="D65" s="110">
        <v>0.22</v>
      </c>
      <c r="E65" s="110">
        <v>7.0000000000000007E-2</v>
      </c>
      <c r="F65" s="110">
        <v>3.39</v>
      </c>
      <c r="G65" s="110">
        <v>0.33</v>
      </c>
      <c r="H65" s="110">
        <v>0.16</v>
      </c>
      <c r="I65" s="110">
        <v>0.05</v>
      </c>
    </row>
    <row r="66" spans="1:9" x14ac:dyDescent="0.25">
      <c r="A66" s="109">
        <v>94</v>
      </c>
      <c r="B66" s="110">
        <v>3.15</v>
      </c>
      <c r="C66" s="110">
        <v>0.3</v>
      </c>
      <c r="D66" s="110">
        <v>0.19</v>
      </c>
      <c r="E66" s="110">
        <v>0.06</v>
      </c>
      <c r="F66" s="110">
        <v>3.15</v>
      </c>
      <c r="G66" s="110">
        <v>0.3</v>
      </c>
      <c r="H66" s="110">
        <v>0.14000000000000001</v>
      </c>
      <c r="I66" s="110">
        <v>0.04</v>
      </c>
    </row>
    <row r="67" spans="1:9" x14ac:dyDescent="0.25">
      <c r="A67" s="109">
        <v>95</v>
      </c>
      <c r="B67" s="110">
        <v>2.93</v>
      </c>
      <c r="C67" s="110">
        <v>0.28000000000000003</v>
      </c>
      <c r="D67" s="110">
        <v>0.17</v>
      </c>
      <c r="E67" s="110">
        <v>0.05</v>
      </c>
      <c r="F67" s="110">
        <v>2.93</v>
      </c>
      <c r="G67" s="110">
        <v>0.28000000000000003</v>
      </c>
      <c r="H67" s="110">
        <v>0.12</v>
      </c>
      <c r="I67" s="110">
        <v>0.04</v>
      </c>
    </row>
    <row r="68" spans="1:9" x14ac:dyDescent="0.25">
      <c r="A68" s="109">
        <v>96</v>
      </c>
      <c r="B68" s="110">
        <v>2.73</v>
      </c>
      <c r="C68" s="110">
        <v>0.26</v>
      </c>
      <c r="D68" s="110">
        <v>0.15</v>
      </c>
      <c r="E68" s="110">
        <v>0.05</v>
      </c>
      <c r="F68" s="110">
        <v>2.73</v>
      </c>
      <c r="G68" s="110">
        <v>0.26</v>
      </c>
      <c r="H68" s="110">
        <v>0.11</v>
      </c>
      <c r="I68" s="110">
        <v>0.03</v>
      </c>
    </row>
    <row r="69" spans="1:9" x14ac:dyDescent="0.25">
      <c r="A69" s="109">
        <v>97</v>
      </c>
      <c r="B69" s="110">
        <v>2.56</v>
      </c>
      <c r="C69" s="110">
        <v>0.24</v>
      </c>
      <c r="D69" s="110">
        <v>0.14000000000000001</v>
      </c>
      <c r="E69" s="110">
        <v>0.04</v>
      </c>
      <c r="F69" s="110">
        <v>2.56</v>
      </c>
      <c r="G69" s="110">
        <v>0.24</v>
      </c>
      <c r="H69" s="110">
        <v>0.09</v>
      </c>
      <c r="I69" s="110">
        <v>0.03</v>
      </c>
    </row>
    <row r="70" spans="1:9" x14ac:dyDescent="0.25">
      <c r="A70" s="109">
        <v>98</v>
      </c>
      <c r="B70" s="110">
        <v>2.41</v>
      </c>
      <c r="C70" s="110">
        <v>0.22</v>
      </c>
      <c r="D70" s="110">
        <v>0.12</v>
      </c>
      <c r="E70" s="110">
        <v>0.04</v>
      </c>
      <c r="F70" s="110">
        <v>2.41</v>
      </c>
      <c r="G70" s="110">
        <v>0.22</v>
      </c>
      <c r="H70" s="110">
        <v>0.08</v>
      </c>
      <c r="I70" s="110">
        <v>0.03</v>
      </c>
    </row>
  </sheetData>
  <conditionalFormatting sqref="A6:A21">
    <cfRule type="expression" dxfId="993" priority="3" stopIfTrue="1">
      <formula>MOD(ROW(),2)=0</formula>
    </cfRule>
    <cfRule type="expression" dxfId="992" priority="4" stopIfTrue="1">
      <formula>MOD(ROW(),2)&lt;&gt;0</formula>
    </cfRule>
  </conditionalFormatting>
  <conditionalFormatting sqref="A26:A70">
    <cfRule type="expression" dxfId="991" priority="7" stopIfTrue="1">
      <formula>MOD(ROW(),2)=0</formula>
    </cfRule>
    <cfRule type="expression" dxfId="990" priority="8" stopIfTrue="1">
      <formula>MOD(ROW(),2)&lt;&gt;0</formula>
    </cfRule>
  </conditionalFormatting>
  <conditionalFormatting sqref="B12">
    <cfRule type="expression" dxfId="989" priority="15" stopIfTrue="1">
      <formula>MOD(ROW(),2)=0</formula>
    </cfRule>
    <cfRule type="expression" dxfId="988" priority="16" stopIfTrue="1">
      <formula>MOD(ROW(),2)&lt;&gt;0</formula>
    </cfRule>
  </conditionalFormatting>
  <conditionalFormatting sqref="B18:B21">
    <cfRule type="expression" dxfId="987" priority="1" stopIfTrue="1">
      <formula>MOD(ROW(),2)=0</formula>
    </cfRule>
    <cfRule type="expression" dxfId="986" priority="2" stopIfTrue="1">
      <formula>MOD(ROW(),2)&lt;&gt;0</formula>
    </cfRule>
  </conditionalFormatting>
  <conditionalFormatting sqref="B6:I6 C7:I7 C12:I12 B13:I17 C18:I21">
    <cfRule type="expression" dxfId="985" priority="39" stopIfTrue="1">
      <formula>MOD(ROW(),2)=0</formula>
    </cfRule>
    <cfRule type="expression" dxfId="984" priority="40" stopIfTrue="1">
      <formula>MOD(ROW(),2)&lt;&gt;0</formula>
    </cfRule>
  </conditionalFormatting>
  <conditionalFormatting sqref="B6:I21">
    <cfRule type="expression" dxfId="983" priority="25" stopIfTrue="1">
      <formula>MOD(ROW(),2)=0</formula>
    </cfRule>
    <cfRule type="expression" dxfId="982" priority="26" stopIfTrue="1">
      <formula>MOD(ROW(),2)&lt;&gt;0</formula>
    </cfRule>
  </conditionalFormatting>
  <conditionalFormatting sqref="B8:I11">
    <cfRule type="expression" dxfId="981" priority="31" stopIfTrue="1">
      <formula>MOD(ROW(),2)=0</formula>
    </cfRule>
    <cfRule type="expression" dxfId="980" priority="32" stopIfTrue="1">
      <formula>MOD(ROW(),2)&lt;&gt;0</formula>
    </cfRule>
  </conditionalFormatting>
  <conditionalFormatting sqref="B26:I70">
    <cfRule type="expression" dxfId="979" priority="9" stopIfTrue="1">
      <formula>MOD(ROW(),2)=0</formula>
    </cfRule>
    <cfRule type="expression" dxfId="978" priority="10" stopIfTrue="1">
      <formula>MOD(ROW(),2)&lt;&gt;0</formula>
    </cfRule>
  </conditionalFormatting>
  <hyperlinks>
    <hyperlink ref="B24" location="Assumptions!A1" display="Assumptions" xr:uid="{F923DA13-DC32-4C80-8404-3220F61CAB5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I105"/>
  <sheetViews>
    <sheetView workbookViewId="0"/>
  </sheetViews>
  <sheetFormatPr defaultColWidth="10" defaultRowHeight="12.5" x14ac:dyDescent="0.25"/>
  <cols>
    <col min="1" max="1" width="31.54296875" style="28" customWidth="1"/>
    <col min="2" max="9" width="22.54296875" style="28" customWidth="1"/>
    <col min="10"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Pensioner CE - x-302</v>
      </c>
      <c r="B3" s="56"/>
      <c r="C3" s="56"/>
      <c r="D3" s="56"/>
      <c r="E3" s="56"/>
      <c r="F3" s="56"/>
      <c r="G3" s="56"/>
      <c r="H3" s="56"/>
      <c r="I3" s="56"/>
    </row>
    <row r="4" spans="1:9" x14ac:dyDescent="0.25">
      <c r="A4" s="58"/>
    </row>
    <row r="6" spans="1:9" ht="13" x14ac:dyDescent="0.3">
      <c r="A6" s="86" t="s">
        <v>716</v>
      </c>
      <c r="B6" s="111" t="s">
        <v>717</v>
      </c>
      <c r="C6" s="111"/>
      <c r="D6" s="111"/>
      <c r="E6" s="111"/>
      <c r="F6" s="111"/>
      <c r="G6" s="111"/>
      <c r="H6" s="111"/>
      <c r="I6" s="111"/>
    </row>
    <row r="7" spans="1:9" x14ac:dyDescent="0.25">
      <c r="A7" s="87" t="s">
        <v>797</v>
      </c>
      <c r="B7" s="111" t="s">
        <v>316</v>
      </c>
      <c r="C7" s="111"/>
      <c r="D7" s="111"/>
      <c r="E7" s="111"/>
      <c r="F7" s="111"/>
      <c r="G7" s="111"/>
      <c r="H7" s="111"/>
      <c r="I7" s="111"/>
    </row>
    <row r="8" spans="1:9" x14ac:dyDescent="0.25">
      <c r="A8" s="87" t="s">
        <v>798</v>
      </c>
      <c r="B8" s="111" t="s">
        <v>92</v>
      </c>
      <c r="C8" s="111"/>
      <c r="D8" s="111"/>
      <c r="E8" s="111"/>
      <c r="F8" s="111"/>
      <c r="G8" s="111"/>
      <c r="H8" s="111"/>
      <c r="I8" s="111"/>
    </row>
    <row r="9" spans="1:9" x14ac:dyDescent="0.25">
      <c r="A9" s="87" t="s">
        <v>300</v>
      </c>
      <c r="B9" s="111" t="s">
        <v>387</v>
      </c>
      <c r="C9" s="111"/>
      <c r="D9" s="111"/>
      <c r="E9" s="111"/>
      <c r="F9" s="111"/>
      <c r="G9" s="111"/>
      <c r="H9" s="111"/>
      <c r="I9" s="111"/>
    </row>
    <row r="10" spans="1:9" x14ac:dyDescent="0.25">
      <c r="A10" s="87" t="s">
        <v>6</v>
      </c>
      <c r="B10" s="111" t="s">
        <v>391</v>
      </c>
      <c r="C10" s="111"/>
      <c r="D10" s="111"/>
      <c r="E10" s="111"/>
      <c r="F10" s="111"/>
      <c r="G10" s="111"/>
      <c r="H10" s="111"/>
      <c r="I10" s="111"/>
    </row>
    <row r="11" spans="1:9" x14ac:dyDescent="0.25">
      <c r="A11" s="87" t="s">
        <v>301</v>
      </c>
      <c r="B11" s="111" t="s">
        <v>334</v>
      </c>
      <c r="C11" s="111"/>
      <c r="D11" s="111"/>
      <c r="E11" s="111"/>
      <c r="F11" s="111"/>
      <c r="G11" s="111"/>
      <c r="H11" s="111"/>
      <c r="I11" s="111"/>
    </row>
    <row r="12" spans="1:9" x14ac:dyDescent="0.25">
      <c r="A12" s="87" t="s">
        <v>302</v>
      </c>
      <c r="B12" s="111" t="s">
        <v>335</v>
      </c>
      <c r="C12" s="111"/>
      <c r="D12" s="111"/>
      <c r="E12" s="111"/>
      <c r="F12" s="111"/>
      <c r="G12" s="111"/>
      <c r="H12" s="111"/>
      <c r="I12" s="111"/>
    </row>
    <row r="13" spans="1:9" x14ac:dyDescent="0.25">
      <c r="A13" s="87" t="s">
        <v>724</v>
      </c>
      <c r="B13" s="111">
        <v>0</v>
      </c>
      <c r="C13" s="111"/>
      <c r="D13" s="111"/>
      <c r="E13" s="111"/>
      <c r="F13" s="111"/>
      <c r="G13" s="111"/>
      <c r="H13" s="111"/>
      <c r="I13" s="111"/>
    </row>
    <row r="14" spans="1:9" x14ac:dyDescent="0.25">
      <c r="A14" s="87" t="s">
        <v>304</v>
      </c>
      <c r="B14" s="111">
        <v>302</v>
      </c>
      <c r="C14" s="111"/>
      <c r="D14" s="111"/>
      <c r="E14" s="111"/>
      <c r="F14" s="111"/>
      <c r="G14" s="111"/>
      <c r="H14" s="111"/>
      <c r="I14" s="111"/>
    </row>
    <row r="15" spans="1:9" x14ac:dyDescent="0.25">
      <c r="A15" s="87" t="s">
        <v>727</v>
      </c>
      <c r="B15" s="111" t="s">
        <v>392</v>
      </c>
      <c r="C15" s="111"/>
      <c r="D15" s="111"/>
      <c r="E15" s="111"/>
      <c r="F15" s="111"/>
      <c r="G15" s="111"/>
      <c r="H15" s="111"/>
      <c r="I15" s="111"/>
    </row>
    <row r="16" spans="1:9" x14ac:dyDescent="0.25">
      <c r="A16" s="87" t="s">
        <v>306</v>
      </c>
      <c r="B16" s="111" t="s">
        <v>393</v>
      </c>
      <c r="C16" s="111"/>
      <c r="D16" s="111"/>
      <c r="E16" s="111"/>
      <c r="F16" s="111"/>
      <c r="G16" s="111"/>
      <c r="H16" s="111"/>
      <c r="I16" s="111"/>
    </row>
    <row r="17" spans="1:9" x14ac:dyDescent="0.25">
      <c r="A17" s="94" t="s">
        <v>800</v>
      </c>
      <c r="B17" s="111"/>
      <c r="C17" s="111"/>
      <c r="D17" s="111"/>
      <c r="E17" s="111"/>
      <c r="F17" s="111"/>
      <c r="G17" s="111"/>
      <c r="H17" s="111"/>
      <c r="I17" s="111"/>
    </row>
    <row r="18" spans="1:9" x14ac:dyDescent="0.25">
      <c r="A18" s="87" t="s">
        <v>308</v>
      </c>
      <c r="B18" s="122">
        <v>45071</v>
      </c>
      <c r="C18" s="111"/>
      <c r="D18" s="111"/>
      <c r="E18" s="111"/>
      <c r="F18" s="111"/>
      <c r="G18" s="111"/>
      <c r="H18" s="111"/>
      <c r="I18" s="111"/>
    </row>
    <row r="19" spans="1:9" x14ac:dyDescent="0.25">
      <c r="A19" s="87" t="s">
        <v>309</v>
      </c>
      <c r="B19" s="122">
        <v>45014</v>
      </c>
      <c r="C19" s="111"/>
      <c r="D19" s="111"/>
      <c r="E19" s="111"/>
      <c r="F19" s="111"/>
      <c r="G19" s="111"/>
      <c r="H19" s="111"/>
      <c r="I19" s="111"/>
    </row>
    <row r="20" spans="1:9" x14ac:dyDescent="0.25">
      <c r="A20" s="87" t="s">
        <v>310</v>
      </c>
      <c r="B20" s="111" t="s">
        <v>324</v>
      </c>
      <c r="C20" s="111"/>
      <c r="D20" s="111"/>
      <c r="E20" s="111"/>
      <c r="F20" s="111"/>
      <c r="G20" s="111"/>
      <c r="H20" s="111"/>
      <c r="I20" s="111"/>
    </row>
    <row r="21" spans="1:9" x14ac:dyDescent="0.25">
      <c r="A21" s="87" t="s">
        <v>311</v>
      </c>
      <c r="B21" s="111" t="s">
        <v>325</v>
      </c>
      <c r="C21" s="111"/>
      <c r="D21" s="111"/>
      <c r="E21" s="111"/>
      <c r="F21" s="111"/>
      <c r="G21" s="111"/>
      <c r="H21" s="111"/>
      <c r="I21" s="111"/>
    </row>
    <row r="23" spans="1:9" x14ac:dyDescent="0.25">
      <c r="B23" s="104" t="str">
        <f>HYPERLINK("#'Factor List'!A1","Back to Factor List")</f>
        <v>Back to Factor List</v>
      </c>
    </row>
    <row r="24" spans="1:9" x14ac:dyDescent="0.25">
      <c r="B24" s="104" t="s">
        <v>13</v>
      </c>
    </row>
    <row r="26" spans="1:9" ht="39" x14ac:dyDescent="0.25">
      <c r="A26" s="108" t="s">
        <v>534</v>
      </c>
      <c r="B26" s="108" t="s">
        <v>819</v>
      </c>
      <c r="C26" s="108" t="s">
        <v>820</v>
      </c>
      <c r="D26" s="108" t="s">
        <v>821</v>
      </c>
      <c r="E26" s="108" t="s">
        <v>822</v>
      </c>
      <c r="F26" s="108" t="s">
        <v>823</v>
      </c>
      <c r="G26" s="108" t="s">
        <v>824</v>
      </c>
      <c r="H26" s="108" t="s">
        <v>825</v>
      </c>
      <c r="I26" s="108" t="s">
        <v>826</v>
      </c>
    </row>
    <row r="27" spans="1:9" x14ac:dyDescent="0.25">
      <c r="A27" s="109">
        <v>20</v>
      </c>
      <c r="B27" s="110">
        <v>40.07</v>
      </c>
      <c r="C27" s="110">
        <v>1.53</v>
      </c>
      <c r="D27" s="110"/>
      <c r="E27" s="110"/>
      <c r="F27" s="110">
        <v>40.07</v>
      </c>
      <c r="G27" s="110">
        <v>1.53</v>
      </c>
      <c r="H27" s="110"/>
      <c r="I27" s="110"/>
    </row>
    <row r="28" spans="1:9" x14ac:dyDescent="0.25">
      <c r="A28" s="109">
        <v>21</v>
      </c>
      <c r="B28" s="110">
        <v>39.71</v>
      </c>
      <c r="C28" s="110">
        <v>1.55</v>
      </c>
      <c r="D28" s="110"/>
      <c r="E28" s="110"/>
      <c r="F28" s="110">
        <v>39.71</v>
      </c>
      <c r="G28" s="110">
        <v>1.55</v>
      </c>
      <c r="H28" s="110"/>
      <c r="I28" s="110"/>
    </row>
    <row r="29" spans="1:9" x14ac:dyDescent="0.25">
      <c r="A29" s="109">
        <v>22</v>
      </c>
      <c r="B29" s="110">
        <v>39.36</v>
      </c>
      <c r="C29" s="110">
        <v>1.58</v>
      </c>
      <c r="D29" s="110"/>
      <c r="E29" s="110"/>
      <c r="F29" s="110">
        <v>39.36</v>
      </c>
      <c r="G29" s="110">
        <v>1.58</v>
      </c>
      <c r="H29" s="110"/>
      <c r="I29" s="110"/>
    </row>
    <row r="30" spans="1:9" x14ac:dyDescent="0.25">
      <c r="A30" s="109">
        <v>23</v>
      </c>
      <c r="B30" s="110">
        <v>38.99</v>
      </c>
      <c r="C30" s="110">
        <v>1.6</v>
      </c>
      <c r="D30" s="110"/>
      <c r="E30" s="110"/>
      <c r="F30" s="110">
        <v>38.99</v>
      </c>
      <c r="G30" s="110">
        <v>1.6</v>
      </c>
      <c r="H30" s="110"/>
      <c r="I30" s="110"/>
    </row>
    <row r="31" spans="1:9" x14ac:dyDescent="0.25">
      <c r="A31" s="109">
        <v>24</v>
      </c>
      <c r="B31" s="110">
        <v>38.619999999999997</v>
      </c>
      <c r="C31" s="110">
        <v>1.63</v>
      </c>
      <c r="D31" s="110"/>
      <c r="E31" s="110"/>
      <c r="F31" s="110">
        <v>38.619999999999997</v>
      </c>
      <c r="G31" s="110">
        <v>1.63</v>
      </c>
      <c r="H31" s="110"/>
      <c r="I31" s="110"/>
    </row>
    <row r="32" spans="1:9" x14ac:dyDescent="0.25">
      <c r="A32" s="109">
        <v>25</v>
      </c>
      <c r="B32" s="110">
        <v>38.24</v>
      </c>
      <c r="C32" s="110">
        <v>1.65</v>
      </c>
      <c r="D32" s="110"/>
      <c r="E32" s="110"/>
      <c r="F32" s="110">
        <v>38.24</v>
      </c>
      <c r="G32" s="110">
        <v>1.65</v>
      </c>
      <c r="H32" s="110"/>
      <c r="I32" s="110"/>
    </row>
    <row r="33" spans="1:9" x14ac:dyDescent="0.25">
      <c r="A33" s="109">
        <v>26</v>
      </c>
      <c r="B33" s="110">
        <v>37.86</v>
      </c>
      <c r="C33" s="110">
        <v>1.68</v>
      </c>
      <c r="D33" s="110"/>
      <c r="E33" s="110"/>
      <c r="F33" s="110">
        <v>37.86</v>
      </c>
      <c r="G33" s="110">
        <v>1.68</v>
      </c>
      <c r="H33" s="110"/>
      <c r="I33" s="110"/>
    </row>
    <row r="34" spans="1:9" x14ac:dyDescent="0.25">
      <c r="A34" s="109">
        <v>27</v>
      </c>
      <c r="B34" s="110">
        <v>37.47</v>
      </c>
      <c r="C34" s="110">
        <v>1.71</v>
      </c>
      <c r="D34" s="110"/>
      <c r="E34" s="110"/>
      <c r="F34" s="110">
        <v>37.47</v>
      </c>
      <c r="G34" s="110">
        <v>1.71</v>
      </c>
      <c r="H34" s="110"/>
      <c r="I34" s="110"/>
    </row>
    <row r="35" spans="1:9" x14ac:dyDescent="0.25">
      <c r="A35" s="109">
        <v>28</v>
      </c>
      <c r="B35" s="110">
        <v>37.07</v>
      </c>
      <c r="C35" s="110">
        <v>1.73</v>
      </c>
      <c r="D35" s="110"/>
      <c r="E35" s="110"/>
      <c r="F35" s="110">
        <v>37.07</v>
      </c>
      <c r="G35" s="110">
        <v>1.73</v>
      </c>
      <c r="H35" s="110"/>
      <c r="I35" s="110"/>
    </row>
    <row r="36" spans="1:9" x14ac:dyDescent="0.25">
      <c r="A36" s="109">
        <v>29</v>
      </c>
      <c r="B36" s="110">
        <v>36.67</v>
      </c>
      <c r="C36" s="110">
        <v>1.76</v>
      </c>
      <c r="D36" s="110"/>
      <c r="E36" s="110"/>
      <c r="F36" s="110">
        <v>36.67</v>
      </c>
      <c r="G36" s="110">
        <v>1.76</v>
      </c>
      <c r="H36" s="110"/>
      <c r="I36" s="110"/>
    </row>
    <row r="37" spans="1:9" x14ac:dyDescent="0.25">
      <c r="A37" s="109">
        <v>30</v>
      </c>
      <c r="B37" s="110">
        <v>36.26</v>
      </c>
      <c r="C37" s="110">
        <v>1.79</v>
      </c>
      <c r="D37" s="110"/>
      <c r="E37" s="110"/>
      <c r="F37" s="110">
        <v>36.26</v>
      </c>
      <c r="G37" s="110">
        <v>1.79</v>
      </c>
      <c r="H37" s="110"/>
      <c r="I37" s="110"/>
    </row>
    <row r="38" spans="1:9" x14ac:dyDescent="0.25">
      <c r="A38" s="109">
        <v>31</v>
      </c>
      <c r="B38" s="110">
        <v>35.840000000000003</v>
      </c>
      <c r="C38" s="110">
        <v>1.81</v>
      </c>
      <c r="D38" s="110"/>
      <c r="E38" s="110"/>
      <c r="F38" s="110">
        <v>35.840000000000003</v>
      </c>
      <c r="G38" s="110">
        <v>1.81</v>
      </c>
      <c r="H38" s="110"/>
      <c r="I38" s="110"/>
    </row>
    <row r="39" spans="1:9" x14ac:dyDescent="0.25">
      <c r="A39" s="109">
        <v>32</v>
      </c>
      <c r="B39" s="110">
        <v>35.42</v>
      </c>
      <c r="C39" s="110">
        <v>1.84</v>
      </c>
      <c r="D39" s="110"/>
      <c r="E39" s="110"/>
      <c r="F39" s="110">
        <v>35.42</v>
      </c>
      <c r="G39" s="110">
        <v>1.84</v>
      </c>
      <c r="H39" s="110"/>
      <c r="I39" s="110"/>
    </row>
    <row r="40" spans="1:9" x14ac:dyDescent="0.25">
      <c r="A40" s="109">
        <v>33</v>
      </c>
      <c r="B40" s="110">
        <v>34.99</v>
      </c>
      <c r="C40" s="110">
        <v>1.87</v>
      </c>
      <c r="D40" s="110"/>
      <c r="E40" s="110"/>
      <c r="F40" s="110">
        <v>34.99</v>
      </c>
      <c r="G40" s="110">
        <v>1.87</v>
      </c>
      <c r="H40" s="110"/>
      <c r="I40" s="110"/>
    </row>
    <row r="41" spans="1:9" x14ac:dyDescent="0.25">
      <c r="A41" s="109">
        <v>34</v>
      </c>
      <c r="B41" s="110">
        <v>34.549999999999997</v>
      </c>
      <c r="C41" s="110">
        <v>1.89</v>
      </c>
      <c r="D41" s="110"/>
      <c r="E41" s="110"/>
      <c r="F41" s="110">
        <v>34.549999999999997</v>
      </c>
      <c r="G41" s="110">
        <v>1.89</v>
      </c>
      <c r="H41" s="110"/>
      <c r="I41" s="110"/>
    </row>
    <row r="42" spans="1:9" x14ac:dyDescent="0.25">
      <c r="A42" s="109">
        <v>35</v>
      </c>
      <c r="B42" s="110">
        <v>34.1</v>
      </c>
      <c r="C42" s="110">
        <v>1.92</v>
      </c>
      <c r="D42" s="110"/>
      <c r="E42" s="110"/>
      <c r="F42" s="110">
        <v>34.1</v>
      </c>
      <c r="G42" s="110">
        <v>1.92</v>
      </c>
      <c r="H42" s="110"/>
      <c r="I42" s="110"/>
    </row>
    <row r="43" spans="1:9" x14ac:dyDescent="0.25">
      <c r="A43" s="109">
        <v>36</v>
      </c>
      <c r="B43" s="110">
        <v>33.65</v>
      </c>
      <c r="C43" s="110">
        <v>1.94</v>
      </c>
      <c r="D43" s="110"/>
      <c r="E43" s="110"/>
      <c r="F43" s="110">
        <v>33.65</v>
      </c>
      <c r="G43" s="110">
        <v>1.94</v>
      </c>
      <c r="H43" s="110"/>
      <c r="I43" s="110"/>
    </row>
    <row r="44" spans="1:9" x14ac:dyDescent="0.25">
      <c r="A44" s="109">
        <v>37</v>
      </c>
      <c r="B44" s="110">
        <v>33.200000000000003</v>
      </c>
      <c r="C44" s="110">
        <v>1.97</v>
      </c>
      <c r="D44" s="110"/>
      <c r="E44" s="110"/>
      <c r="F44" s="110">
        <v>33.200000000000003</v>
      </c>
      <c r="G44" s="110">
        <v>1.97</v>
      </c>
      <c r="H44" s="110"/>
      <c r="I44" s="110"/>
    </row>
    <row r="45" spans="1:9" x14ac:dyDescent="0.25">
      <c r="A45" s="109">
        <v>38</v>
      </c>
      <c r="B45" s="110">
        <v>32.729999999999997</v>
      </c>
      <c r="C45" s="110">
        <v>1.99</v>
      </c>
      <c r="D45" s="110"/>
      <c r="E45" s="110"/>
      <c r="F45" s="110">
        <v>32.729999999999997</v>
      </c>
      <c r="G45" s="110">
        <v>1.99</v>
      </c>
      <c r="H45" s="110"/>
      <c r="I45" s="110"/>
    </row>
    <row r="46" spans="1:9" x14ac:dyDescent="0.25">
      <c r="A46" s="109">
        <v>39</v>
      </c>
      <c r="B46" s="110">
        <v>32.26</v>
      </c>
      <c r="C46" s="110">
        <v>2.02</v>
      </c>
      <c r="D46" s="110"/>
      <c r="E46" s="110"/>
      <c r="F46" s="110">
        <v>32.26</v>
      </c>
      <c r="G46" s="110">
        <v>2.02</v>
      </c>
      <c r="H46" s="110"/>
      <c r="I46" s="110"/>
    </row>
    <row r="47" spans="1:9" x14ac:dyDescent="0.25">
      <c r="A47" s="109">
        <v>40</v>
      </c>
      <c r="B47" s="110">
        <v>31.78</v>
      </c>
      <c r="C47" s="110">
        <v>2.04</v>
      </c>
      <c r="D47" s="110"/>
      <c r="E47" s="110"/>
      <c r="F47" s="110">
        <v>31.78</v>
      </c>
      <c r="G47" s="110">
        <v>2.04</v>
      </c>
      <c r="H47" s="110"/>
      <c r="I47" s="110"/>
    </row>
    <row r="48" spans="1:9" x14ac:dyDescent="0.25">
      <c r="A48" s="109">
        <v>41</v>
      </c>
      <c r="B48" s="110">
        <v>31.29</v>
      </c>
      <c r="C48" s="110">
        <v>2.0699999999999998</v>
      </c>
      <c r="D48" s="110"/>
      <c r="E48" s="110"/>
      <c r="F48" s="110">
        <v>31.29</v>
      </c>
      <c r="G48" s="110">
        <v>2.0699999999999998</v>
      </c>
      <c r="H48" s="110"/>
      <c r="I48" s="110"/>
    </row>
    <row r="49" spans="1:9" x14ac:dyDescent="0.25">
      <c r="A49" s="109">
        <v>42</v>
      </c>
      <c r="B49" s="110">
        <v>30.8</v>
      </c>
      <c r="C49" s="110">
        <v>2.09</v>
      </c>
      <c r="D49" s="110"/>
      <c r="E49" s="110"/>
      <c r="F49" s="110">
        <v>30.8</v>
      </c>
      <c r="G49" s="110">
        <v>2.09</v>
      </c>
      <c r="H49" s="110"/>
      <c r="I49" s="110"/>
    </row>
    <row r="50" spans="1:9" x14ac:dyDescent="0.25">
      <c r="A50" s="109">
        <v>43</v>
      </c>
      <c r="B50" s="110">
        <v>30.3</v>
      </c>
      <c r="C50" s="110">
        <v>2.12</v>
      </c>
      <c r="D50" s="110"/>
      <c r="E50" s="110"/>
      <c r="F50" s="110">
        <v>30.3</v>
      </c>
      <c r="G50" s="110">
        <v>2.12</v>
      </c>
      <c r="H50" s="110"/>
      <c r="I50" s="110"/>
    </row>
    <row r="51" spans="1:9" x14ac:dyDescent="0.25">
      <c r="A51" s="109">
        <v>44</v>
      </c>
      <c r="B51" s="110">
        <v>29.79</v>
      </c>
      <c r="C51" s="110">
        <v>2.14</v>
      </c>
      <c r="D51" s="110"/>
      <c r="E51" s="110"/>
      <c r="F51" s="110">
        <v>29.79</v>
      </c>
      <c r="G51" s="110">
        <v>2.14</v>
      </c>
      <c r="H51" s="110"/>
      <c r="I51" s="110"/>
    </row>
    <row r="52" spans="1:9" x14ac:dyDescent="0.25">
      <c r="A52" s="109">
        <v>45</v>
      </c>
      <c r="B52" s="110">
        <v>29.27</v>
      </c>
      <c r="C52" s="110">
        <v>2.16</v>
      </c>
      <c r="D52" s="110"/>
      <c r="E52" s="110"/>
      <c r="F52" s="110">
        <v>29.27</v>
      </c>
      <c r="G52" s="110">
        <v>2.16</v>
      </c>
      <c r="H52" s="110"/>
      <c r="I52" s="110"/>
    </row>
    <row r="53" spans="1:9" x14ac:dyDescent="0.25">
      <c r="A53" s="109">
        <v>46</v>
      </c>
      <c r="B53" s="110">
        <v>28.75</v>
      </c>
      <c r="C53" s="110">
        <v>2.1800000000000002</v>
      </c>
      <c r="D53" s="110"/>
      <c r="E53" s="110"/>
      <c r="F53" s="110">
        <v>28.75</v>
      </c>
      <c r="G53" s="110">
        <v>2.1800000000000002</v>
      </c>
      <c r="H53" s="110"/>
      <c r="I53" s="110"/>
    </row>
    <row r="54" spans="1:9" x14ac:dyDescent="0.25">
      <c r="A54" s="109">
        <v>47</v>
      </c>
      <c r="B54" s="110">
        <v>28.22</v>
      </c>
      <c r="C54" s="110">
        <v>2.21</v>
      </c>
      <c r="D54" s="110"/>
      <c r="E54" s="110"/>
      <c r="F54" s="110">
        <v>28.22</v>
      </c>
      <c r="G54" s="110">
        <v>2.21</v>
      </c>
      <c r="H54" s="110"/>
      <c r="I54" s="110"/>
    </row>
    <row r="55" spans="1:9" x14ac:dyDescent="0.25">
      <c r="A55" s="109">
        <v>48</v>
      </c>
      <c r="B55" s="110">
        <v>27.68</v>
      </c>
      <c r="C55" s="110">
        <v>2.23</v>
      </c>
      <c r="D55" s="110"/>
      <c r="E55" s="110"/>
      <c r="F55" s="110">
        <v>27.68</v>
      </c>
      <c r="G55" s="110">
        <v>2.23</v>
      </c>
      <c r="H55" s="110"/>
      <c r="I55" s="110"/>
    </row>
    <row r="56" spans="1:9" x14ac:dyDescent="0.25">
      <c r="A56" s="109">
        <v>49</v>
      </c>
      <c r="B56" s="110">
        <v>27.14</v>
      </c>
      <c r="C56" s="110">
        <v>2.25</v>
      </c>
      <c r="D56" s="110"/>
      <c r="E56" s="110"/>
      <c r="F56" s="110">
        <v>27.14</v>
      </c>
      <c r="G56" s="110">
        <v>2.25</v>
      </c>
      <c r="H56" s="110"/>
      <c r="I56" s="110"/>
    </row>
    <row r="57" spans="1:9" x14ac:dyDescent="0.25">
      <c r="A57" s="109">
        <v>50</v>
      </c>
      <c r="B57" s="110">
        <v>26.59</v>
      </c>
      <c r="C57" s="110">
        <v>2.27</v>
      </c>
      <c r="D57" s="110"/>
      <c r="E57" s="110"/>
      <c r="F57" s="110">
        <v>26.59</v>
      </c>
      <c r="G57" s="110">
        <v>2.27</v>
      </c>
      <c r="H57" s="110"/>
      <c r="I57" s="110"/>
    </row>
    <row r="58" spans="1:9" x14ac:dyDescent="0.25">
      <c r="A58" s="109">
        <v>51</v>
      </c>
      <c r="B58" s="110">
        <v>26.03</v>
      </c>
      <c r="C58" s="110">
        <v>2.29</v>
      </c>
      <c r="D58" s="110"/>
      <c r="E58" s="110"/>
      <c r="F58" s="110">
        <v>26.03</v>
      </c>
      <c r="G58" s="110">
        <v>2.29</v>
      </c>
      <c r="H58" s="110"/>
      <c r="I58" s="110"/>
    </row>
    <row r="59" spans="1:9" x14ac:dyDescent="0.25">
      <c r="A59" s="109">
        <v>52</v>
      </c>
      <c r="B59" s="110">
        <v>25.47</v>
      </c>
      <c r="C59" s="110">
        <v>2.2999999999999998</v>
      </c>
      <c r="D59" s="110"/>
      <c r="E59" s="110"/>
      <c r="F59" s="110">
        <v>25.47</v>
      </c>
      <c r="G59" s="110">
        <v>2.2999999999999998</v>
      </c>
      <c r="H59" s="110"/>
      <c r="I59" s="110"/>
    </row>
    <row r="60" spans="1:9" x14ac:dyDescent="0.25">
      <c r="A60" s="109">
        <v>53</v>
      </c>
      <c r="B60" s="110">
        <v>24.9</v>
      </c>
      <c r="C60" s="110">
        <v>2.3199999999999998</v>
      </c>
      <c r="D60" s="110"/>
      <c r="E60" s="110"/>
      <c r="F60" s="110">
        <v>24.9</v>
      </c>
      <c r="G60" s="110">
        <v>2.3199999999999998</v>
      </c>
      <c r="H60" s="110"/>
      <c r="I60" s="110"/>
    </row>
    <row r="61" spans="1:9" x14ac:dyDescent="0.25">
      <c r="A61" s="109">
        <v>54</v>
      </c>
      <c r="B61" s="110">
        <v>24.32</v>
      </c>
      <c r="C61" s="110">
        <v>2.34</v>
      </c>
      <c r="D61" s="110"/>
      <c r="E61" s="110"/>
      <c r="F61" s="110">
        <v>24.32</v>
      </c>
      <c r="G61" s="110">
        <v>2.34</v>
      </c>
      <c r="H61" s="110"/>
      <c r="I61" s="110"/>
    </row>
    <row r="62" spans="1:9" x14ac:dyDescent="0.25">
      <c r="A62" s="109">
        <v>55</v>
      </c>
      <c r="B62" s="110">
        <v>23.73</v>
      </c>
      <c r="C62" s="110">
        <v>2.35</v>
      </c>
      <c r="D62" s="110"/>
      <c r="E62" s="110"/>
      <c r="F62" s="110">
        <v>23.73</v>
      </c>
      <c r="G62" s="110">
        <v>2.35</v>
      </c>
      <c r="H62" s="110"/>
      <c r="I62" s="110"/>
    </row>
    <row r="63" spans="1:9" x14ac:dyDescent="0.25">
      <c r="A63" s="109">
        <v>56</v>
      </c>
      <c r="B63" s="110">
        <v>23.14</v>
      </c>
      <c r="C63" s="110">
        <v>2.37</v>
      </c>
      <c r="D63" s="110"/>
      <c r="E63" s="110"/>
      <c r="F63" s="110">
        <v>23.14</v>
      </c>
      <c r="G63" s="110">
        <v>2.37</v>
      </c>
      <c r="H63" s="110"/>
      <c r="I63" s="110"/>
    </row>
    <row r="64" spans="1:9" x14ac:dyDescent="0.25">
      <c r="A64" s="109">
        <v>57</v>
      </c>
      <c r="B64" s="110">
        <v>22.55</v>
      </c>
      <c r="C64" s="110">
        <v>2.38</v>
      </c>
      <c r="D64" s="110"/>
      <c r="E64" s="110"/>
      <c r="F64" s="110">
        <v>22.55</v>
      </c>
      <c r="G64" s="110">
        <v>2.38</v>
      </c>
      <c r="H64" s="110"/>
      <c r="I64" s="110"/>
    </row>
    <row r="65" spans="1:9" x14ac:dyDescent="0.25">
      <c r="A65" s="109">
        <v>58</v>
      </c>
      <c r="B65" s="110">
        <v>21.95</v>
      </c>
      <c r="C65" s="110">
        <v>2.39</v>
      </c>
      <c r="D65" s="110"/>
      <c r="E65" s="110"/>
      <c r="F65" s="110">
        <v>21.95</v>
      </c>
      <c r="G65" s="110">
        <v>2.39</v>
      </c>
      <c r="H65" s="110"/>
      <c r="I65" s="110"/>
    </row>
    <row r="66" spans="1:9" x14ac:dyDescent="0.25">
      <c r="A66" s="109">
        <v>59</v>
      </c>
      <c r="B66" s="110">
        <v>21.35</v>
      </c>
      <c r="C66" s="110">
        <v>2.4</v>
      </c>
      <c r="D66" s="110"/>
      <c r="E66" s="110"/>
      <c r="F66" s="110">
        <v>21.35</v>
      </c>
      <c r="G66" s="110">
        <v>2.4</v>
      </c>
      <c r="H66" s="110"/>
      <c r="I66" s="110"/>
    </row>
    <row r="67" spans="1:9" x14ac:dyDescent="0.25">
      <c r="A67" s="109">
        <v>60</v>
      </c>
      <c r="B67" s="110">
        <v>20.74</v>
      </c>
      <c r="C67" s="110">
        <v>2.41</v>
      </c>
      <c r="D67" s="110"/>
      <c r="E67" s="110"/>
      <c r="F67" s="110">
        <v>20.74</v>
      </c>
      <c r="G67" s="110">
        <v>2.41</v>
      </c>
      <c r="H67" s="110"/>
      <c r="I67" s="110"/>
    </row>
    <row r="68" spans="1:9" x14ac:dyDescent="0.25">
      <c r="A68" s="109">
        <v>61</v>
      </c>
      <c r="B68" s="110">
        <v>20.13</v>
      </c>
      <c r="C68" s="110">
        <v>2.42</v>
      </c>
      <c r="D68" s="110"/>
      <c r="E68" s="110"/>
      <c r="F68" s="110">
        <v>20.13</v>
      </c>
      <c r="G68" s="110">
        <v>2.42</v>
      </c>
      <c r="H68" s="110"/>
      <c r="I68" s="110"/>
    </row>
    <row r="69" spans="1:9" x14ac:dyDescent="0.25">
      <c r="A69" s="109">
        <v>62</v>
      </c>
      <c r="B69" s="110">
        <v>19.52</v>
      </c>
      <c r="C69" s="110">
        <v>2.42</v>
      </c>
      <c r="D69" s="110"/>
      <c r="E69" s="110"/>
      <c r="F69" s="110">
        <v>19.52</v>
      </c>
      <c r="G69" s="110">
        <v>2.42</v>
      </c>
      <c r="H69" s="110"/>
      <c r="I69" s="110"/>
    </row>
    <row r="70" spans="1:9" x14ac:dyDescent="0.25">
      <c r="A70" s="109">
        <v>63</v>
      </c>
      <c r="B70" s="110">
        <v>18.899999999999999</v>
      </c>
      <c r="C70" s="110">
        <v>2.42</v>
      </c>
      <c r="D70" s="110"/>
      <c r="E70" s="110"/>
      <c r="F70" s="110">
        <v>18.899999999999999</v>
      </c>
      <c r="G70" s="110">
        <v>2.42</v>
      </c>
      <c r="H70" s="110"/>
      <c r="I70" s="110"/>
    </row>
    <row r="71" spans="1:9" x14ac:dyDescent="0.25">
      <c r="A71" s="109">
        <v>64</v>
      </c>
      <c r="B71" s="110">
        <v>18.28</v>
      </c>
      <c r="C71" s="110">
        <v>2.39</v>
      </c>
      <c r="D71" s="110"/>
      <c r="E71" s="110"/>
      <c r="F71" s="110">
        <v>18.28</v>
      </c>
      <c r="G71" s="110">
        <v>2.39</v>
      </c>
      <c r="H71" s="110"/>
      <c r="I71" s="110"/>
    </row>
    <row r="72" spans="1:9" x14ac:dyDescent="0.25">
      <c r="A72" s="109">
        <v>65</v>
      </c>
      <c r="B72" s="110">
        <v>17.670000000000002</v>
      </c>
      <c r="C72" s="110">
        <v>2.35</v>
      </c>
      <c r="D72" s="110"/>
      <c r="E72" s="110"/>
      <c r="F72" s="110">
        <v>17.670000000000002</v>
      </c>
      <c r="G72" s="110">
        <v>2.35</v>
      </c>
      <c r="H72" s="110"/>
      <c r="I72" s="110"/>
    </row>
    <row r="73" spans="1:9" x14ac:dyDescent="0.25">
      <c r="A73" s="109">
        <v>66</v>
      </c>
      <c r="B73" s="110">
        <v>17.05</v>
      </c>
      <c r="C73" s="110">
        <v>2.34</v>
      </c>
      <c r="D73" s="110"/>
      <c r="E73" s="110"/>
      <c r="F73" s="110">
        <v>17.05</v>
      </c>
      <c r="G73" s="110">
        <v>2.34</v>
      </c>
      <c r="H73" s="110"/>
      <c r="I73" s="110"/>
    </row>
    <row r="74" spans="1:9" x14ac:dyDescent="0.25">
      <c r="A74" s="109">
        <v>67</v>
      </c>
      <c r="B74" s="110">
        <v>16.43</v>
      </c>
      <c r="C74" s="110">
        <v>2.33</v>
      </c>
      <c r="D74" s="110"/>
      <c r="E74" s="110"/>
      <c r="F74" s="110">
        <v>16.43</v>
      </c>
      <c r="G74" s="110">
        <v>2.33</v>
      </c>
      <c r="H74" s="110"/>
      <c r="I74" s="110"/>
    </row>
    <row r="75" spans="1:9" x14ac:dyDescent="0.25">
      <c r="A75" s="109">
        <v>68</v>
      </c>
      <c r="B75" s="110">
        <v>15.79</v>
      </c>
      <c r="C75" s="110">
        <v>2.3199999999999998</v>
      </c>
      <c r="D75" s="110"/>
      <c r="E75" s="110"/>
      <c r="F75" s="110">
        <v>15.79</v>
      </c>
      <c r="G75" s="110">
        <v>2.3199999999999998</v>
      </c>
      <c r="H75" s="110"/>
      <c r="I75" s="110"/>
    </row>
    <row r="76" spans="1:9" x14ac:dyDescent="0.25">
      <c r="A76" s="109">
        <v>69</v>
      </c>
      <c r="B76" s="110">
        <v>15.13</v>
      </c>
      <c r="C76" s="110">
        <v>2.2400000000000002</v>
      </c>
      <c r="D76" s="110">
        <v>2.98</v>
      </c>
      <c r="E76" s="110">
        <v>0.99</v>
      </c>
      <c r="F76" s="110">
        <v>15.13</v>
      </c>
      <c r="G76" s="110">
        <v>2.2400000000000002</v>
      </c>
      <c r="H76" s="110">
        <v>2.62</v>
      </c>
      <c r="I76" s="110">
        <v>0.9</v>
      </c>
    </row>
    <row r="77" spans="1:9" x14ac:dyDescent="0.25">
      <c r="A77" s="109">
        <v>70</v>
      </c>
      <c r="B77" s="110">
        <v>14.47</v>
      </c>
      <c r="C77" s="110">
        <v>2.16</v>
      </c>
      <c r="D77" s="110">
        <v>2.77</v>
      </c>
      <c r="E77" s="110">
        <v>0.91</v>
      </c>
      <c r="F77" s="110">
        <v>14.47</v>
      </c>
      <c r="G77" s="110">
        <v>2.16</v>
      </c>
      <c r="H77" s="110">
        <v>2.4300000000000002</v>
      </c>
      <c r="I77" s="110">
        <v>0.83</v>
      </c>
    </row>
    <row r="78" spans="1:9" x14ac:dyDescent="0.25">
      <c r="A78" s="109">
        <v>71</v>
      </c>
      <c r="B78" s="110">
        <v>13.82</v>
      </c>
      <c r="C78" s="110">
        <v>2.14</v>
      </c>
      <c r="D78" s="110">
        <v>2.58</v>
      </c>
      <c r="E78" s="110">
        <v>0.85</v>
      </c>
      <c r="F78" s="110">
        <v>13.82</v>
      </c>
      <c r="G78" s="110">
        <v>2.14</v>
      </c>
      <c r="H78" s="110">
        <v>2.2400000000000002</v>
      </c>
      <c r="I78" s="110">
        <v>0.77</v>
      </c>
    </row>
    <row r="79" spans="1:9" x14ac:dyDescent="0.25">
      <c r="A79" s="109">
        <v>72</v>
      </c>
      <c r="B79" s="110">
        <v>13.19</v>
      </c>
      <c r="C79" s="110">
        <v>2.11</v>
      </c>
      <c r="D79" s="110">
        <v>2.39</v>
      </c>
      <c r="E79" s="110">
        <v>0.78</v>
      </c>
      <c r="F79" s="110">
        <v>13.19</v>
      </c>
      <c r="G79" s="110">
        <v>2.11</v>
      </c>
      <c r="H79" s="110">
        <v>2.06</v>
      </c>
      <c r="I79" s="110">
        <v>0.7</v>
      </c>
    </row>
    <row r="80" spans="1:9" x14ac:dyDescent="0.25">
      <c r="A80" s="109">
        <v>73</v>
      </c>
      <c r="B80" s="110">
        <v>12.57</v>
      </c>
      <c r="C80" s="110">
        <v>2.08</v>
      </c>
      <c r="D80" s="110">
        <v>2.21</v>
      </c>
      <c r="E80" s="110">
        <v>0.72</v>
      </c>
      <c r="F80" s="110">
        <v>12.57</v>
      </c>
      <c r="G80" s="110">
        <v>2.08</v>
      </c>
      <c r="H80" s="110">
        <v>1.89</v>
      </c>
      <c r="I80" s="110">
        <v>0.64</v>
      </c>
    </row>
    <row r="81" spans="1:9" x14ac:dyDescent="0.25">
      <c r="A81" s="109">
        <v>74</v>
      </c>
      <c r="B81" s="110">
        <v>11.96</v>
      </c>
      <c r="C81" s="110">
        <v>1.94</v>
      </c>
      <c r="D81" s="110">
        <v>2.0299999999999998</v>
      </c>
      <c r="E81" s="110">
        <v>0.66</v>
      </c>
      <c r="F81" s="110">
        <v>11.96</v>
      </c>
      <c r="G81" s="110">
        <v>1.94</v>
      </c>
      <c r="H81" s="110">
        <v>1.73</v>
      </c>
      <c r="I81" s="110">
        <v>0.57999999999999996</v>
      </c>
    </row>
    <row r="82" spans="1:9" x14ac:dyDescent="0.25">
      <c r="A82" s="109">
        <v>75</v>
      </c>
      <c r="B82" s="110">
        <v>11.37</v>
      </c>
      <c r="C82" s="110">
        <v>1.8</v>
      </c>
      <c r="D82" s="110">
        <v>1.86</v>
      </c>
      <c r="E82" s="110">
        <v>0.6</v>
      </c>
      <c r="F82" s="110">
        <v>11.37</v>
      </c>
      <c r="G82" s="110">
        <v>1.8</v>
      </c>
      <c r="H82" s="110">
        <v>1.57</v>
      </c>
      <c r="I82" s="110">
        <v>0.53</v>
      </c>
    </row>
    <row r="83" spans="1:9" x14ac:dyDescent="0.25">
      <c r="A83" s="109">
        <v>76</v>
      </c>
      <c r="B83" s="110">
        <v>10.78</v>
      </c>
      <c r="C83" s="110">
        <v>1.76</v>
      </c>
      <c r="D83" s="110">
        <v>1.7</v>
      </c>
      <c r="E83" s="110">
        <v>0.55000000000000004</v>
      </c>
      <c r="F83" s="110">
        <v>10.78</v>
      </c>
      <c r="G83" s="110">
        <v>1.76</v>
      </c>
      <c r="H83" s="110">
        <v>1.43</v>
      </c>
      <c r="I83" s="110">
        <v>0.48</v>
      </c>
    </row>
    <row r="84" spans="1:9" x14ac:dyDescent="0.25">
      <c r="A84" s="109">
        <v>77</v>
      </c>
      <c r="B84" s="110">
        <v>10.199999999999999</v>
      </c>
      <c r="C84" s="110">
        <v>1.72</v>
      </c>
      <c r="D84" s="110">
        <v>1.55</v>
      </c>
      <c r="E84" s="110">
        <v>0.5</v>
      </c>
      <c r="F84" s="110">
        <v>10.199999999999999</v>
      </c>
      <c r="G84" s="110">
        <v>1.72</v>
      </c>
      <c r="H84" s="110">
        <v>1.29</v>
      </c>
      <c r="I84" s="110">
        <v>0.43</v>
      </c>
    </row>
    <row r="85" spans="1:9" x14ac:dyDescent="0.25">
      <c r="A85" s="109">
        <v>78</v>
      </c>
      <c r="B85" s="110">
        <v>9.6300000000000008</v>
      </c>
      <c r="C85" s="110">
        <v>1.67</v>
      </c>
      <c r="D85" s="110">
        <v>1.42</v>
      </c>
      <c r="E85" s="110">
        <v>0.45</v>
      </c>
      <c r="F85" s="110">
        <v>9.6300000000000008</v>
      </c>
      <c r="G85" s="110">
        <v>1.67</v>
      </c>
      <c r="H85" s="110">
        <v>1.17</v>
      </c>
      <c r="I85" s="110">
        <v>0.39</v>
      </c>
    </row>
    <row r="86" spans="1:9" x14ac:dyDescent="0.25">
      <c r="A86" s="109">
        <v>79</v>
      </c>
      <c r="B86" s="110">
        <v>9.08</v>
      </c>
      <c r="C86" s="110">
        <v>1.5</v>
      </c>
      <c r="D86" s="110">
        <v>1.27</v>
      </c>
      <c r="E86" s="110">
        <v>0.41</v>
      </c>
      <c r="F86" s="110">
        <v>9.08</v>
      </c>
      <c r="G86" s="110">
        <v>1.5</v>
      </c>
      <c r="H86" s="110">
        <v>1.05</v>
      </c>
      <c r="I86" s="110">
        <v>0.35</v>
      </c>
    </row>
    <row r="87" spans="1:9" x14ac:dyDescent="0.25">
      <c r="A87" s="109">
        <v>80</v>
      </c>
      <c r="B87" s="110">
        <v>8.5500000000000007</v>
      </c>
      <c r="C87" s="110">
        <v>1.32</v>
      </c>
      <c r="D87" s="110">
        <v>1.1299999999999999</v>
      </c>
      <c r="E87" s="110">
        <v>0.36</v>
      </c>
      <c r="F87" s="110">
        <v>8.5500000000000007</v>
      </c>
      <c r="G87" s="110">
        <v>1.32</v>
      </c>
      <c r="H87" s="110">
        <v>0.94</v>
      </c>
      <c r="I87" s="110">
        <v>0.31</v>
      </c>
    </row>
    <row r="88" spans="1:9" x14ac:dyDescent="0.25">
      <c r="A88" s="109">
        <v>81</v>
      </c>
      <c r="B88" s="110">
        <v>8.0299999999999994</v>
      </c>
      <c r="C88" s="110">
        <v>1.27</v>
      </c>
      <c r="D88" s="110">
        <v>1.02</v>
      </c>
      <c r="E88" s="110">
        <v>0.33</v>
      </c>
      <c r="F88" s="110">
        <v>8.0299999999999994</v>
      </c>
      <c r="G88" s="110">
        <v>1.27</v>
      </c>
      <c r="H88" s="110">
        <v>0.84</v>
      </c>
      <c r="I88" s="110">
        <v>0.27</v>
      </c>
    </row>
    <row r="89" spans="1:9" x14ac:dyDescent="0.25">
      <c r="A89" s="109">
        <v>82</v>
      </c>
      <c r="B89" s="110">
        <v>7.53</v>
      </c>
      <c r="C89" s="110">
        <v>1.22</v>
      </c>
      <c r="D89" s="110">
        <v>0.92</v>
      </c>
      <c r="E89" s="110">
        <v>0.28999999999999998</v>
      </c>
      <c r="F89" s="110">
        <v>7.53</v>
      </c>
      <c r="G89" s="110">
        <v>1.22</v>
      </c>
      <c r="H89" s="110">
        <v>0.74</v>
      </c>
      <c r="I89" s="110">
        <v>0.24</v>
      </c>
    </row>
    <row r="90" spans="1:9" x14ac:dyDescent="0.25">
      <c r="A90" s="109">
        <v>83</v>
      </c>
      <c r="B90" s="110">
        <v>7.05</v>
      </c>
      <c r="C90" s="110">
        <v>1.17</v>
      </c>
      <c r="D90" s="110">
        <v>0.82</v>
      </c>
      <c r="E90" s="110">
        <v>0.26</v>
      </c>
      <c r="F90" s="110">
        <v>7.05</v>
      </c>
      <c r="G90" s="110">
        <v>1.17</v>
      </c>
      <c r="H90" s="110">
        <v>0.66</v>
      </c>
      <c r="I90" s="110">
        <v>0.21</v>
      </c>
    </row>
    <row r="91" spans="1:9" x14ac:dyDescent="0.25">
      <c r="A91" s="109">
        <v>84</v>
      </c>
      <c r="B91" s="110">
        <v>6.59</v>
      </c>
      <c r="C91" s="110">
        <v>0.99</v>
      </c>
      <c r="D91" s="110">
        <v>0.72</v>
      </c>
      <c r="E91" s="110">
        <v>0.23</v>
      </c>
      <c r="F91" s="110">
        <v>6.59</v>
      </c>
      <c r="G91" s="110">
        <v>0.99</v>
      </c>
      <c r="H91" s="110">
        <v>0.57999999999999996</v>
      </c>
      <c r="I91" s="110">
        <v>0.19</v>
      </c>
    </row>
    <row r="92" spans="1:9" x14ac:dyDescent="0.25">
      <c r="A92" s="109">
        <v>85</v>
      </c>
      <c r="B92" s="110">
        <v>6.15</v>
      </c>
      <c r="C92" s="110">
        <v>0.83</v>
      </c>
      <c r="D92" s="110">
        <v>0.63</v>
      </c>
      <c r="E92" s="110">
        <v>0.2</v>
      </c>
      <c r="F92" s="110">
        <v>6.15</v>
      </c>
      <c r="G92" s="110">
        <v>0.83</v>
      </c>
      <c r="H92" s="110">
        <v>0.51</v>
      </c>
      <c r="I92" s="110">
        <v>0.16</v>
      </c>
    </row>
    <row r="93" spans="1:9" x14ac:dyDescent="0.25">
      <c r="A93" s="109">
        <v>86</v>
      </c>
      <c r="B93" s="110">
        <v>5.73</v>
      </c>
      <c r="C93" s="110">
        <v>0.78</v>
      </c>
      <c r="D93" s="110">
        <v>0.56000000000000005</v>
      </c>
      <c r="E93" s="110">
        <v>0.18</v>
      </c>
      <c r="F93" s="110">
        <v>5.73</v>
      </c>
      <c r="G93" s="110">
        <v>0.78</v>
      </c>
      <c r="H93" s="110">
        <v>0.45</v>
      </c>
      <c r="I93" s="110">
        <v>0.14000000000000001</v>
      </c>
    </row>
    <row r="94" spans="1:9" x14ac:dyDescent="0.25">
      <c r="A94" s="109">
        <v>87</v>
      </c>
      <c r="B94" s="110">
        <v>5.33</v>
      </c>
      <c r="C94" s="110">
        <v>0.74</v>
      </c>
      <c r="D94" s="110">
        <v>0.5</v>
      </c>
      <c r="E94" s="110">
        <v>0.16</v>
      </c>
      <c r="F94" s="110">
        <v>5.33</v>
      </c>
      <c r="G94" s="110">
        <v>0.74</v>
      </c>
      <c r="H94" s="110">
        <v>0.39</v>
      </c>
      <c r="I94" s="110">
        <v>0.12</v>
      </c>
    </row>
    <row r="95" spans="1:9" x14ac:dyDescent="0.25">
      <c r="A95" s="109">
        <v>88</v>
      </c>
      <c r="B95" s="110">
        <v>4.95</v>
      </c>
      <c r="C95" s="110">
        <v>0.69</v>
      </c>
      <c r="D95" s="110">
        <v>0.44</v>
      </c>
      <c r="E95" s="110">
        <v>0.14000000000000001</v>
      </c>
      <c r="F95" s="110">
        <v>4.95</v>
      </c>
      <c r="G95" s="110">
        <v>0.69</v>
      </c>
      <c r="H95" s="110">
        <v>0.34</v>
      </c>
      <c r="I95" s="110">
        <v>0.11</v>
      </c>
    </row>
    <row r="96" spans="1:9" x14ac:dyDescent="0.25">
      <c r="A96" s="109">
        <v>89</v>
      </c>
      <c r="B96" s="110">
        <v>4.59</v>
      </c>
      <c r="C96" s="110">
        <v>0.55000000000000004</v>
      </c>
      <c r="D96" s="110">
        <v>0.38</v>
      </c>
      <c r="E96" s="110">
        <v>0.12</v>
      </c>
      <c r="F96" s="110">
        <v>4.59</v>
      </c>
      <c r="G96" s="110">
        <v>0.55000000000000004</v>
      </c>
      <c r="H96" s="110">
        <v>0.3</v>
      </c>
      <c r="I96" s="110">
        <v>0.09</v>
      </c>
    </row>
    <row r="97" spans="1:9" x14ac:dyDescent="0.25">
      <c r="A97" s="109">
        <v>90</v>
      </c>
      <c r="B97" s="110">
        <v>4.26</v>
      </c>
      <c r="C97" s="110">
        <v>0.41</v>
      </c>
      <c r="D97" s="110">
        <v>0.32</v>
      </c>
      <c r="E97" s="110">
        <v>0.1</v>
      </c>
      <c r="F97" s="110">
        <v>4.26</v>
      </c>
      <c r="G97" s="110">
        <v>0.41</v>
      </c>
      <c r="H97" s="110">
        <v>0.26</v>
      </c>
      <c r="I97" s="110">
        <v>0.08</v>
      </c>
    </row>
    <row r="98" spans="1:9" x14ac:dyDescent="0.25">
      <c r="A98" s="109">
        <v>91</v>
      </c>
      <c r="B98" s="110">
        <v>3.94</v>
      </c>
      <c r="C98" s="110">
        <v>0.38</v>
      </c>
      <c r="D98" s="110">
        <v>0.28000000000000003</v>
      </c>
      <c r="E98" s="110">
        <v>0.09</v>
      </c>
      <c r="F98" s="110">
        <v>3.94</v>
      </c>
      <c r="G98" s="110">
        <v>0.38</v>
      </c>
      <c r="H98" s="110">
        <v>0.22</v>
      </c>
      <c r="I98" s="110">
        <v>7.0000000000000007E-2</v>
      </c>
    </row>
    <row r="99" spans="1:9" x14ac:dyDescent="0.25">
      <c r="A99" s="109">
        <v>92</v>
      </c>
      <c r="B99" s="110">
        <v>3.65</v>
      </c>
      <c r="C99" s="110">
        <v>0.35</v>
      </c>
      <c r="D99" s="110">
        <v>0.25</v>
      </c>
      <c r="E99" s="110">
        <v>0.08</v>
      </c>
      <c r="F99" s="110">
        <v>3.65</v>
      </c>
      <c r="G99" s="110">
        <v>0.35</v>
      </c>
      <c r="H99" s="110">
        <v>0.19</v>
      </c>
      <c r="I99" s="110">
        <v>0.06</v>
      </c>
    </row>
    <row r="100" spans="1:9" x14ac:dyDescent="0.25">
      <c r="A100" s="109">
        <v>93</v>
      </c>
      <c r="B100" s="110">
        <v>3.39</v>
      </c>
      <c r="C100" s="110">
        <v>0.33</v>
      </c>
      <c r="D100" s="110">
        <v>0.22</v>
      </c>
      <c r="E100" s="110">
        <v>7.0000000000000007E-2</v>
      </c>
      <c r="F100" s="110">
        <v>3.39</v>
      </c>
      <c r="G100" s="110">
        <v>0.33</v>
      </c>
      <c r="H100" s="110">
        <v>0.16</v>
      </c>
      <c r="I100" s="110">
        <v>0.05</v>
      </c>
    </row>
    <row r="101" spans="1:9" x14ac:dyDescent="0.25">
      <c r="A101" s="109">
        <v>94</v>
      </c>
      <c r="B101" s="110">
        <v>3.15</v>
      </c>
      <c r="C101" s="110">
        <v>0.3</v>
      </c>
      <c r="D101" s="110">
        <v>0.19</v>
      </c>
      <c r="E101" s="110">
        <v>0.06</v>
      </c>
      <c r="F101" s="110">
        <v>3.15</v>
      </c>
      <c r="G101" s="110">
        <v>0.3</v>
      </c>
      <c r="H101" s="110">
        <v>0.14000000000000001</v>
      </c>
      <c r="I101" s="110">
        <v>0.04</v>
      </c>
    </row>
    <row r="102" spans="1:9" x14ac:dyDescent="0.25">
      <c r="A102" s="109">
        <v>95</v>
      </c>
      <c r="B102" s="110">
        <v>2.93</v>
      </c>
      <c r="C102" s="110">
        <v>0.28000000000000003</v>
      </c>
      <c r="D102" s="110">
        <v>0.17</v>
      </c>
      <c r="E102" s="110">
        <v>0.05</v>
      </c>
      <c r="F102" s="110">
        <v>2.93</v>
      </c>
      <c r="G102" s="110">
        <v>0.28000000000000003</v>
      </c>
      <c r="H102" s="110">
        <v>0.12</v>
      </c>
      <c r="I102" s="110">
        <v>0.04</v>
      </c>
    </row>
    <row r="103" spans="1:9" x14ac:dyDescent="0.25">
      <c r="A103" s="109">
        <v>96</v>
      </c>
      <c r="B103" s="110">
        <v>2.73</v>
      </c>
      <c r="C103" s="110">
        <v>0.26</v>
      </c>
      <c r="D103" s="110">
        <v>0.15</v>
      </c>
      <c r="E103" s="110">
        <v>0.05</v>
      </c>
      <c r="F103" s="110">
        <v>2.73</v>
      </c>
      <c r="G103" s="110">
        <v>0.26</v>
      </c>
      <c r="H103" s="110">
        <v>0.11</v>
      </c>
      <c r="I103" s="110">
        <v>0.03</v>
      </c>
    </row>
    <row r="104" spans="1:9" x14ac:dyDescent="0.25">
      <c r="A104" s="109">
        <v>97</v>
      </c>
      <c r="B104" s="110">
        <v>2.56</v>
      </c>
      <c r="C104" s="110">
        <v>0.24</v>
      </c>
      <c r="D104" s="110">
        <v>0.14000000000000001</v>
      </c>
      <c r="E104" s="110">
        <v>0.04</v>
      </c>
      <c r="F104" s="110">
        <v>2.56</v>
      </c>
      <c r="G104" s="110">
        <v>0.24</v>
      </c>
      <c r="H104" s="110">
        <v>0.09</v>
      </c>
      <c r="I104" s="110">
        <v>0.03</v>
      </c>
    </row>
    <row r="105" spans="1:9" x14ac:dyDescent="0.25">
      <c r="A105" s="109">
        <v>98</v>
      </c>
      <c r="B105" s="110">
        <v>2.41</v>
      </c>
      <c r="C105" s="110">
        <v>0.22</v>
      </c>
      <c r="D105" s="110">
        <v>0.12</v>
      </c>
      <c r="E105" s="110">
        <v>0.04</v>
      </c>
      <c r="F105" s="110">
        <v>2.41</v>
      </c>
      <c r="G105" s="110">
        <v>0.22</v>
      </c>
      <c r="H105" s="110">
        <v>0.08</v>
      </c>
      <c r="I105" s="110">
        <v>0.03</v>
      </c>
    </row>
  </sheetData>
  <conditionalFormatting sqref="A6:A21">
    <cfRule type="expression" dxfId="977" priority="3" stopIfTrue="1">
      <formula>MOD(ROW(),2)=0</formula>
    </cfRule>
    <cfRule type="expression" dxfId="976" priority="4" stopIfTrue="1">
      <formula>MOD(ROW(),2)&lt;&gt;0</formula>
    </cfRule>
  </conditionalFormatting>
  <conditionalFormatting sqref="A26:A105">
    <cfRule type="expression" dxfId="975" priority="7" stopIfTrue="1">
      <formula>MOD(ROW(),2)=0</formula>
    </cfRule>
    <cfRule type="expression" dxfId="974" priority="8" stopIfTrue="1">
      <formula>MOD(ROW(),2)&lt;&gt;0</formula>
    </cfRule>
  </conditionalFormatting>
  <conditionalFormatting sqref="B12">
    <cfRule type="expression" dxfId="973" priority="17" stopIfTrue="1">
      <formula>MOD(ROW(),2)=0</formula>
    </cfRule>
    <cfRule type="expression" dxfId="972" priority="18" stopIfTrue="1">
      <formula>MOD(ROW(),2)&lt;&gt;0</formula>
    </cfRule>
  </conditionalFormatting>
  <conditionalFormatting sqref="B17:B21">
    <cfRule type="expression" dxfId="971" priority="1" stopIfTrue="1">
      <formula>MOD(ROW(),2)=0</formula>
    </cfRule>
    <cfRule type="expression" dxfId="970" priority="2" stopIfTrue="1">
      <formula>MOD(ROW(),2)&lt;&gt;0</formula>
    </cfRule>
  </conditionalFormatting>
  <conditionalFormatting sqref="B6:I6 C7:I7 C12:I12 B13:I16 C17:I21">
    <cfRule type="expression" dxfId="969" priority="41" stopIfTrue="1">
      <formula>MOD(ROW(),2)=0</formula>
    </cfRule>
    <cfRule type="expression" dxfId="968" priority="42" stopIfTrue="1">
      <formula>MOD(ROW(),2)&lt;&gt;0</formula>
    </cfRule>
  </conditionalFormatting>
  <conditionalFormatting sqref="B6:I21">
    <cfRule type="expression" dxfId="967" priority="27" stopIfTrue="1">
      <formula>MOD(ROW(),2)=0</formula>
    </cfRule>
    <cfRule type="expression" dxfId="966" priority="28" stopIfTrue="1">
      <formula>MOD(ROW(),2)&lt;&gt;0</formula>
    </cfRule>
  </conditionalFormatting>
  <conditionalFormatting sqref="B8:I11">
    <cfRule type="expression" dxfId="965" priority="33" stopIfTrue="1">
      <formula>MOD(ROW(),2)=0</formula>
    </cfRule>
    <cfRule type="expression" dxfId="964" priority="34" stopIfTrue="1">
      <formula>MOD(ROW(),2)&lt;&gt;0</formula>
    </cfRule>
  </conditionalFormatting>
  <conditionalFormatting sqref="B26:I105">
    <cfRule type="expression" dxfId="963" priority="9" stopIfTrue="1">
      <formula>MOD(ROW(),2)=0</formula>
    </cfRule>
    <cfRule type="expression" dxfId="962" priority="10" stopIfTrue="1">
      <formula>MOD(ROW(),2)&lt;&gt;0</formula>
    </cfRule>
  </conditionalFormatting>
  <hyperlinks>
    <hyperlink ref="B24" location="Assumptions!A1" display="Assumptions" xr:uid="{8DEB17B1-CB09-458E-9625-3907A27C69A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2"/>
  <dimension ref="A1:K75"/>
  <sheetViews>
    <sheetView workbookViewId="0"/>
  </sheetViews>
  <sheetFormatPr defaultColWidth="10" defaultRowHeight="12.5" x14ac:dyDescent="0.25"/>
  <cols>
    <col min="1" max="1" width="31.54296875" style="28" customWidth="1"/>
    <col min="2" max="11" width="22.54296875" style="28" customWidth="1"/>
    <col min="12" max="16384" width="10" style="28"/>
  </cols>
  <sheetData>
    <row r="1" spans="1:11" ht="20" x14ac:dyDescent="0.4">
      <c r="A1" s="53" t="s">
        <v>0</v>
      </c>
      <c r="B1" s="54"/>
      <c r="C1" s="54"/>
      <c r="D1" s="54"/>
      <c r="E1" s="54"/>
      <c r="F1" s="54"/>
      <c r="G1" s="54"/>
      <c r="H1" s="54"/>
      <c r="I1" s="54"/>
    </row>
    <row r="2" spans="1:11"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1" ht="15.5" x14ac:dyDescent="0.35">
      <c r="A3" s="57" t="str">
        <f>TABLE_FACTOR_TYPE_1&amp;" - x-"&amp;TABLE_SERIES_NUMBER_1</f>
        <v>Pensioner CE - x-303</v>
      </c>
      <c r="B3" s="56"/>
      <c r="C3" s="56"/>
      <c r="D3" s="56"/>
      <c r="E3" s="56"/>
      <c r="F3" s="56"/>
      <c r="G3" s="56"/>
      <c r="H3" s="56"/>
      <c r="I3" s="56"/>
    </row>
    <row r="4" spans="1:11" x14ac:dyDescent="0.25">
      <c r="A4" s="58"/>
    </row>
    <row r="6" spans="1:11" ht="13" x14ac:dyDescent="0.3">
      <c r="A6" s="86" t="s">
        <v>716</v>
      </c>
      <c r="B6" s="111" t="s">
        <v>717</v>
      </c>
      <c r="C6" s="111"/>
      <c r="D6" s="111"/>
      <c r="E6" s="111"/>
      <c r="F6" s="111"/>
      <c r="G6" s="111"/>
      <c r="H6" s="111"/>
      <c r="I6" s="111"/>
      <c r="J6" s="111"/>
      <c r="K6" s="111"/>
    </row>
    <row r="7" spans="1:11" x14ac:dyDescent="0.25">
      <c r="A7" s="87" t="s">
        <v>797</v>
      </c>
      <c r="B7" s="111" t="s">
        <v>326</v>
      </c>
      <c r="C7" s="111"/>
      <c r="D7" s="111"/>
      <c r="E7" s="111"/>
      <c r="F7" s="111"/>
      <c r="G7" s="111"/>
      <c r="H7" s="111"/>
      <c r="I7" s="111"/>
      <c r="J7" s="111"/>
      <c r="K7" s="111"/>
    </row>
    <row r="8" spans="1:11" x14ac:dyDescent="0.25">
      <c r="A8" s="87" t="s">
        <v>798</v>
      </c>
      <c r="B8" s="111" t="s">
        <v>395</v>
      </c>
      <c r="C8" s="111"/>
      <c r="D8" s="111"/>
      <c r="E8" s="111"/>
      <c r="F8" s="111"/>
      <c r="G8" s="111"/>
      <c r="H8" s="111"/>
      <c r="I8" s="111"/>
      <c r="J8" s="111"/>
      <c r="K8" s="111"/>
    </row>
    <row r="9" spans="1:11" x14ac:dyDescent="0.25">
      <c r="A9" s="87" t="s">
        <v>300</v>
      </c>
      <c r="B9" s="111" t="s">
        <v>387</v>
      </c>
      <c r="C9" s="111"/>
      <c r="D9" s="111"/>
      <c r="E9" s="111"/>
      <c r="F9" s="111"/>
      <c r="G9" s="111"/>
      <c r="H9" s="111"/>
      <c r="I9" s="111"/>
      <c r="J9" s="111"/>
      <c r="K9" s="111"/>
    </row>
    <row r="10" spans="1:11" x14ac:dyDescent="0.25">
      <c r="A10" s="87" t="s">
        <v>6</v>
      </c>
      <c r="B10" s="111" t="s">
        <v>396</v>
      </c>
      <c r="C10" s="111"/>
      <c r="D10" s="111"/>
      <c r="E10" s="111"/>
      <c r="F10" s="111"/>
      <c r="G10" s="111"/>
      <c r="H10" s="111"/>
      <c r="I10" s="111"/>
      <c r="J10" s="111"/>
      <c r="K10" s="111"/>
    </row>
    <row r="11" spans="1:11" x14ac:dyDescent="0.25">
      <c r="A11" s="87" t="s">
        <v>301</v>
      </c>
      <c r="B11" s="111" t="s">
        <v>334</v>
      </c>
      <c r="C11" s="111"/>
      <c r="D11" s="111"/>
      <c r="E11" s="111"/>
      <c r="F11" s="111"/>
      <c r="G11" s="111"/>
      <c r="H11" s="111"/>
      <c r="I11" s="111"/>
      <c r="J11" s="111"/>
      <c r="K11" s="111"/>
    </row>
    <row r="12" spans="1:11" x14ac:dyDescent="0.25">
      <c r="A12" s="87" t="s">
        <v>302</v>
      </c>
      <c r="B12" s="111" t="s">
        <v>335</v>
      </c>
      <c r="C12" s="111"/>
      <c r="D12" s="111"/>
      <c r="E12" s="111"/>
      <c r="F12" s="111"/>
      <c r="G12" s="111"/>
      <c r="H12" s="111"/>
      <c r="I12" s="111"/>
      <c r="J12" s="111"/>
      <c r="K12" s="111"/>
    </row>
    <row r="13" spans="1:11" x14ac:dyDescent="0.25">
      <c r="A13" s="87" t="s">
        <v>724</v>
      </c>
      <c r="B13" s="111">
        <v>1</v>
      </c>
      <c r="C13" s="111"/>
      <c r="D13" s="111"/>
      <c r="E13" s="111"/>
      <c r="F13" s="111"/>
      <c r="G13" s="111"/>
      <c r="H13" s="111"/>
      <c r="I13" s="111"/>
      <c r="J13" s="111"/>
      <c r="K13" s="111"/>
    </row>
    <row r="14" spans="1:11" x14ac:dyDescent="0.25">
      <c r="A14" s="87" t="s">
        <v>304</v>
      </c>
      <c r="B14" s="111">
        <v>303</v>
      </c>
      <c r="C14" s="111"/>
      <c r="D14" s="111"/>
      <c r="E14" s="111"/>
      <c r="F14" s="111"/>
      <c r="G14" s="111"/>
      <c r="H14" s="111"/>
      <c r="I14" s="111"/>
      <c r="J14" s="111"/>
      <c r="K14" s="111"/>
    </row>
    <row r="15" spans="1:11" x14ac:dyDescent="0.25">
      <c r="A15" s="87" t="s">
        <v>727</v>
      </c>
      <c r="B15" s="111" t="s">
        <v>397</v>
      </c>
      <c r="C15" s="111"/>
      <c r="D15" s="111"/>
      <c r="E15" s="111"/>
      <c r="F15" s="111"/>
      <c r="G15" s="111"/>
      <c r="H15" s="111"/>
      <c r="I15" s="111"/>
      <c r="J15" s="111"/>
      <c r="K15" s="111"/>
    </row>
    <row r="16" spans="1:11" x14ac:dyDescent="0.25">
      <c r="A16" s="87" t="s">
        <v>306</v>
      </c>
      <c r="B16" s="111" t="s">
        <v>398</v>
      </c>
      <c r="C16" s="111"/>
      <c r="D16" s="111"/>
      <c r="E16" s="111"/>
      <c r="F16" s="111"/>
      <c r="G16" s="111"/>
      <c r="H16" s="111"/>
      <c r="I16" s="111"/>
      <c r="J16" s="111"/>
      <c r="K16" s="111"/>
    </row>
    <row r="17" spans="1:11" x14ac:dyDescent="0.25">
      <c r="A17" s="94" t="s">
        <v>800</v>
      </c>
      <c r="B17" s="111"/>
      <c r="C17" s="111"/>
      <c r="D17" s="111"/>
      <c r="E17" s="111"/>
      <c r="F17" s="111"/>
      <c r="G17" s="111"/>
      <c r="H17" s="111"/>
      <c r="I17" s="111"/>
      <c r="J17" s="111"/>
      <c r="K17" s="111"/>
    </row>
    <row r="18" spans="1:11" x14ac:dyDescent="0.25">
      <c r="A18" s="87" t="s">
        <v>308</v>
      </c>
      <c r="B18" s="122">
        <v>45071</v>
      </c>
      <c r="C18" s="111"/>
      <c r="D18" s="111"/>
      <c r="E18" s="111"/>
      <c r="F18" s="111"/>
      <c r="G18" s="111"/>
      <c r="H18" s="111"/>
      <c r="I18" s="111"/>
      <c r="J18" s="111"/>
      <c r="K18" s="111"/>
    </row>
    <row r="19" spans="1:11" x14ac:dyDescent="0.25">
      <c r="A19" s="87" t="s">
        <v>309</v>
      </c>
      <c r="B19" s="122">
        <v>45014</v>
      </c>
      <c r="C19" s="111"/>
      <c r="D19" s="111"/>
      <c r="E19" s="111"/>
      <c r="F19" s="111"/>
      <c r="G19" s="111"/>
      <c r="H19" s="111"/>
      <c r="I19" s="111"/>
      <c r="J19" s="111"/>
      <c r="K19" s="111"/>
    </row>
    <row r="20" spans="1:11" x14ac:dyDescent="0.25">
      <c r="A20" s="87" t="s">
        <v>310</v>
      </c>
      <c r="B20" s="111" t="s">
        <v>324</v>
      </c>
      <c r="C20" s="111"/>
      <c r="D20" s="111"/>
      <c r="E20" s="111"/>
      <c r="F20" s="111"/>
      <c r="G20" s="111"/>
      <c r="H20" s="111"/>
      <c r="I20" s="111"/>
      <c r="J20" s="111"/>
      <c r="K20" s="111"/>
    </row>
    <row r="21" spans="1:11" x14ac:dyDescent="0.25">
      <c r="A21" s="87" t="s">
        <v>311</v>
      </c>
      <c r="B21" s="111" t="s">
        <v>325</v>
      </c>
      <c r="C21" s="111"/>
      <c r="D21" s="111"/>
      <c r="E21" s="111"/>
      <c r="F21" s="111"/>
      <c r="G21" s="111"/>
      <c r="H21" s="111"/>
      <c r="I21" s="111"/>
      <c r="J21" s="111"/>
      <c r="K21" s="111"/>
    </row>
    <row r="23" spans="1:11" x14ac:dyDescent="0.25">
      <c r="B23" s="104" t="str">
        <f>HYPERLINK("#'Factor List'!A1","Back to Factor List")</f>
        <v>Back to Factor List</v>
      </c>
    </row>
    <row r="24" spans="1:11" x14ac:dyDescent="0.25">
      <c r="B24" s="104" t="s">
        <v>13</v>
      </c>
    </row>
    <row r="26" spans="1:11" ht="39" x14ac:dyDescent="0.25">
      <c r="A26" s="108" t="s">
        <v>534</v>
      </c>
      <c r="B26" s="108" t="s">
        <v>819</v>
      </c>
      <c r="C26" s="108" t="s">
        <v>820</v>
      </c>
      <c r="D26" s="108" t="s">
        <v>827</v>
      </c>
      <c r="E26" s="108" t="s">
        <v>821</v>
      </c>
      <c r="F26" s="108" t="s">
        <v>822</v>
      </c>
      <c r="G26" s="108" t="s">
        <v>823</v>
      </c>
      <c r="H26" s="108" t="s">
        <v>824</v>
      </c>
      <c r="I26" s="108" t="s">
        <v>828</v>
      </c>
      <c r="J26" s="108" t="s">
        <v>825</v>
      </c>
      <c r="K26" s="108" t="s">
        <v>826</v>
      </c>
    </row>
    <row r="27" spans="1:11" x14ac:dyDescent="0.25">
      <c r="A27" s="109">
        <v>50</v>
      </c>
      <c r="B27" s="110">
        <v>26.59</v>
      </c>
      <c r="C27" s="110">
        <v>2.15</v>
      </c>
      <c r="D27" s="110">
        <v>0</v>
      </c>
      <c r="E27" s="110"/>
      <c r="F27" s="110"/>
      <c r="G27" s="110">
        <v>26.59</v>
      </c>
      <c r="H27" s="110">
        <v>2.15</v>
      </c>
      <c r="I27" s="110">
        <v>0</v>
      </c>
      <c r="J27" s="110"/>
      <c r="K27" s="110"/>
    </row>
    <row r="28" spans="1:11" x14ac:dyDescent="0.25">
      <c r="A28" s="109">
        <v>51</v>
      </c>
      <c r="B28" s="110">
        <v>26.03</v>
      </c>
      <c r="C28" s="110">
        <v>2.17</v>
      </c>
      <c r="D28" s="110">
        <v>0</v>
      </c>
      <c r="E28" s="110"/>
      <c r="F28" s="110"/>
      <c r="G28" s="110">
        <v>26.03</v>
      </c>
      <c r="H28" s="110">
        <v>2.17</v>
      </c>
      <c r="I28" s="110">
        <v>0</v>
      </c>
      <c r="J28" s="110"/>
      <c r="K28" s="110"/>
    </row>
    <row r="29" spans="1:11" x14ac:dyDescent="0.25">
      <c r="A29" s="109">
        <v>52</v>
      </c>
      <c r="B29" s="110">
        <v>25.47</v>
      </c>
      <c r="C29" s="110">
        <v>2.19</v>
      </c>
      <c r="D29" s="110">
        <v>0</v>
      </c>
      <c r="E29" s="110"/>
      <c r="F29" s="110"/>
      <c r="G29" s="110">
        <v>25.47</v>
      </c>
      <c r="H29" s="110">
        <v>2.19</v>
      </c>
      <c r="I29" s="110">
        <v>0</v>
      </c>
      <c r="J29" s="110"/>
      <c r="K29" s="110"/>
    </row>
    <row r="30" spans="1:11" x14ac:dyDescent="0.25">
      <c r="A30" s="109">
        <v>53</v>
      </c>
      <c r="B30" s="110">
        <v>24.9</v>
      </c>
      <c r="C30" s="110">
        <v>2.2000000000000002</v>
      </c>
      <c r="D30" s="110">
        <v>0</v>
      </c>
      <c r="E30" s="110"/>
      <c r="F30" s="110"/>
      <c r="G30" s="110">
        <v>24.9</v>
      </c>
      <c r="H30" s="110">
        <v>2.2000000000000002</v>
      </c>
      <c r="I30" s="110">
        <v>0</v>
      </c>
      <c r="J30" s="110"/>
      <c r="K30" s="110"/>
    </row>
    <row r="31" spans="1:11" x14ac:dyDescent="0.25">
      <c r="A31" s="109">
        <v>54</v>
      </c>
      <c r="B31" s="110">
        <v>24.32</v>
      </c>
      <c r="C31" s="110">
        <v>2.2200000000000002</v>
      </c>
      <c r="D31" s="110">
        <v>0</v>
      </c>
      <c r="E31" s="110"/>
      <c r="F31" s="110"/>
      <c r="G31" s="110">
        <v>24.32</v>
      </c>
      <c r="H31" s="110">
        <v>2.2200000000000002</v>
      </c>
      <c r="I31" s="110">
        <v>0</v>
      </c>
      <c r="J31" s="110"/>
      <c r="K31" s="110"/>
    </row>
    <row r="32" spans="1:11" x14ac:dyDescent="0.25">
      <c r="A32" s="109">
        <v>55</v>
      </c>
      <c r="B32" s="110">
        <v>23.73</v>
      </c>
      <c r="C32" s="110">
        <v>2.23</v>
      </c>
      <c r="D32" s="110">
        <v>0</v>
      </c>
      <c r="E32" s="110"/>
      <c r="F32" s="110"/>
      <c r="G32" s="110">
        <v>23.73</v>
      </c>
      <c r="H32" s="110">
        <v>2.23</v>
      </c>
      <c r="I32" s="110">
        <v>0</v>
      </c>
      <c r="J32" s="110"/>
      <c r="K32" s="110"/>
    </row>
    <row r="33" spans="1:11" x14ac:dyDescent="0.25">
      <c r="A33" s="109">
        <v>56</v>
      </c>
      <c r="B33" s="110">
        <v>23.14</v>
      </c>
      <c r="C33" s="110">
        <v>2.25</v>
      </c>
      <c r="D33" s="110">
        <v>0</v>
      </c>
      <c r="E33" s="110"/>
      <c r="F33" s="110"/>
      <c r="G33" s="110">
        <v>23.14</v>
      </c>
      <c r="H33" s="110">
        <v>2.25</v>
      </c>
      <c r="I33" s="110">
        <v>0</v>
      </c>
      <c r="J33" s="110"/>
      <c r="K33" s="110"/>
    </row>
    <row r="34" spans="1:11" x14ac:dyDescent="0.25">
      <c r="A34" s="109">
        <v>57</v>
      </c>
      <c r="B34" s="110">
        <v>22.55</v>
      </c>
      <c r="C34" s="110">
        <v>2.2599999999999998</v>
      </c>
      <c r="D34" s="110">
        <v>0</v>
      </c>
      <c r="E34" s="110"/>
      <c r="F34" s="110"/>
      <c r="G34" s="110">
        <v>22.55</v>
      </c>
      <c r="H34" s="110">
        <v>2.2599999999999998</v>
      </c>
      <c r="I34" s="110">
        <v>0</v>
      </c>
      <c r="J34" s="110"/>
      <c r="K34" s="110"/>
    </row>
    <row r="35" spans="1:11" x14ac:dyDescent="0.25">
      <c r="A35" s="109">
        <v>58</v>
      </c>
      <c r="B35" s="110">
        <v>21.95</v>
      </c>
      <c r="C35" s="110">
        <v>2.27</v>
      </c>
      <c r="D35" s="110">
        <v>0</v>
      </c>
      <c r="E35" s="110"/>
      <c r="F35" s="110"/>
      <c r="G35" s="110">
        <v>21.95</v>
      </c>
      <c r="H35" s="110">
        <v>2.27</v>
      </c>
      <c r="I35" s="110">
        <v>0</v>
      </c>
      <c r="J35" s="110"/>
      <c r="K35" s="110"/>
    </row>
    <row r="36" spans="1:11" x14ac:dyDescent="0.25">
      <c r="A36" s="109">
        <v>59</v>
      </c>
      <c r="B36" s="110">
        <v>21.35</v>
      </c>
      <c r="C36" s="110">
        <v>2.2799999999999998</v>
      </c>
      <c r="D36" s="110">
        <v>0</v>
      </c>
      <c r="E36" s="110"/>
      <c r="F36" s="110"/>
      <c r="G36" s="110">
        <v>21.35</v>
      </c>
      <c r="H36" s="110">
        <v>2.2799999999999998</v>
      </c>
      <c r="I36" s="110">
        <v>0</v>
      </c>
      <c r="J36" s="110"/>
      <c r="K36" s="110"/>
    </row>
    <row r="37" spans="1:11" x14ac:dyDescent="0.25">
      <c r="A37" s="109">
        <v>60</v>
      </c>
      <c r="B37" s="110">
        <v>20.73</v>
      </c>
      <c r="C37" s="110">
        <v>2.29</v>
      </c>
      <c r="D37" s="110">
        <v>0</v>
      </c>
      <c r="E37" s="110"/>
      <c r="F37" s="110"/>
      <c r="G37" s="110">
        <v>20.73</v>
      </c>
      <c r="H37" s="110">
        <v>2.29</v>
      </c>
      <c r="I37" s="110">
        <v>0</v>
      </c>
      <c r="J37" s="110"/>
      <c r="K37" s="110"/>
    </row>
    <row r="38" spans="1:11" x14ac:dyDescent="0.25">
      <c r="A38" s="109">
        <v>61</v>
      </c>
      <c r="B38" s="110">
        <v>20.09</v>
      </c>
      <c r="C38" s="110">
        <v>2.29</v>
      </c>
      <c r="D38" s="110">
        <v>0</v>
      </c>
      <c r="E38" s="110"/>
      <c r="F38" s="110"/>
      <c r="G38" s="110">
        <v>20.09</v>
      </c>
      <c r="H38" s="110">
        <v>2.29</v>
      </c>
      <c r="I38" s="110">
        <v>0</v>
      </c>
      <c r="J38" s="110"/>
      <c r="K38" s="110"/>
    </row>
    <row r="39" spans="1:11" x14ac:dyDescent="0.25">
      <c r="A39" s="109">
        <v>62</v>
      </c>
      <c r="B39" s="110">
        <v>19.46</v>
      </c>
      <c r="C39" s="110">
        <v>2.29</v>
      </c>
      <c r="D39" s="110">
        <v>0</v>
      </c>
      <c r="E39" s="110"/>
      <c r="F39" s="110"/>
      <c r="G39" s="110">
        <v>19.46</v>
      </c>
      <c r="H39" s="110">
        <v>2.29</v>
      </c>
      <c r="I39" s="110">
        <v>0</v>
      </c>
      <c r="J39" s="110"/>
      <c r="K39" s="110"/>
    </row>
    <row r="40" spans="1:11" x14ac:dyDescent="0.25">
      <c r="A40" s="109">
        <v>63</v>
      </c>
      <c r="B40" s="110">
        <v>18.82</v>
      </c>
      <c r="C40" s="110">
        <v>2.2999999999999998</v>
      </c>
      <c r="D40" s="110">
        <v>0</v>
      </c>
      <c r="E40" s="110"/>
      <c r="F40" s="110"/>
      <c r="G40" s="110">
        <v>18.82</v>
      </c>
      <c r="H40" s="110">
        <v>2.2999999999999998</v>
      </c>
      <c r="I40" s="110">
        <v>0</v>
      </c>
      <c r="J40" s="110"/>
      <c r="K40" s="110"/>
    </row>
    <row r="41" spans="1:11" x14ac:dyDescent="0.25">
      <c r="A41" s="109">
        <v>64</v>
      </c>
      <c r="B41" s="110">
        <v>18.190000000000001</v>
      </c>
      <c r="C41" s="110">
        <v>2.2799999999999998</v>
      </c>
      <c r="D41" s="110">
        <v>0</v>
      </c>
      <c r="E41" s="110"/>
      <c r="F41" s="110"/>
      <c r="G41" s="110">
        <v>18.190000000000001</v>
      </c>
      <c r="H41" s="110">
        <v>2.2799999999999998</v>
      </c>
      <c r="I41" s="110">
        <v>0</v>
      </c>
      <c r="J41" s="110"/>
      <c r="K41" s="110"/>
    </row>
    <row r="42" spans="1:11" x14ac:dyDescent="0.25">
      <c r="A42" s="109">
        <v>65</v>
      </c>
      <c r="B42" s="110">
        <v>17.559999999999999</v>
      </c>
      <c r="C42" s="110">
        <v>2.27</v>
      </c>
      <c r="D42" s="110">
        <v>0</v>
      </c>
      <c r="E42" s="110"/>
      <c r="F42" s="110"/>
      <c r="G42" s="110">
        <v>17.559999999999999</v>
      </c>
      <c r="H42" s="110">
        <v>2.27</v>
      </c>
      <c r="I42" s="110">
        <v>0</v>
      </c>
      <c r="J42" s="110"/>
      <c r="K42" s="110"/>
    </row>
    <row r="43" spans="1:11" x14ac:dyDescent="0.25">
      <c r="A43" s="109">
        <v>66</v>
      </c>
      <c r="B43" s="110">
        <v>16.940000000000001</v>
      </c>
      <c r="C43" s="110">
        <v>2.2599999999999998</v>
      </c>
      <c r="D43" s="110">
        <v>0</v>
      </c>
      <c r="E43" s="110"/>
      <c r="F43" s="110"/>
      <c r="G43" s="110">
        <v>16.940000000000001</v>
      </c>
      <c r="H43" s="110">
        <v>2.2599999999999998</v>
      </c>
      <c r="I43" s="110">
        <v>0</v>
      </c>
      <c r="J43" s="110"/>
      <c r="K43" s="110"/>
    </row>
    <row r="44" spans="1:11" x14ac:dyDescent="0.25">
      <c r="A44" s="109">
        <v>67</v>
      </c>
      <c r="B44" s="110">
        <v>16.309999999999999</v>
      </c>
      <c r="C44" s="110">
        <v>2.25</v>
      </c>
      <c r="D44" s="110">
        <v>0</v>
      </c>
      <c r="E44" s="110"/>
      <c r="F44" s="110"/>
      <c r="G44" s="110">
        <v>16.309999999999999</v>
      </c>
      <c r="H44" s="110">
        <v>2.25</v>
      </c>
      <c r="I44" s="110">
        <v>0</v>
      </c>
      <c r="J44" s="110"/>
      <c r="K44" s="110"/>
    </row>
    <row r="45" spans="1:11" x14ac:dyDescent="0.25">
      <c r="A45" s="109">
        <v>68</v>
      </c>
      <c r="B45" s="110">
        <v>15.68</v>
      </c>
      <c r="C45" s="110">
        <v>2.23</v>
      </c>
      <c r="D45" s="110">
        <v>0</v>
      </c>
      <c r="E45" s="110"/>
      <c r="F45" s="110"/>
      <c r="G45" s="110">
        <v>15.68</v>
      </c>
      <c r="H45" s="110">
        <v>2.23</v>
      </c>
      <c r="I45" s="110">
        <v>0</v>
      </c>
      <c r="J45" s="110"/>
      <c r="K45" s="110"/>
    </row>
    <row r="46" spans="1:11" x14ac:dyDescent="0.25">
      <c r="A46" s="109">
        <v>69</v>
      </c>
      <c r="B46" s="110">
        <v>15.05</v>
      </c>
      <c r="C46" s="110">
        <v>2.17</v>
      </c>
      <c r="D46" s="110">
        <v>0</v>
      </c>
      <c r="E46" s="110">
        <v>3</v>
      </c>
      <c r="F46" s="110">
        <v>0.99</v>
      </c>
      <c r="G46" s="110">
        <v>15.05</v>
      </c>
      <c r="H46" s="110">
        <v>2.17</v>
      </c>
      <c r="I46" s="110">
        <v>0</v>
      </c>
      <c r="J46" s="110">
        <v>2.62</v>
      </c>
      <c r="K46" s="110">
        <v>0.9</v>
      </c>
    </row>
    <row r="47" spans="1:11" x14ac:dyDescent="0.25">
      <c r="A47" s="109">
        <v>70</v>
      </c>
      <c r="B47" s="110">
        <v>14.43</v>
      </c>
      <c r="C47" s="110">
        <v>2.1</v>
      </c>
      <c r="D47" s="110">
        <v>0</v>
      </c>
      <c r="E47" s="110">
        <v>2.79</v>
      </c>
      <c r="F47" s="110">
        <v>0.92</v>
      </c>
      <c r="G47" s="110">
        <v>14.43</v>
      </c>
      <c r="H47" s="110">
        <v>2.1</v>
      </c>
      <c r="I47" s="110">
        <v>0</v>
      </c>
      <c r="J47" s="110">
        <v>2.4300000000000002</v>
      </c>
      <c r="K47" s="110">
        <v>0.83</v>
      </c>
    </row>
    <row r="48" spans="1:11" x14ac:dyDescent="0.25">
      <c r="A48" s="109">
        <v>71</v>
      </c>
      <c r="B48" s="110">
        <v>13.8</v>
      </c>
      <c r="C48" s="110">
        <v>2.08</v>
      </c>
      <c r="D48" s="110">
        <v>0</v>
      </c>
      <c r="E48" s="110">
        <v>2.59</v>
      </c>
      <c r="F48" s="110">
        <v>0.85</v>
      </c>
      <c r="G48" s="110">
        <v>13.8</v>
      </c>
      <c r="H48" s="110">
        <v>2.08</v>
      </c>
      <c r="I48" s="110">
        <v>0</v>
      </c>
      <c r="J48" s="110">
        <v>2.2400000000000002</v>
      </c>
      <c r="K48" s="110">
        <v>0.77</v>
      </c>
    </row>
    <row r="49" spans="1:11" x14ac:dyDescent="0.25">
      <c r="A49" s="109">
        <v>72</v>
      </c>
      <c r="B49" s="110">
        <v>13.18</v>
      </c>
      <c r="C49" s="110">
        <v>2.0499999999999998</v>
      </c>
      <c r="D49" s="110">
        <v>0</v>
      </c>
      <c r="E49" s="110">
        <v>2.41</v>
      </c>
      <c r="F49" s="110">
        <v>0.79</v>
      </c>
      <c r="G49" s="110">
        <v>13.18</v>
      </c>
      <c r="H49" s="110">
        <v>2.0499999999999998</v>
      </c>
      <c r="I49" s="110">
        <v>0</v>
      </c>
      <c r="J49" s="110">
        <v>2.06</v>
      </c>
      <c r="K49" s="110">
        <v>0.7</v>
      </c>
    </row>
    <row r="50" spans="1:11" x14ac:dyDescent="0.25">
      <c r="A50" s="109">
        <v>73</v>
      </c>
      <c r="B50" s="110">
        <v>12.57</v>
      </c>
      <c r="C50" s="110">
        <v>2.02</v>
      </c>
      <c r="D50" s="110">
        <v>0</v>
      </c>
      <c r="E50" s="110">
        <v>2.23</v>
      </c>
      <c r="F50" s="110">
        <v>0.73</v>
      </c>
      <c r="G50" s="110">
        <v>12.57</v>
      </c>
      <c r="H50" s="110">
        <v>2.02</v>
      </c>
      <c r="I50" s="110">
        <v>0</v>
      </c>
      <c r="J50" s="110">
        <v>1.89</v>
      </c>
      <c r="K50" s="110">
        <v>0.64</v>
      </c>
    </row>
    <row r="51" spans="1:11" x14ac:dyDescent="0.25">
      <c r="A51" s="109">
        <v>74</v>
      </c>
      <c r="B51" s="110">
        <v>11.96</v>
      </c>
      <c r="C51" s="110">
        <v>1.9</v>
      </c>
      <c r="D51" s="110">
        <v>0</v>
      </c>
      <c r="E51" s="110">
        <v>2.04</v>
      </c>
      <c r="F51" s="110">
        <v>0.66</v>
      </c>
      <c r="G51" s="110">
        <v>11.96</v>
      </c>
      <c r="H51" s="110">
        <v>1.9</v>
      </c>
      <c r="I51" s="110">
        <v>0</v>
      </c>
      <c r="J51" s="110">
        <v>1.73</v>
      </c>
      <c r="K51" s="110">
        <v>0.57999999999999996</v>
      </c>
    </row>
    <row r="52" spans="1:11" x14ac:dyDescent="0.25">
      <c r="A52" s="109">
        <v>75</v>
      </c>
      <c r="B52" s="110">
        <v>11.37</v>
      </c>
      <c r="C52" s="110">
        <v>1.77</v>
      </c>
      <c r="D52" s="110">
        <v>0</v>
      </c>
      <c r="E52" s="110">
        <v>1.86</v>
      </c>
      <c r="F52" s="110">
        <v>0.6</v>
      </c>
      <c r="G52" s="110">
        <v>11.37</v>
      </c>
      <c r="H52" s="110">
        <v>1.77</v>
      </c>
      <c r="I52" s="110">
        <v>0</v>
      </c>
      <c r="J52" s="110">
        <v>1.57</v>
      </c>
      <c r="K52" s="110">
        <v>0.53</v>
      </c>
    </row>
    <row r="53" spans="1:11" x14ac:dyDescent="0.25">
      <c r="A53" s="109">
        <v>76</v>
      </c>
      <c r="B53" s="110">
        <v>10.78</v>
      </c>
      <c r="C53" s="110">
        <v>1.73</v>
      </c>
      <c r="D53" s="110"/>
      <c r="E53" s="110">
        <v>1.71</v>
      </c>
      <c r="F53" s="110">
        <v>0.55000000000000004</v>
      </c>
      <c r="G53" s="110">
        <v>10.78</v>
      </c>
      <c r="H53" s="110">
        <v>1.73</v>
      </c>
      <c r="I53" s="110"/>
      <c r="J53" s="110">
        <v>1.43</v>
      </c>
      <c r="K53" s="110">
        <v>0.48</v>
      </c>
    </row>
    <row r="54" spans="1:11" x14ac:dyDescent="0.25">
      <c r="A54" s="109">
        <v>77</v>
      </c>
      <c r="B54" s="110">
        <v>10.199999999999999</v>
      </c>
      <c r="C54" s="110">
        <v>1.69</v>
      </c>
      <c r="D54" s="110"/>
      <c r="E54" s="110">
        <v>1.56</v>
      </c>
      <c r="F54" s="110">
        <v>0.5</v>
      </c>
      <c r="G54" s="110">
        <v>10.199999999999999</v>
      </c>
      <c r="H54" s="110">
        <v>1.69</v>
      </c>
      <c r="I54" s="110"/>
      <c r="J54" s="110">
        <v>1.29</v>
      </c>
      <c r="K54" s="110">
        <v>0.43</v>
      </c>
    </row>
    <row r="55" spans="1:11" x14ac:dyDescent="0.25">
      <c r="A55" s="109">
        <v>78</v>
      </c>
      <c r="B55" s="110">
        <v>9.6300000000000008</v>
      </c>
      <c r="C55" s="110">
        <v>1.64</v>
      </c>
      <c r="D55" s="110"/>
      <c r="E55" s="110">
        <v>1.42</v>
      </c>
      <c r="F55" s="110">
        <v>0.46</v>
      </c>
      <c r="G55" s="110">
        <v>9.6300000000000008</v>
      </c>
      <c r="H55" s="110">
        <v>1.64</v>
      </c>
      <c r="I55" s="110"/>
      <c r="J55" s="110">
        <v>1.17</v>
      </c>
      <c r="K55" s="110">
        <v>0.39</v>
      </c>
    </row>
    <row r="56" spans="1:11" x14ac:dyDescent="0.25">
      <c r="A56" s="109">
        <v>79</v>
      </c>
      <c r="B56" s="110">
        <v>9.08</v>
      </c>
      <c r="C56" s="110">
        <v>1.47</v>
      </c>
      <c r="D56" s="110"/>
      <c r="E56" s="110">
        <v>1.27</v>
      </c>
      <c r="F56" s="110">
        <v>0.41</v>
      </c>
      <c r="G56" s="110">
        <v>9.08</v>
      </c>
      <c r="H56" s="110">
        <v>1.47</v>
      </c>
      <c r="I56" s="110"/>
      <c r="J56" s="110">
        <v>1.05</v>
      </c>
      <c r="K56" s="110">
        <v>0.35</v>
      </c>
    </row>
    <row r="57" spans="1:11" x14ac:dyDescent="0.25">
      <c r="A57" s="109">
        <v>80</v>
      </c>
      <c r="B57" s="110">
        <v>8.5500000000000007</v>
      </c>
      <c r="C57" s="110">
        <v>1.3</v>
      </c>
      <c r="D57" s="110"/>
      <c r="E57" s="110">
        <v>1.1399999999999999</v>
      </c>
      <c r="F57" s="110">
        <v>0.36</v>
      </c>
      <c r="G57" s="110">
        <v>8.5500000000000007</v>
      </c>
      <c r="H57" s="110">
        <v>1.3</v>
      </c>
      <c r="I57" s="110"/>
      <c r="J57" s="110">
        <v>0.94</v>
      </c>
      <c r="K57" s="110">
        <v>0.31</v>
      </c>
    </row>
    <row r="58" spans="1:11" x14ac:dyDescent="0.25">
      <c r="A58" s="109">
        <v>81</v>
      </c>
      <c r="B58" s="110">
        <v>8.0299999999999994</v>
      </c>
      <c r="C58" s="110">
        <v>1.25</v>
      </c>
      <c r="D58" s="110"/>
      <c r="E58" s="110">
        <v>1.03</v>
      </c>
      <c r="F58" s="110">
        <v>0.33</v>
      </c>
      <c r="G58" s="110">
        <v>8.0299999999999994</v>
      </c>
      <c r="H58" s="110">
        <v>1.25</v>
      </c>
      <c r="I58" s="110"/>
      <c r="J58" s="110">
        <v>0.84</v>
      </c>
      <c r="K58" s="110">
        <v>0.27</v>
      </c>
    </row>
    <row r="59" spans="1:11" x14ac:dyDescent="0.25">
      <c r="A59" s="109">
        <v>82</v>
      </c>
      <c r="B59" s="110">
        <v>7.53</v>
      </c>
      <c r="C59" s="110">
        <v>1.2</v>
      </c>
      <c r="D59" s="110"/>
      <c r="E59" s="110">
        <v>0.92</v>
      </c>
      <c r="F59" s="110">
        <v>0.28999999999999998</v>
      </c>
      <c r="G59" s="110">
        <v>7.53</v>
      </c>
      <c r="H59" s="110">
        <v>1.2</v>
      </c>
      <c r="I59" s="110"/>
      <c r="J59" s="110">
        <v>0.74</v>
      </c>
      <c r="K59" s="110">
        <v>0.24</v>
      </c>
    </row>
    <row r="60" spans="1:11" x14ac:dyDescent="0.25">
      <c r="A60" s="109">
        <v>83</v>
      </c>
      <c r="B60" s="110">
        <v>7.05</v>
      </c>
      <c r="C60" s="110">
        <v>1.1499999999999999</v>
      </c>
      <c r="D60" s="110"/>
      <c r="E60" s="110">
        <v>0.83</v>
      </c>
      <c r="F60" s="110">
        <v>0.26</v>
      </c>
      <c r="G60" s="110">
        <v>7.05</v>
      </c>
      <c r="H60" s="110">
        <v>1.1499999999999999</v>
      </c>
      <c r="I60" s="110"/>
      <c r="J60" s="110">
        <v>0.66</v>
      </c>
      <c r="K60" s="110">
        <v>0.21</v>
      </c>
    </row>
    <row r="61" spans="1:11" x14ac:dyDescent="0.25">
      <c r="A61" s="109">
        <v>84</v>
      </c>
      <c r="B61" s="110">
        <v>6.59</v>
      </c>
      <c r="C61" s="110">
        <v>0.98</v>
      </c>
      <c r="D61" s="110"/>
      <c r="E61" s="110">
        <v>0.73</v>
      </c>
      <c r="F61" s="110">
        <v>0.23</v>
      </c>
      <c r="G61" s="110">
        <v>6.59</v>
      </c>
      <c r="H61" s="110">
        <v>0.98</v>
      </c>
      <c r="I61" s="110"/>
      <c r="J61" s="110">
        <v>0.57999999999999996</v>
      </c>
      <c r="K61" s="110">
        <v>0.19</v>
      </c>
    </row>
    <row r="62" spans="1:11" x14ac:dyDescent="0.25">
      <c r="A62" s="109">
        <v>85</v>
      </c>
      <c r="B62" s="110">
        <v>6.15</v>
      </c>
      <c r="C62" s="110">
        <v>0.82</v>
      </c>
      <c r="D62" s="110"/>
      <c r="E62" s="110">
        <v>0.63</v>
      </c>
      <c r="F62" s="110">
        <v>0.2</v>
      </c>
      <c r="G62" s="110">
        <v>6.15</v>
      </c>
      <c r="H62" s="110">
        <v>0.82</v>
      </c>
      <c r="I62" s="110"/>
      <c r="J62" s="110">
        <v>0.51</v>
      </c>
      <c r="K62" s="110">
        <v>0.16</v>
      </c>
    </row>
    <row r="63" spans="1:11" x14ac:dyDescent="0.25">
      <c r="A63" s="109">
        <v>86</v>
      </c>
      <c r="B63" s="110">
        <v>5.73</v>
      </c>
      <c r="C63" s="110">
        <v>0.78</v>
      </c>
      <c r="D63" s="110"/>
      <c r="E63" s="110">
        <v>0.56000000000000005</v>
      </c>
      <c r="F63" s="110">
        <v>0.18</v>
      </c>
      <c r="G63" s="110">
        <v>5.73</v>
      </c>
      <c r="H63" s="110">
        <v>0.78</v>
      </c>
      <c r="I63" s="110"/>
      <c r="J63" s="110">
        <v>0.45</v>
      </c>
      <c r="K63" s="110">
        <v>0.14000000000000001</v>
      </c>
    </row>
    <row r="64" spans="1:11" x14ac:dyDescent="0.25">
      <c r="A64" s="109">
        <v>87</v>
      </c>
      <c r="B64" s="110">
        <v>5.33</v>
      </c>
      <c r="C64" s="110">
        <v>0.73</v>
      </c>
      <c r="D64" s="110"/>
      <c r="E64" s="110">
        <v>0.5</v>
      </c>
      <c r="F64" s="110">
        <v>0.16</v>
      </c>
      <c r="G64" s="110">
        <v>5.33</v>
      </c>
      <c r="H64" s="110">
        <v>0.73</v>
      </c>
      <c r="I64" s="110"/>
      <c r="J64" s="110">
        <v>0.39</v>
      </c>
      <c r="K64" s="110">
        <v>0.12</v>
      </c>
    </row>
    <row r="65" spans="1:11" x14ac:dyDescent="0.25">
      <c r="A65" s="109">
        <v>88</v>
      </c>
      <c r="B65" s="110">
        <v>4.95</v>
      </c>
      <c r="C65" s="110">
        <v>0.69</v>
      </c>
      <c r="D65" s="110"/>
      <c r="E65" s="110">
        <v>0.44</v>
      </c>
      <c r="F65" s="110">
        <v>0.14000000000000001</v>
      </c>
      <c r="G65" s="110">
        <v>4.95</v>
      </c>
      <c r="H65" s="110">
        <v>0.69</v>
      </c>
      <c r="I65" s="110"/>
      <c r="J65" s="110">
        <v>0.34</v>
      </c>
      <c r="K65" s="110">
        <v>0.11</v>
      </c>
    </row>
    <row r="66" spans="1:11" x14ac:dyDescent="0.25">
      <c r="A66" s="109">
        <v>89</v>
      </c>
      <c r="B66" s="110">
        <v>4.59</v>
      </c>
      <c r="C66" s="110">
        <v>0.54</v>
      </c>
      <c r="D66" s="110"/>
      <c r="E66" s="110">
        <v>0.38</v>
      </c>
      <c r="F66" s="110">
        <v>0.12</v>
      </c>
      <c r="G66" s="110">
        <v>4.59</v>
      </c>
      <c r="H66" s="110">
        <v>0.54</v>
      </c>
      <c r="I66" s="110"/>
      <c r="J66" s="110">
        <v>0.3</v>
      </c>
      <c r="K66" s="110">
        <v>0.09</v>
      </c>
    </row>
    <row r="67" spans="1:11" x14ac:dyDescent="0.25">
      <c r="A67" s="109">
        <v>90</v>
      </c>
      <c r="B67" s="110">
        <v>4.26</v>
      </c>
      <c r="C67" s="110">
        <v>0.41</v>
      </c>
      <c r="D67" s="110"/>
      <c r="E67" s="110">
        <v>0.32</v>
      </c>
      <c r="F67" s="110">
        <v>0.1</v>
      </c>
      <c r="G67" s="110">
        <v>4.26</v>
      </c>
      <c r="H67" s="110">
        <v>0.41</v>
      </c>
      <c r="I67" s="110"/>
      <c r="J67" s="110">
        <v>0.26</v>
      </c>
      <c r="K67" s="110">
        <v>0.08</v>
      </c>
    </row>
    <row r="68" spans="1:11" x14ac:dyDescent="0.25">
      <c r="A68" s="109">
        <v>91</v>
      </c>
      <c r="B68" s="110">
        <v>3.94</v>
      </c>
      <c r="C68" s="110">
        <v>0.38</v>
      </c>
      <c r="D68" s="110"/>
      <c r="E68" s="110">
        <v>0.28000000000000003</v>
      </c>
      <c r="F68" s="110">
        <v>0.09</v>
      </c>
      <c r="G68" s="110">
        <v>3.94</v>
      </c>
      <c r="H68" s="110">
        <v>0.38</v>
      </c>
      <c r="I68" s="110"/>
      <c r="J68" s="110">
        <v>0.22</v>
      </c>
      <c r="K68" s="110">
        <v>7.0000000000000007E-2</v>
      </c>
    </row>
    <row r="69" spans="1:11" x14ac:dyDescent="0.25">
      <c r="A69" s="109">
        <v>92</v>
      </c>
      <c r="B69" s="110">
        <v>3.65</v>
      </c>
      <c r="C69" s="110">
        <v>0.35</v>
      </c>
      <c r="D69" s="110"/>
      <c r="E69" s="110">
        <v>0.25</v>
      </c>
      <c r="F69" s="110">
        <v>0.08</v>
      </c>
      <c r="G69" s="110">
        <v>3.65</v>
      </c>
      <c r="H69" s="110">
        <v>0.35</v>
      </c>
      <c r="I69" s="110"/>
      <c r="J69" s="110">
        <v>0.19</v>
      </c>
      <c r="K69" s="110">
        <v>0.06</v>
      </c>
    </row>
    <row r="70" spans="1:11" x14ac:dyDescent="0.25">
      <c r="A70" s="109">
        <v>93</v>
      </c>
      <c r="B70" s="110">
        <v>3.39</v>
      </c>
      <c r="C70" s="110">
        <v>0.32</v>
      </c>
      <c r="D70" s="110"/>
      <c r="E70" s="110">
        <v>0.22</v>
      </c>
      <c r="F70" s="110">
        <v>7.0000000000000007E-2</v>
      </c>
      <c r="G70" s="110">
        <v>3.39</v>
      </c>
      <c r="H70" s="110">
        <v>0.32</v>
      </c>
      <c r="I70" s="110"/>
      <c r="J70" s="110">
        <v>0.16</v>
      </c>
      <c r="K70" s="110">
        <v>0.05</v>
      </c>
    </row>
    <row r="71" spans="1:11" x14ac:dyDescent="0.25">
      <c r="A71" s="109">
        <v>94</v>
      </c>
      <c r="B71" s="110">
        <v>3.15</v>
      </c>
      <c r="C71" s="110">
        <v>0.3</v>
      </c>
      <c r="D71" s="110"/>
      <c r="E71" s="110">
        <v>0.19</v>
      </c>
      <c r="F71" s="110">
        <v>0.06</v>
      </c>
      <c r="G71" s="110">
        <v>3.15</v>
      </c>
      <c r="H71" s="110">
        <v>0.3</v>
      </c>
      <c r="I71" s="110"/>
      <c r="J71" s="110">
        <v>0.14000000000000001</v>
      </c>
      <c r="K71" s="110">
        <v>0.04</v>
      </c>
    </row>
    <row r="72" spans="1:11" x14ac:dyDescent="0.25">
      <c r="A72" s="109">
        <v>95</v>
      </c>
      <c r="B72" s="110">
        <v>2.93</v>
      </c>
      <c r="C72" s="110">
        <v>0.28000000000000003</v>
      </c>
      <c r="D72" s="110"/>
      <c r="E72" s="110">
        <v>0.17</v>
      </c>
      <c r="F72" s="110">
        <v>0.05</v>
      </c>
      <c r="G72" s="110">
        <v>2.93</v>
      </c>
      <c r="H72" s="110">
        <v>0.28000000000000003</v>
      </c>
      <c r="I72" s="110"/>
      <c r="J72" s="110">
        <v>0.12</v>
      </c>
      <c r="K72" s="110">
        <v>0.04</v>
      </c>
    </row>
    <row r="73" spans="1:11" x14ac:dyDescent="0.25">
      <c r="A73" s="109">
        <v>96</v>
      </c>
      <c r="B73" s="110">
        <v>2.73</v>
      </c>
      <c r="C73" s="110">
        <v>0.25</v>
      </c>
      <c r="D73" s="110"/>
      <c r="E73" s="110">
        <v>0.15</v>
      </c>
      <c r="F73" s="110">
        <v>0.05</v>
      </c>
      <c r="G73" s="110">
        <v>2.73</v>
      </c>
      <c r="H73" s="110">
        <v>0.25</v>
      </c>
      <c r="I73" s="110"/>
      <c r="J73" s="110">
        <v>0.11</v>
      </c>
      <c r="K73" s="110">
        <v>0.03</v>
      </c>
    </row>
    <row r="74" spans="1:11" x14ac:dyDescent="0.25">
      <c r="A74" s="109">
        <v>97</v>
      </c>
      <c r="B74" s="110">
        <v>2.56</v>
      </c>
      <c r="C74" s="110">
        <v>0.23</v>
      </c>
      <c r="D74" s="110"/>
      <c r="E74" s="110">
        <v>0.14000000000000001</v>
      </c>
      <c r="F74" s="110">
        <v>0.04</v>
      </c>
      <c r="G74" s="110">
        <v>2.56</v>
      </c>
      <c r="H74" s="110">
        <v>0.23</v>
      </c>
      <c r="I74" s="110"/>
      <c r="J74" s="110">
        <v>0.09</v>
      </c>
      <c r="K74" s="110">
        <v>0.03</v>
      </c>
    </row>
    <row r="75" spans="1:11" x14ac:dyDescent="0.25">
      <c r="A75" s="109">
        <v>98</v>
      </c>
      <c r="B75" s="110">
        <v>2.41</v>
      </c>
      <c r="C75" s="110">
        <v>0.22</v>
      </c>
      <c r="D75" s="110"/>
      <c r="E75" s="110">
        <v>0.12</v>
      </c>
      <c r="F75" s="110">
        <v>0.04</v>
      </c>
      <c r="G75" s="110">
        <v>2.41</v>
      </c>
      <c r="H75" s="110">
        <v>0.22</v>
      </c>
      <c r="I75" s="110"/>
      <c r="J75" s="110">
        <v>0.08</v>
      </c>
      <c r="K75" s="110">
        <v>0.03</v>
      </c>
    </row>
  </sheetData>
  <conditionalFormatting sqref="A6:A21">
    <cfRule type="expression" dxfId="961" priority="3" stopIfTrue="1">
      <formula>MOD(ROW(),2)=0</formula>
    </cfRule>
    <cfRule type="expression" dxfId="960" priority="4" stopIfTrue="1">
      <formula>MOD(ROW(),2)&lt;&gt;0</formula>
    </cfRule>
  </conditionalFormatting>
  <conditionalFormatting sqref="A26:A75">
    <cfRule type="expression" dxfId="959" priority="7" stopIfTrue="1">
      <formula>MOD(ROW(),2)=0</formula>
    </cfRule>
    <cfRule type="expression" dxfId="958" priority="8" stopIfTrue="1">
      <formula>MOD(ROW(),2)&lt;&gt;0</formula>
    </cfRule>
  </conditionalFormatting>
  <conditionalFormatting sqref="B12">
    <cfRule type="expression" dxfId="957" priority="17" stopIfTrue="1">
      <formula>MOD(ROW(),2)=0</formula>
    </cfRule>
    <cfRule type="expression" dxfId="956" priority="18" stopIfTrue="1">
      <formula>MOD(ROW(),2)&lt;&gt;0</formula>
    </cfRule>
  </conditionalFormatting>
  <conditionalFormatting sqref="B17:B21">
    <cfRule type="expression" dxfId="955" priority="1" stopIfTrue="1">
      <formula>MOD(ROW(),2)=0</formula>
    </cfRule>
    <cfRule type="expression" dxfId="954" priority="2" stopIfTrue="1">
      <formula>MOD(ROW(),2)&lt;&gt;0</formula>
    </cfRule>
  </conditionalFormatting>
  <conditionalFormatting sqref="B6:K6 C7:K7 C12:K12 B13:K16 C17:K21">
    <cfRule type="expression" dxfId="953" priority="41" stopIfTrue="1">
      <formula>MOD(ROW(),2)=0</formula>
    </cfRule>
    <cfRule type="expression" dxfId="952" priority="42" stopIfTrue="1">
      <formula>MOD(ROW(),2)&lt;&gt;0</formula>
    </cfRule>
  </conditionalFormatting>
  <conditionalFormatting sqref="B6:K21">
    <cfRule type="expression" dxfId="951" priority="27" stopIfTrue="1">
      <formula>MOD(ROW(),2)=0</formula>
    </cfRule>
    <cfRule type="expression" dxfId="950" priority="28" stopIfTrue="1">
      <formula>MOD(ROW(),2)&lt;&gt;0</formula>
    </cfRule>
  </conditionalFormatting>
  <conditionalFormatting sqref="B8:K11">
    <cfRule type="expression" dxfId="949" priority="33" stopIfTrue="1">
      <formula>MOD(ROW(),2)=0</formula>
    </cfRule>
    <cfRule type="expression" dxfId="948" priority="34" stopIfTrue="1">
      <formula>MOD(ROW(),2)&lt;&gt;0</formula>
    </cfRule>
  </conditionalFormatting>
  <conditionalFormatting sqref="B26:K75">
    <cfRule type="expression" dxfId="947" priority="9" stopIfTrue="1">
      <formula>MOD(ROW(),2)=0</formula>
    </cfRule>
    <cfRule type="expression" dxfId="946" priority="10" stopIfTrue="1">
      <formula>MOD(ROW(),2)&lt;&gt;0</formula>
    </cfRule>
  </conditionalFormatting>
  <hyperlinks>
    <hyperlink ref="B24" location="Assumptions!A1" display="Assumptions" xr:uid="{75C723B6-5E2A-40B2-BA43-29B90E0A65E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K105"/>
  <sheetViews>
    <sheetView workbookViewId="0"/>
  </sheetViews>
  <sheetFormatPr defaultColWidth="10" defaultRowHeight="12.5" x14ac:dyDescent="0.25"/>
  <cols>
    <col min="1" max="1" width="31.54296875" style="28" customWidth="1"/>
    <col min="2" max="11" width="22.54296875" style="28" customWidth="1"/>
    <col min="12" max="16384" width="10" style="28"/>
  </cols>
  <sheetData>
    <row r="1" spans="1:11" ht="20" x14ac:dyDescent="0.4">
      <c r="A1" s="53" t="s">
        <v>0</v>
      </c>
      <c r="B1" s="54"/>
      <c r="C1" s="54"/>
      <c r="D1" s="54"/>
      <c r="E1" s="54"/>
      <c r="F1" s="54"/>
      <c r="G1" s="54"/>
      <c r="H1" s="54"/>
      <c r="I1" s="54"/>
    </row>
    <row r="2" spans="1:11"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1" ht="15.5" x14ac:dyDescent="0.35">
      <c r="A3" s="57" t="str">
        <f>TABLE_FACTOR_TYPE_1&amp;" - x-"&amp;TABLE_SERIES_NUMBER_1</f>
        <v>Pensioner CE - x-304</v>
      </c>
      <c r="B3" s="56"/>
      <c r="C3" s="56"/>
      <c r="D3" s="56"/>
      <c r="E3" s="56"/>
      <c r="F3" s="56"/>
      <c r="G3" s="56"/>
      <c r="H3" s="56"/>
      <c r="I3" s="56"/>
    </row>
    <row r="4" spans="1:11" x14ac:dyDescent="0.25">
      <c r="A4" s="58"/>
    </row>
    <row r="6" spans="1:11" ht="13" x14ac:dyDescent="0.3">
      <c r="A6" s="86" t="s">
        <v>716</v>
      </c>
      <c r="B6" s="111" t="s">
        <v>717</v>
      </c>
      <c r="C6" s="111"/>
      <c r="D6" s="111"/>
      <c r="E6" s="111"/>
      <c r="F6" s="111"/>
      <c r="G6" s="111"/>
      <c r="H6" s="111"/>
      <c r="I6" s="111"/>
      <c r="J6" s="111"/>
      <c r="K6" s="111"/>
    </row>
    <row r="7" spans="1:11" x14ac:dyDescent="0.25">
      <c r="A7" s="87" t="s">
        <v>797</v>
      </c>
      <c r="B7" s="111" t="s">
        <v>326</v>
      </c>
      <c r="C7" s="111"/>
      <c r="D7" s="111"/>
      <c r="E7" s="111"/>
      <c r="F7" s="111"/>
      <c r="G7" s="111"/>
      <c r="H7" s="111"/>
      <c r="I7" s="111"/>
      <c r="J7" s="111"/>
      <c r="K7" s="111"/>
    </row>
    <row r="8" spans="1:11" x14ac:dyDescent="0.25">
      <c r="A8" s="87" t="s">
        <v>798</v>
      </c>
      <c r="B8" s="111" t="s">
        <v>395</v>
      </c>
      <c r="C8" s="111"/>
      <c r="D8" s="111"/>
      <c r="E8" s="111"/>
      <c r="F8" s="111"/>
      <c r="G8" s="111"/>
      <c r="H8" s="111"/>
      <c r="I8" s="111"/>
      <c r="J8" s="111"/>
      <c r="K8" s="111"/>
    </row>
    <row r="9" spans="1:11" x14ac:dyDescent="0.25">
      <c r="A9" s="87" t="s">
        <v>300</v>
      </c>
      <c r="B9" s="111" t="s">
        <v>387</v>
      </c>
      <c r="C9" s="111"/>
      <c r="D9" s="111"/>
      <c r="E9" s="111"/>
      <c r="F9" s="111"/>
      <c r="G9" s="111"/>
      <c r="H9" s="111"/>
      <c r="I9" s="111"/>
      <c r="J9" s="111"/>
      <c r="K9" s="111"/>
    </row>
    <row r="10" spans="1:11" x14ac:dyDescent="0.25">
      <c r="A10" s="87" t="s">
        <v>6</v>
      </c>
      <c r="B10" s="111" t="s">
        <v>400</v>
      </c>
      <c r="C10" s="111"/>
      <c r="D10" s="111"/>
      <c r="E10" s="111"/>
      <c r="F10" s="111"/>
      <c r="G10" s="111"/>
      <c r="H10" s="111"/>
      <c r="I10" s="111"/>
      <c r="J10" s="111"/>
      <c r="K10" s="111"/>
    </row>
    <row r="11" spans="1:11" x14ac:dyDescent="0.25">
      <c r="A11" s="87" t="s">
        <v>301</v>
      </c>
      <c r="B11" s="111" t="s">
        <v>334</v>
      </c>
      <c r="C11" s="111"/>
      <c r="D11" s="111"/>
      <c r="E11" s="111"/>
      <c r="F11" s="111"/>
      <c r="G11" s="111"/>
      <c r="H11" s="111"/>
      <c r="I11" s="111"/>
      <c r="J11" s="111"/>
      <c r="K11" s="111"/>
    </row>
    <row r="12" spans="1:11" x14ac:dyDescent="0.25">
      <c r="A12" s="87" t="s">
        <v>302</v>
      </c>
      <c r="B12" s="111" t="s">
        <v>335</v>
      </c>
      <c r="C12" s="111"/>
      <c r="D12" s="111"/>
      <c r="E12" s="111"/>
      <c r="F12" s="111"/>
      <c r="G12" s="111"/>
      <c r="H12" s="111"/>
      <c r="I12" s="111"/>
      <c r="J12" s="111"/>
      <c r="K12" s="111"/>
    </row>
    <row r="13" spans="1:11" x14ac:dyDescent="0.25">
      <c r="A13" s="87" t="s">
        <v>724</v>
      </c>
      <c r="B13" s="111">
        <v>1</v>
      </c>
      <c r="C13" s="111"/>
      <c r="D13" s="111"/>
      <c r="E13" s="111"/>
      <c r="F13" s="111"/>
      <c r="G13" s="111"/>
      <c r="H13" s="111"/>
      <c r="I13" s="111"/>
      <c r="J13" s="111"/>
      <c r="K13" s="111"/>
    </row>
    <row r="14" spans="1:11" x14ac:dyDescent="0.25">
      <c r="A14" s="87" t="s">
        <v>304</v>
      </c>
      <c r="B14" s="111">
        <v>304</v>
      </c>
      <c r="C14" s="111"/>
      <c r="D14" s="111"/>
      <c r="E14" s="111"/>
      <c r="F14" s="111"/>
      <c r="G14" s="111"/>
      <c r="H14" s="111"/>
      <c r="I14" s="111"/>
      <c r="J14" s="111"/>
      <c r="K14" s="111"/>
    </row>
    <row r="15" spans="1:11" x14ac:dyDescent="0.25">
      <c r="A15" s="87" t="s">
        <v>727</v>
      </c>
      <c r="B15" s="111" t="s">
        <v>401</v>
      </c>
      <c r="C15" s="111"/>
      <c r="D15" s="111"/>
      <c r="E15" s="111"/>
      <c r="F15" s="111"/>
      <c r="G15" s="111"/>
      <c r="H15" s="111"/>
      <c r="I15" s="111"/>
      <c r="J15" s="111"/>
      <c r="K15" s="111"/>
    </row>
    <row r="16" spans="1:11" x14ac:dyDescent="0.25">
      <c r="A16" s="87" t="s">
        <v>306</v>
      </c>
      <c r="B16" s="111" t="s">
        <v>402</v>
      </c>
      <c r="C16" s="111"/>
      <c r="D16" s="111"/>
      <c r="E16" s="111"/>
      <c r="F16" s="111"/>
      <c r="G16" s="111"/>
      <c r="H16" s="111"/>
      <c r="I16" s="111"/>
      <c r="J16" s="111"/>
      <c r="K16" s="111"/>
    </row>
    <row r="17" spans="1:11" x14ac:dyDescent="0.25">
      <c r="A17" s="94" t="s">
        <v>800</v>
      </c>
      <c r="B17" s="111"/>
      <c r="C17" s="111"/>
      <c r="D17" s="111"/>
      <c r="E17" s="111"/>
      <c r="F17" s="111"/>
      <c r="G17" s="111"/>
      <c r="H17" s="111"/>
      <c r="I17" s="111"/>
      <c r="J17" s="111"/>
      <c r="K17" s="111"/>
    </row>
    <row r="18" spans="1:11" x14ac:dyDescent="0.25">
      <c r="A18" s="87" t="s">
        <v>308</v>
      </c>
      <c r="B18" s="122">
        <v>45071</v>
      </c>
      <c r="C18" s="111"/>
      <c r="D18" s="111"/>
      <c r="E18" s="111"/>
      <c r="F18" s="111"/>
      <c r="G18" s="111"/>
      <c r="H18" s="111"/>
      <c r="I18" s="111"/>
      <c r="J18" s="111"/>
      <c r="K18" s="111"/>
    </row>
    <row r="19" spans="1:11" x14ac:dyDescent="0.25">
      <c r="A19" s="87" t="s">
        <v>309</v>
      </c>
      <c r="B19" s="122">
        <v>45014</v>
      </c>
      <c r="C19" s="111"/>
      <c r="D19" s="111"/>
      <c r="E19" s="111"/>
      <c r="F19" s="111"/>
      <c r="G19" s="111"/>
      <c r="H19" s="111"/>
      <c r="I19" s="111"/>
      <c r="J19" s="111"/>
      <c r="K19" s="111"/>
    </row>
    <row r="20" spans="1:11" x14ac:dyDescent="0.25">
      <c r="A20" s="87" t="s">
        <v>310</v>
      </c>
      <c r="B20" s="111" t="s">
        <v>324</v>
      </c>
      <c r="C20" s="111"/>
      <c r="D20" s="111"/>
      <c r="E20" s="111"/>
      <c r="F20" s="111"/>
      <c r="G20" s="111"/>
      <c r="H20" s="111"/>
      <c r="I20" s="111"/>
      <c r="J20" s="111"/>
      <c r="K20" s="111"/>
    </row>
    <row r="21" spans="1:11" x14ac:dyDescent="0.25">
      <c r="A21" s="87" t="s">
        <v>311</v>
      </c>
      <c r="B21" s="111" t="s">
        <v>325</v>
      </c>
      <c r="C21" s="111"/>
      <c r="D21" s="111"/>
      <c r="E21" s="111"/>
      <c r="F21" s="111"/>
      <c r="G21" s="111"/>
      <c r="H21" s="111"/>
      <c r="I21" s="111"/>
      <c r="J21" s="111"/>
      <c r="K21" s="111"/>
    </row>
    <row r="23" spans="1:11" x14ac:dyDescent="0.25">
      <c r="B23" s="104" t="str">
        <f>HYPERLINK("#'Factor List'!A1","Back to Factor List")</f>
        <v>Back to Factor List</v>
      </c>
    </row>
    <row r="24" spans="1:11" x14ac:dyDescent="0.25">
      <c r="B24" s="104" t="s">
        <v>13</v>
      </c>
    </row>
    <row r="26" spans="1:11" ht="39" x14ac:dyDescent="0.25">
      <c r="A26" s="108" t="s">
        <v>534</v>
      </c>
      <c r="B26" s="108" t="s">
        <v>819</v>
      </c>
      <c r="C26" s="108" t="s">
        <v>820</v>
      </c>
      <c r="D26" s="108" t="s">
        <v>827</v>
      </c>
      <c r="E26" s="108" t="s">
        <v>821</v>
      </c>
      <c r="F26" s="108" t="s">
        <v>822</v>
      </c>
      <c r="G26" s="108" t="s">
        <v>823</v>
      </c>
      <c r="H26" s="108" t="s">
        <v>824</v>
      </c>
      <c r="I26" s="108" t="s">
        <v>828</v>
      </c>
      <c r="J26" s="108" t="s">
        <v>825</v>
      </c>
      <c r="K26" s="108" t="s">
        <v>826</v>
      </c>
    </row>
    <row r="27" spans="1:11" x14ac:dyDescent="0.25">
      <c r="A27" s="109">
        <v>20</v>
      </c>
      <c r="B27" s="110">
        <v>40.07</v>
      </c>
      <c r="C27" s="110">
        <v>1.45</v>
      </c>
      <c r="D27" s="110">
        <v>0</v>
      </c>
      <c r="E27" s="110"/>
      <c r="F27" s="110"/>
      <c r="G27" s="110">
        <v>40.07</v>
      </c>
      <c r="H27" s="110">
        <v>1.45</v>
      </c>
      <c r="I27" s="110">
        <v>0</v>
      </c>
      <c r="J27" s="110"/>
      <c r="K27" s="110"/>
    </row>
    <row r="28" spans="1:11" x14ac:dyDescent="0.25">
      <c r="A28" s="109">
        <v>21</v>
      </c>
      <c r="B28" s="110">
        <v>39.71</v>
      </c>
      <c r="C28" s="110">
        <v>1.47</v>
      </c>
      <c r="D28" s="110">
        <v>0</v>
      </c>
      <c r="E28" s="110"/>
      <c r="F28" s="110"/>
      <c r="G28" s="110">
        <v>39.71</v>
      </c>
      <c r="H28" s="110">
        <v>1.47</v>
      </c>
      <c r="I28" s="110">
        <v>0</v>
      </c>
      <c r="J28" s="110"/>
      <c r="K28" s="110"/>
    </row>
    <row r="29" spans="1:11" x14ac:dyDescent="0.25">
      <c r="A29" s="109">
        <v>22</v>
      </c>
      <c r="B29" s="110">
        <v>39.36</v>
      </c>
      <c r="C29" s="110">
        <v>1.5</v>
      </c>
      <c r="D29" s="110">
        <v>0</v>
      </c>
      <c r="E29" s="110"/>
      <c r="F29" s="110"/>
      <c r="G29" s="110">
        <v>39.36</v>
      </c>
      <c r="H29" s="110">
        <v>1.5</v>
      </c>
      <c r="I29" s="110">
        <v>0</v>
      </c>
      <c r="J29" s="110"/>
      <c r="K29" s="110"/>
    </row>
    <row r="30" spans="1:11" x14ac:dyDescent="0.25">
      <c r="A30" s="109">
        <v>23</v>
      </c>
      <c r="B30" s="110">
        <v>38.99</v>
      </c>
      <c r="C30" s="110">
        <v>1.52</v>
      </c>
      <c r="D30" s="110">
        <v>0</v>
      </c>
      <c r="E30" s="110"/>
      <c r="F30" s="110"/>
      <c r="G30" s="110">
        <v>38.99</v>
      </c>
      <c r="H30" s="110">
        <v>1.52</v>
      </c>
      <c r="I30" s="110">
        <v>0</v>
      </c>
      <c r="J30" s="110"/>
      <c r="K30" s="110"/>
    </row>
    <row r="31" spans="1:11" x14ac:dyDescent="0.25">
      <c r="A31" s="109">
        <v>24</v>
      </c>
      <c r="B31" s="110">
        <v>38.619999999999997</v>
      </c>
      <c r="C31" s="110">
        <v>1.55</v>
      </c>
      <c r="D31" s="110">
        <v>0</v>
      </c>
      <c r="E31" s="110"/>
      <c r="F31" s="110"/>
      <c r="G31" s="110">
        <v>38.619999999999997</v>
      </c>
      <c r="H31" s="110">
        <v>1.55</v>
      </c>
      <c r="I31" s="110">
        <v>0</v>
      </c>
      <c r="J31" s="110"/>
      <c r="K31" s="110"/>
    </row>
    <row r="32" spans="1:11" x14ac:dyDescent="0.25">
      <c r="A32" s="109">
        <v>25</v>
      </c>
      <c r="B32" s="110">
        <v>38.24</v>
      </c>
      <c r="C32" s="110">
        <v>1.57</v>
      </c>
      <c r="D32" s="110">
        <v>0</v>
      </c>
      <c r="E32" s="110"/>
      <c r="F32" s="110"/>
      <c r="G32" s="110">
        <v>38.24</v>
      </c>
      <c r="H32" s="110">
        <v>1.57</v>
      </c>
      <c r="I32" s="110">
        <v>0</v>
      </c>
      <c r="J32" s="110"/>
      <c r="K32" s="110"/>
    </row>
    <row r="33" spans="1:11" x14ac:dyDescent="0.25">
      <c r="A33" s="109">
        <v>26</v>
      </c>
      <c r="B33" s="110">
        <v>37.86</v>
      </c>
      <c r="C33" s="110">
        <v>1.6</v>
      </c>
      <c r="D33" s="110">
        <v>0</v>
      </c>
      <c r="E33" s="110"/>
      <c r="F33" s="110"/>
      <c r="G33" s="110">
        <v>37.86</v>
      </c>
      <c r="H33" s="110">
        <v>1.6</v>
      </c>
      <c r="I33" s="110">
        <v>0</v>
      </c>
      <c r="J33" s="110"/>
      <c r="K33" s="110"/>
    </row>
    <row r="34" spans="1:11" x14ac:dyDescent="0.25">
      <c r="A34" s="109">
        <v>27</v>
      </c>
      <c r="B34" s="110">
        <v>37.47</v>
      </c>
      <c r="C34" s="110">
        <v>1.62</v>
      </c>
      <c r="D34" s="110">
        <v>0</v>
      </c>
      <c r="E34" s="110"/>
      <c r="F34" s="110"/>
      <c r="G34" s="110">
        <v>37.47</v>
      </c>
      <c r="H34" s="110">
        <v>1.62</v>
      </c>
      <c r="I34" s="110">
        <v>0</v>
      </c>
      <c r="J34" s="110"/>
      <c r="K34" s="110"/>
    </row>
    <row r="35" spans="1:11" x14ac:dyDescent="0.25">
      <c r="A35" s="109">
        <v>28</v>
      </c>
      <c r="B35" s="110">
        <v>37.07</v>
      </c>
      <c r="C35" s="110">
        <v>1.65</v>
      </c>
      <c r="D35" s="110">
        <v>0</v>
      </c>
      <c r="E35" s="110"/>
      <c r="F35" s="110"/>
      <c r="G35" s="110">
        <v>37.07</v>
      </c>
      <c r="H35" s="110">
        <v>1.65</v>
      </c>
      <c r="I35" s="110">
        <v>0</v>
      </c>
      <c r="J35" s="110"/>
      <c r="K35" s="110"/>
    </row>
    <row r="36" spans="1:11" x14ac:dyDescent="0.25">
      <c r="A36" s="109">
        <v>29</v>
      </c>
      <c r="B36" s="110">
        <v>36.67</v>
      </c>
      <c r="C36" s="110">
        <v>1.67</v>
      </c>
      <c r="D36" s="110">
        <v>0</v>
      </c>
      <c r="E36" s="110"/>
      <c r="F36" s="110"/>
      <c r="G36" s="110">
        <v>36.67</v>
      </c>
      <c r="H36" s="110">
        <v>1.67</v>
      </c>
      <c r="I36" s="110">
        <v>0</v>
      </c>
      <c r="J36" s="110"/>
      <c r="K36" s="110"/>
    </row>
    <row r="37" spans="1:11" x14ac:dyDescent="0.25">
      <c r="A37" s="109">
        <v>30</v>
      </c>
      <c r="B37" s="110">
        <v>36.26</v>
      </c>
      <c r="C37" s="110">
        <v>1.7</v>
      </c>
      <c r="D37" s="110">
        <v>0</v>
      </c>
      <c r="E37" s="110"/>
      <c r="F37" s="110"/>
      <c r="G37" s="110">
        <v>36.26</v>
      </c>
      <c r="H37" s="110">
        <v>1.7</v>
      </c>
      <c r="I37" s="110">
        <v>0</v>
      </c>
      <c r="J37" s="110"/>
      <c r="K37" s="110"/>
    </row>
    <row r="38" spans="1:11" x14ac:dyDescent="0.25">
      <c r="A38" s="109">
        <v>31</v>
      </c>
      <c r="B38" s="110">
        <v>35.840000000000003</v>
      </c>
      <c r="C38" s="110">
        <v>1.72</v>
      </c>
      <c r="D38" s="110">
        <v>0</v>
      </c>
      <c r="E38" s="110"/>
      <c r="F38" s="110"/>
      <c r="G38" s="110">
        <v>35.840000000000003</v>
      </c>
      <c r="H38" s="110">
        <v>1.72</v>
      </c>
      <c r="I38" s="110">
        <v>0</v>
      </c>
      <c r="J38" s="110"/>
      <c r="K38" s="110"/>
    </row>
    <row r="39" spans="1:11" x14ac:dyDescent="0.25">
      <c r="A39" s="109">
        <v>32</v>
      </c>
      <c r="B39" s="110">
        <v>35.42</v>
      </c>
      <c r="C39" s="110">
        <v>1.75</v>
      </c>
      <c r="D39" s="110">
        <v>0</v>
      </c>
      <c r="E39" s="110"/>
      <c r="F39" s="110"/>
      <c r="G39" s="110">
        <v>35.42</v>
      </c>
      <c r="H39" s="110">
        <v>1.75</v>
      </c>
      <c r="I39" s="110">
        <v>0</v>
      </c>
      <c r="J39" s="110"/>
      <c r="K39" s="110"/>
    </row>
    <row r="40" spans="1:11" x14ac:dyDescent="0.25">
      <c r="A40" s="109">
        <v>33</v>
      </c>
      <c r="B40" s="110">
        <v>34.99</v>
      </c>
      <c r="C40" s="110">
        <v>1.77</v>
      </c>
      <c r="D40" s="110">
        <v>0</v>
      </c>
      <c r="E40" s="110"/>
      <c r="F40" s="110"/>
      <c r="G40" s="110">
        <v>34.99</v>
      </c>
      <c r="H40" s="110">
        <v>1.77</v>
      </c>
      <c r="I40" s="110">
        <v>0</v>
      </c>
      <c r="J40" s="110"/>
      <c r="K40" s="110"/>
    </row>
    <row r="41" spans="1:11" x14ac:dyDescent="0.25">
      <c r="A41" s="109">
        <v>34</v>
      </c>
      <c r="B41" s="110">
        <v>34.549999999999997</v>
      </c>
      <c r="C41" s="110">
        <v>1.79</v>
      </c>
      <c r="D41" s="110">
        <v>0</v>
      </c>
      <c r="E41" s="110"/>
      <c r="F41" s="110"/>
      <c r="G41" s="110">
        <v>34.549999999999997</v>
      </c>
      <c r="H41" s="110">
        <v>1.79</v>
      </c>
      <c r="I41" s="110">
        <v>0</v>
      </c>
      <c r="J41" s="110"/>
      <c r="K41" s="110"/>
    </row>
    <row r="42" spans="1:11" x14ac:dyDescent="0.25">
      <c r="A42" s="109">
        <v>35</v>
      </c>
      <c r="B42" s="110">
        <v>34.1</v>
      </c>
      <c r="C42" s="110">
        <v>1.82</v>
      </c>
      <c r="D42" s="110">
        <v>0</v>
      </c>
      <c r="E42" s="110"/>
      <c r="F42" s="110"/>
      <c r="G42" s="110">
        <v>34.1</v>
      </c>
      <c r="H42" s="110">
        <v>1.82</v>
      </c>
      <c r="I42" s="110">
        <v>0</v>
      </c>
      <c r="J42" s="110"/>
      <c r="K42" s="110"/>
    </row>
    <row r="43" spans="1:11" x14ac:dyDescent="0.25">
      <c r="A43" s="109">
        <v>36</v>
      </c>
      <c r="B43" s="110">
        <v>33.65</v>
      </c>
      <c r="C43" s="110">
        <v>1.84</v>
      </c>
      <c r="D43" s="110">
        <v>0</v>
      </c>
      <c r="E43" s="110"/>
      <c r="F43" s="110"/>
      <c r="G43" s="110">
        <v>33.65</v>
      </c>
      <c r="H43" s="110">
        <v>1.84</v>
      </c>
      <c r="I43" s="110">
        <v>0</v>
      </c>
      <c r="J43" s="110"/>
      <c r="K43" s="110"/>
    </row>
    <row r="44" spans="1:11" x14ac:dyDescent="0.25">
      <c r="A44" s="109">
        <v>37</v>
      </c>
      <c r="B44" s="110">
        <v>33.200000000000003</v>
      </c>
      <c r="C44" s="110">
        <v>1.87</v>
      </c>
      <c r="D44" s="110">
        <v>0</v>
      </c>
      <c r="E44" s="110"/>
      <c r="F44" s="110"/>
      <c r="G44" s="110">
        <v>33.200000000000003</v>
      </c>
      <c r="H44" s="110">
        <v>1.87</v>
      </c>
      <c r="I44" s="110">
        <v>0</v>
      </c>
      <c r="J44" s="110"/>
      <c r="K44" s="110"/>
    </row>
    <row r="45" spans="1:11" x14ac:dyDescent="0.25">
      <c r="A45" s="109">
        <v>38</v>
      </c>
      <c r="B45" s="110">
        <v>32.729999999999997</v>
      </c>
      <c r="C45" s="110">
        <v>1.89</v>
      </c>
      <c r="D45" s="110">
        <v>0</v>
      </c>
      <c r="E45" s="110"/>
      <c r="F45" s="110"/>
      <c r="G45" s="110">
        <v>32.729999999999997</v>
      </c>
      <c r="H45" s="110">
        <v>1.89</v>
      </c>
      <c r="I45" s="110">
        <v>0</v>
      </c>
      <c r="J45" s="110"/>
      <c r="K45" s="110"/>
    </row>
    <row r="46" spans="1:11" x14ac:dyDescent="0.25">
      <c r="A46" s="109">
        <v>39</v>
      </c>
      <c r="B46" s="110">
        <v>32.26</v>
      </c>
      <c r="C46" s="110">
        <v>1.92</v>
      </c>
      <c r="D46" s="110">
        <v>0</v>
      </c>
      <c r="E46" s="110"/>
      <c r="F46" s="110"/>
      <c r="G46" s="110">
        <v>32.26</v>
      </c>
      <c r="H46" s="110">
        <v>1.92</v>
      </c>
      <c r="I46" s="110">
        <v>0</v>
      </c>
      <c r="J46" s="110"/>
      <c r="K46" s="110"/>
    </row>
    <row r="47" spans="1:11" x14ac:dyDescent="0.25">
      <c r="A47" s="109">
        <v>40</v>
      </c>
      <c r="B47" s="110">
        <v>31.78</v>
      </c>
      <c r="C47" s="110">
        <v>1.94</v>
      </c>
      <c r="D47" s="110">
        <v>0</v>
      </c>
      <c r="E47" s="110"/>
      <c r="F47" s="110"/>
      <c r="G47" s="110">
        <v>31.78</v>
      </c>
      <c r="H47" s="110">
        <v>1.94</v>
      </c>
      <c r="I47" s="110">
        <v>0</v>
      </c>
      <c r="J47" s="110"/>
      <c r="K47" s="110"/>
    </row>
    <row r="48" spans="1:11" x14ac:dyDescent="0.25">
      <c r="A48" s="109">
        <v>41</v>
      </c>
      <c r="B48" s="110">
        <v>31.29</v>
      </c>
      <c r="C48" s="110">
        <v>1.96</v>
      </c>
      <c r="D48" s="110">
        <v>0</v>
      </c>
      <c r="E48" s="110"/>
      <c r="F48" s="110"/>
      <c r="G48" s="110">
        <v>31.29</v>
      </c>
      <c r="H48" s="110">
        <v>1.96</v>
      </c>
      <c r="I48" s="110">
        <v>0</v>
      </c>
      <c r="J48" s="110"/>
      <c r="K48" s="110"/>
    </row>
    <row r="49" spans="1:11" x14ac:dyDescent="0.25">
      <c r="A49" s="109">
        <v>42</v>
      </c>
      <c r="B49" s="110">
        <v>30.8</v>
      </c>
      <c r="C49" s="110">
        <v>1.99</v>
      </c>
      <c r="D49" s="110">
        <v>0</v>
      </c>
      <c r="E49" s="110"/>
      <c r="F49" s="110"/>
      <c r="G49" s="110">
        <v>30.8</v>
      </c>
      <c r="H49" s="110">
        <v>1.99</v>
      </c>
      <c r="I49" s="110">
        <v>0</v>
      </c>
      <c r="J49" s="110"/>
      <c r="K49" s="110"/>
    </row>
    <row r="50" spans="1:11" x14ac:dyDescent="0.25">
      <c r="A50" s="109">
        <v>43</v>
      </c>
      <c r="B50" s="110">
        <v>30.3</v>
      </c>
      <c r="C50" s="110">
        <v>2.0099999999999998</v>
      </c>
      <c r="D50" s="110">
        <v>0</v>
      </c>
      <c r="E50" s="110"/>
      <c r="F50" s="110"/>
      <c r="G50" s="110">
        <v>30.3</v>
      </c>
      <c r="H50" s="110">
        <v>2.0099999999999998</v>
      </c>
      <c r="I50" s="110">
        <v>0</v>
      </c>
      <c r="J50" s="110"/>
      <c r="K50" s="110"/>
    </row>
    <row r="51" spans="1:11" x14ac:dyDescent="0.25">
      <c r="A51" s="109">
        <v>44</v>
      </c>
      <c r="B51" s="110">
        <v>29.79</v>
      </c>
      <c r="C51" s="110">
        <v>2.0299999999999998</v>
      </c>
      <c r="D51" s="110">
        <v>0</v>
      </c>
      <c r="E51" s="110"/>
      <c r="F51" s="110"/>
      <c r="G51" s="110">
        <v>29.79</v>
      </c>
      <c r="H51" s="110">
        <v>2.0299999999999998</v>
      </c>
      <c r="I51" s="110">
        <v>0</v>
      </c>
      <c r="J51" s="110"/>
      <c r="K51" s="110"/>
    </row>
    <row r="52" spans="1:11" x14ac:dyDescent="0.25">
      <c r="A52" s="109">
        <v>45</v>
      </c>
      <c r="B52" s="110">
        <v>29.27</v>
      </c>
      <c r="C52" s="110">
        <v>2.0499999999999998</v>
      </c>
      <c r="D52" s="110">
        <v>0</v>
      </c>
      <c r="E52" s="110"/>
      <c r="F52" s="110"/>
      <c r="G52" s="110">
        <v>29.27</v>
      </c>
      <c r="H52" s="110">
        <v>2.0499999999999998</v>
      </c>
      <c r="I52" s="110">
        <v>0</v>
      </c>
      <c r="J52" s="110"/>
      <c r="K52" s="110"/>
    </row>
    <row r="53" spans="1:11" x14ac:dyDescent="0.25">
      <c r="A53" s="109">
        <v>46</v>
      </c>
      <c r="B53" s="110">
        <v>28.75</v>
      </c>
      <c r="C53" s="110">
        <v>2.0699999999999998</v>
      </c>
      <c r="D53" s="110">
        <v>0</v>
      </c>
      <c r="E53" s="110"/>
      <c r="F53" s="110"/>
      <c r="G53" s="110">
        <v>28.75</v>
      </c>
      <c r="H53" s="110">
        <v>2.0699999999999998</v>
      </c>
      <c r="I53" s="110">
        <v>0</v>
      </c>
      <c r="J53" s="110"/>
      <c r="K53" s="110"/>
    </row>
    <row r="54" spans="1:11" x14ac:dyDescent="0.25">
      <c r="A54" s="109">
        <v>47</v>
      </c>
      <c r="B54" s="110">
        <v>28.22</v>
      </c>
      <c r="C54" s="110">
        <v>2.09</v>
      </c>
      <c r="D54" s="110">
        <v>0</v>
      </c>
      <c r="E54" s="110"/>
      <c r="F54" s="110"/>
      <c r="G54" s="110">
        <v>28.22</v>
      </c>
      <c r="H54" s="110">
        <v>2.09</v>
      </c>
      <c r="I54" s="110">
        <v>0</v>
      </c>
      <c r="J54" s="110"/>
      <c r="K54" s="110"/>
    </row>
    <row r="55" spans="1:11" x14ac:dyDescent="0.25">
      <c r="A55" s="109">
        <v>48</v>
      </c>
      <c r="B55" s="110">
        <v>27.68</v>
      </c>
      <c r="C55" s="110">
        <v>2.11</v>
      </c>
      <c r="D55" s="110">
        <v>0</v>
      </c>
      <c r="E55" s="110"/>
      <c r="F55" s="110"/>
      <c r="G55" s="110">
        <v>27.68</v>
      </c>
      <c r="H55" s="110">
        <v>2.11</v>
      </c>
      <c r="I55" s="110">
        <v>0</v>
      </c>
      <c r="J55" s="110"/>
      <c r="K55" s="110"/>
    </row>
    <row r="56" spans="1:11" x14ac:dyDescent="0.25">
      <c r="A56" s="109">
        <v>49</v>
      </c>
      <c r="B56" s="110">
        <v>27.14</v>
      </c>
      <c r="C56" s="110">
        <v>2.13</v>
      </c>
      <c r="D56" s="110">
        <v>0</v>
      </c>
      <c r="E56" s="110"/>
      <c r="F56" s="110"/>
      <c r="G56" s="110">
        <v>27.14</v>
      </c>
      <c r="H56" s="110">
        <v>2.13</v>
      </c>
      <c r="I56" s="110">
        <v>0</v>
      </c>
      <c r="J56" s="110"/>
      <c r="K56" s="110"/>
    </row>
    <row r="57" spans="1:11" x14ac:dyDescent="0.25">
      <c r="A57" s="109">
        <v>50</v>
      </c>
      <c r="B57" s="110">
        <v>26.59</v>
      </c>
      <c r="C57" s="110">
        <v>2.15</v>
      </c>
      <c r="D57" s="110">
        <v>0</v>
      </c>
      <c r="E57" s="110"/>
      <c r="F57" s="110"/>
      <c r="G57" s="110">
        <v>26.59</v>
      </c>
      <c r="H57" s="110">
        <v>2.15</v>
      </c>
      <c r="I57" s="110">
        <v>0</v>
      </c>
      <c r="J57" s="110"/>
      <c r="K57" s="110"/>
    </row>
    <row r="58" spans="1:11" x14ac:dyDescent="0.25">
      <c r="A58" s="109">
        <v>51</v>
      </c>
      <c r="B58" s="110">
        <v>26.03</v>
      </c>
      <c r="C58" s="110">
        <v>2.17</v>
      </c>
      <c r="D58" s="110">
        <v>0</v>
      </c>
      <c r="E58" s="110"/>
      <c r="F58" s="110"/>
      <c r="G58" s="110">
        <v>26.03</v>
      </c>
      <c r="H58" s="110">
        <v>2.17</v>
      </c>
      <c r="I58" s="110">
        <v>0</v>
      </c>
      <c r="J58" s="110"/>
      <c r="K58" s="110"/>
    </row>
    <row r="59" spans="1:11" x14ac:dyDescent="0.25">
      <c r="A59" s="109">
        <v>52</v>
      </c>
      <c r="B59" s="110">
        <v>25.47</v>
      </c>
      <c r="C59" s="110">
        <v>2.19</v>
      </c>
      <c r="D59" s="110">
        <v>0</v>
      </c>
      <c r="E59" s="110"/>
      <c r="F59" s="110"/>
      <c r="G59" s="110">
        <v>25.47</v>
      </c>
      <c r="H59" s="110">
        <v>2.19</v>
      </c>
      <c r="I59" s="110">
        <v>0</v>
      </c>
      <c r="J59" s="110"/>
      <c r="K59" s="110"/>
    </row>
    <row r="60" spans="1:11" x14ac:dyDescent="0.25">
      <c r="A60" s="109">
        <v>53</v>
      </c>
      <c r="B60" s="110">
        <v>24.9</v>
      </c>
      <c r="C60" s="110">
        <v>2.2000000000000002</v>
      </c>
      <c r="D60" s="110">
        <v>0</v>
      </c>
      <c r="E60" s="110"/>
      <c r="F60" s="110"/>
      <c r="G60" s="110">
        <v>24.9</v>
      </c>
      <c r="H60" s="110">
        <v>2.2000000000000002</v>
      </c>
      <c r="I60" s="110">
        <v>0</v>
      </c>
      <c r="J60" s="110"/>
      <c r="K60" s="110"/>
    </row>
    <row r="61" spans="1:11" x14ac:dyDescent="0.25">
      <c r="A61" s="109">
        <v>54</v>
      </c>
      <c r="B61" s="110">
        <v>24.32</v>
      </c>
      <c r="C61" s="110">
        <v>2.2200000000000002</v>
      </c>
      <c r="D61" s="110">
        <v>0</v>
      </c>
      <c r="E61" s="110"/>
      <c r="F61" s="110"/>
      <c r="G61" s="110">
        <v>24.32</v>
      </c>
      <c r="H61" s="110">
        <v>2.2200000000000002</v>
      </c>
      <c r="I61" s="110">
        <v>0</v>
      </c>
      <c r="J61" s="110"/>
      <c r="K61" s="110"/>
    </row>
    <row r="62" spans="1:11" x14ac:dyDescent="0.25">
      <c r="A62" s="109">
        <v>55</v>
      </c>
      <c r="B62" s="110">
        <v>23.73</v>
      </c>
      <c r="C62" s="110">
        <v>2.23</v>
      </c>
      <c r="D62" s="110">
        <v>0</v>
      </c>
      <c r="E62" s="110"/>
      <c r="F62" s="110"/>
      <c r="G62" s="110">
        <v>23.73</v>
      </c>
      <c r="H62" s="110">
        <v>2.23</v>
      </c>
      <c r="I62" s="110">
        <v>0</v>
      </c>
      <c r="J62" s="110"/>
      <c r="K62" s="110"/>
    </row>
    <row r="63" spans="1:11" x14ac:dyDescent="0.25">
      <c r="A63" s="109">
        <v>56</v>
      </c>
      <c r="B63" s="110">
        <v>23.14</v>
      </c>
      <c r="C63" s="110">
        <v>2.25</v>
      </c>
      <c r="D63" s="110">
        <v>0</v>
      </c>
      <c r="E63" s="110"/>
      <c r="F63" s="110"/>
      <c r="G63" s="110">
        <v>23.14</v>
      </c>
      <c r="H63" s="110">
        <v>2.25</v>
      </c>
      <c r="I63" s="110">
        <v>0</v>
      </c>
      <c r="J63" s="110"/>
      <c r="K63" s="110"/>
    </row>
    <row r="64" spans="1:11" x14ac:dyDescent="0.25">
      <c r="A64" s="109">
        <v>57</v>
      </c>
      <c r="B64" s="110">
        <v>22.55</v>
      </c>
      <c r="C64" s="110">
        <v>2.2599999999999998</v>
      </c>
      <c r="D64" s="110">
        <v>0</v>
      </c>
      <c r="E64" s="110"/>
      <c r="F64" s="110"/>
      <c r="G64" s="110">
        <v>22.55</v>
      </c>
      <c r="H64" s="110">
        <v>2.2599999999999998</v>
      </c>
      <c r="I64" s="110">
        <v>0</v>
      </c>
      <c r="J64" s="110"/>
      <c r="K64" s="110"/>
    </row>
    <row r="65" spans="1:11" x14ac:dyDescent="0.25">
      <c r="A65" s="109">
        <v>58</v>
      </c>
      <c r="B65" s="110">
        <v>21.95</v>
      </c>
      <c r="C65" s="110">
        <v>2.27</v>
      </c>
      <c r="D65" s="110">
        <v>0</v>
      </c>
      <c r="E65" s="110"/>
      <c r="F65" s="110"/>
      <c r="G65" s="110">
        <v>21.95</v>
      </c>
      <c r="H65" s="110">
        <v>2.27</v>
      </c>
      <c r="I65" s="110">
        <v>0</v>
      </c>
      <c r="J65" s="110"/>
      <c r="K65" s="110"/>
    </row>
    <row r="66" spans="1:11" x14ac:dyDescent="0.25">
      <c r="A66" s="109">
        <v>59</v>
      </c>
      <c r="B66" s="110">
        <v>21.35</v>
      </c>
      <c r="C66" s="110">
        <v>2.2799999999999998</v>
      </c>
      <c r="D66" s="110">
        <v>0</v>
      </c>
      <c r="E66" s="110"/>
      <c r="F66" s="110"/>
      <c r="G66" s="110">
        <v>21.35</v>
      </c>
      <c r="H66" s="110">
        <v>2.2799999999999998</v>
      </c>
      <c r="I66" s="110">
        <v>0</v>
      </c>
      <c r="J66" s="110"/>
      <c r="K66" s="110"/>
    </row>
    <row r="67" spans="1:11" x14ac:dyDescent="0.25">
      <c r="A67" s="109">
        <v>60</v>
      </c>
      <c r="B67" s="110">
        <v>20.73</v>
      </c>
      <c r="C67" s="110">
        <v>2.29</v>
      </c>
      <c r="D67" s="110">
        <v>0</v>
      </c>
      <c r="E67" s="110"/>
      <c r="F67" s="110"/>
      <c r="G67" s="110">
        <v>20.73</v>
      </c>
      <c r="H67" s="110">
        <v>2.29</v>
      </c>
      <c r="I67" s="110">
        <v>0</v>
      </c>
      <c r="J67" s="110"/>
      <c r="K67" s="110"/>
    </row>
    <row r="68" spans="1:11" x14ac:dyDescent="0.25">
      <c r="A68" s="109">
        <v>61</v>
      </c>
      <c r="B68" s="110">
        <v>20.09</v>
      </c>
      <c r="C68" s="110">
        <v>2.29</v>
      </c>
      <c r="D68" s="110">
        <v>0</v>
      </c>
      <c r="E68" s="110"/>
      <c r="F68" s="110"/>
      <c r="G68" s="110">
        <v>20.09</v>
      </c>
      <c r="H68" s="110">
        <v>2.29</v>
      </c>
      <c r="I68" s="110">
        <v>0</v>
      </c>
      <c r="J68" s="110"/>
      <c r="K68" s="110"/>
    </row>
    <row r="69" spans="1:11" x14ac:dyDescent="0.25">
      <c r="A69" s="109">
        <v>62</v>
      </c>
      <c r="B69" s="110">
        <v>19.46</v>
      </c>
      <c r="C69" s="110">
        <v>2.29</v>
      </c>
      <c r="D69" s="110">
        <v>0</v>
      </c>
      <c r="E69" s="110"/>
      <c r="F69" s="110"/>
      <c r="G69" s="110">
        <v>19.46</v>
      </c>
      <c r="H69" s="110">
        <v>2.29</v>
      </c>
      <c r="I69" s="110">
        <v>0</v>
      </c>
      <c r="J69" s="110"/>
      <c r="K69" s="110"/>
    </row>
    <row r="70" spans="1:11" x14ac:dyDescent="0.25">
      <c r="A70" s="109">
        <v>63</v>
      </c>
      <c r="B70" s="110">
        <v>18.82</v>
      </c>
      <c r="C70" s="110">
        <v>2.2999999999999998</v>
      </c>
      <c r="D70" s="110">
        <v>0</v>
      </c>
      <c r="E70" s="110"/>
      <c r="F70" s="110"/>
      <c r="G70" s="110">
        <v>18.82</v>
      </c>
      <c r="H70" s="110">
        <v>2.2999999999999998</v>
      </c>
      <c r="I70" s="110">
        <v>0</v>
      </c>
      <c r="J70" s="110"/>
      <c r="K70" s="110"/>
    </row>
    <row r="71" spans="1:11" x14ac:dyDescent="0.25">
      <c r="A71" s="109">
        <v>64</v>
      </c>
      <c r="B71" s="110">
        <v>18.190000000000001</v>
      </c>
      <c r="C71" s="110">
        <v>2.2799999999999998</v>
      </c>
      <c r="D71" s="110">
        <v>0</v>
      </c>
      <c r="E71" s="110"/>
      <c r="F71" s="110"/>
      <c r="G71" s="110">
        <v>18.190000000000001</v>
      </c>
      <c r="H71" s="110">
        <v>2.2799999999999998</v>
      </c>
      <c r="I71" s="110">
        <v>0</v>
      </c>
      <c r="J71" s="110"/>
      <c r="K71" s="110"/>
    </row>
    <row r="72" spans="1:11" x14ac:dyDescent="0.25">
      <c r="A72" s="109">
        <v>65</v>
      </c>
      <c r="B72" s="110">
        <v>17.559999999999999</v>
      </c>
      <c r="C72" s="110">
        <v>2.27</v>
      </c>
      <c r="D72" s="110">
        <v>0</v>
      </c>
      <c r="E72" s="110"/>
      <c r="F72" s="110"/>
      <c r="G72" s="110">
        <v>17.559999999999999</v>
      </c>
      <c r="H72" s="110">
        <v>2.27</v>
      </c>
      <c r="I72" s="110">
        <v>0</v>
      </c>
      <c r="J72" s="110"/>
      <c r="K72" s="110"/>
    </row>
    <row r="73" spans="1:11" x14ac:dyDescent="0.25">
      <c r="A73" s="109">
        <v>66</v>
      </c>
      <c r="B73" s="110">
        <v>16.940000000000001</v>
      </c>
      <c r="C73" s="110">
        <v>2.2599999999999998</v>
      </c>
      <c r="D73" s="110">
        <v>0</v>
      </c>
      <c r="E73" s="110"/>
      <c r="F73" s="110"/>
      <c r="G73" s="110">
        <v>16.940000000000001</v>
      </c>
      <c r="H73" s="110">
        <v>2.2599999999999998</v>
      </c>
      <c r="I73" s="110">
        <v>0</v>
      </c>
      <c r="J73" s="110"/>
      <c r="K73" s="110"/>
    </row>
    <row r="74" spans="1:11" x14ac:dyDescent="0.25">
      <c r="A74" s="109">
        <v>67</v>
      </c>
      <c r="B74" s="110">
        <v>16.309999999999999</v>
      </c>
      <c r="C74" s="110">
        <v>2.25</v>
      </c>
      <c r="D74" s="110">
        <v>0</v>
      </c>
      <c r="E74" s="110"/>
      <c r="F74" s="110"/>
      <c r="G74" s="110">
        <v>16.309999999999999</v>
      </c>
      <c r="H74" s="110">
        <v>2.25</v>
      </c>
      <c r="I74" s="110">
        <v>0</v>
      </c>
      <c r="J74" s="110"/>
      <c r="K74" s="110"/>
    </row>
    <row r="75" spans="1:11" x14ac:dyDescent="0.25">
      <c r="A75" s="109">
        <v>68</v>
      </c>
      <c r="B75" s="110">
        <v>15.68</v>
      </c>
      <c r="C75" s="110">
        <v>2.23</v>
      </c>
      <c r="D75" s="110">
        <v>0</v>
      </c>
      <c r="E75" s="110"/>
      <c r="F75" s="110"/>
      <c r="G75" s="110">
        <v>15.68</v>
      </c>
      <c r="H75" s="110">
        <v>2.23</v>
      </c>
      <c r="I75" s="110">
        <v>0</v>
      </c>
      <c r="J75" s="110"/>
      <c r="K75" s="110"/>
    </row>
    <row r="76" spans="1:11" x14ac:dyDescent="0.25">
      <c r="A76" s="109">
        <v>69</v>
      </c>
      <c r="B76" s="110">
        <v>15.05</v>
      </c>
      <c r="C76" s="110">
        <v>2.17</v>
      </c>
      <c r="D76" s="110">
        <v>0</v>
      </c>
      <c r="E76" s="110">
        <v>2.98</v>
      </c>
      <c r="F76" s="110">
        <v>0.99</v>
      </c>
      <c r="G76" s="110">
        <v>15.05</v>
      </c>
      <c r="H76" s="110">
        <v>2.17</v>
      </c>
      <c r="I76" s="110">
        <v>0</v>
      </c>
      <c r="J76" s="110">
        <v>2.62</v>
      </c>
      <c r="K76" s="110">
        <v>0.9</v>
      </c>
    </row>
    <row r="77" spans="1:11" x14ac:dyDescent="0.25">
      <c r="A77" s="109">
        <v>70</v>
      </c>
      <c r="B77" s="110">
        <v>14.43</v>
      </c>
      <c r="C77" s="110">
        <v>2.1</v>
      </c>
      <c r="D77" s="110">
        <v>0</v>
      </c>
      <c r="E77" s="110">
        <v>2.77</v>
      </c>
      <c r="F77" s="110">
        <v>0.91</v>
      </c>
      <c r="G77" s="110">
        <v>14.43</v>
      </c>
      <c r="H77" s="110">
        <v>2.1</v>
      </c>
      <c r="I77" s="110">
        <v>0</v>
      </c>
      <c r="J77" s="110">
        <v>2.4300000000000002</v>
      </c>
      <c r="K77" s="110">
        <v>0.83</v>
      </c>
    </row>
    <row r="78" spans="1:11" x14ac:dyDescent="0.25">
      <c r="A78" s="109">
        <v>71</v>
      </c>
      <c r="B78" s="110">
        <v>13.8</v>
      </c>
      <c r="C78" s="110">
        <v>2.08</v>
      </c>
      <c r="D78" s="110">
        <v>0</v>
      </c>
      <c r="E78" s="110">
        <v>2.58</v>
      </c>
      <c r="F78" s="110">
        <v>0.85</v>
      </c>
      <c r="G78" s="110">
        <v>13.8</v>
      </c>
      <c r="H78" s="110">
        <v>2.08</v>
      </c>
      <c r="I78" s="110">
        <v>0</v>
      </c>
      <c r="J78" s="110">
        <v>2.2400000000000002</v>
      </c>
      <c r="K78" s="110">
        <v>0.77</v>
      </c>
    </row>
    <row r="79" spans="1:11" x14ac:dyDescent="0.25">
      <c r="A79" s="109">
        <v>72</v>
      </c>
      <c r="B79" s="110">
        <v>13.18</v>
      </c>
      <c r="C79" s="110">
        <v>2.0499999999999998</v>
      </c>
      <c r="D79" s="110">
        <v>0</v>
      </c>
      <c r="E79" s="110">
        <v>2.39</v>
      </c>
      <c r="F79" s="110">
        <v>0.78</v>
      </c>
      <c r="G79" s="110">
        <v>13.18</v>
      </c>
      <c r="H79" s="110">
        <v>2.0499999999999998</v>
      </c>
      <c r="I79" s="110">
        <v>0</v>
      </c>
      <c r="J79" s="110">
        <v>2.06</v>
      </c>
      <c r="K79" s="110">
        <v>0.7</v>
      </c>
    </row>
    <row r="80" spans="1:11" x14ac:dyDescent="0.25">
      <c r="A80" s="109">
        <v>73</v>
      </c>
      <c r="B80" s="110">
        <v>12.57</v>
      </c>
      <c r="C80" s="110">
        <v>2.02</v>
      </c>
      <c r="D80" s="110">
        <v>0</v>
      </c>
      <c r="E80" s="110">
        <v>2.21</v>
      </c>
      <c r="F80" s="110">
        <v>0.72</v>
      </c>
      <c r="G80" s="110">
        <v>12.57</v>
      </c>
      <c r="H80" s="110">
        <v>2.02</v>
      </c>
      <c r="I80" s="110">
        <v>0</v>
      </c>
      <c r="J80" s="110">
        <v>1.89</v>
      </c>
      <c r="K80" s="110">
        <v>0.64</v>
      </c>
    </row>
    <row r="81" spans="1:11" x14ac:dyDescent="0.25">
      <c r="A81" s="109">
        <v>74</v>
      </c>
      <c r="B81" s="110">
        <v>11.96</v>
      </c>
      <c r="C81" s="110">
        <v>1.9</v>
      </c>
      <c r="D81" s="110">
        <v>0</v>
      </c>
      <c r="E81" s="110">
        <v>2.0299999999999998</v>
      </c>
      <c r="F81" s="110">
        <v>0.66</v>
      </c>
      <c r="G81" s="110">
        <v>11.96</v>
      </c>
      <c r="H81" s="110">
        <v>1.9</v>
      </c>
      <c r="I81" s="110">
        <v>0</v>
      </c>
      <c r="J81" s="110">
        <v>1.73</v>
      </c>
      <c r="K81" s="110">
        <v>0.57999999999999996</v>
      </c>
    </row>
    <row r="82" spans="1:11" x14ac:dyDescent="0.25">
      <c r="A82" s="109">
        <v>75</v>
      </c>
      <c r="B82" s="110">
        <v>11.37</v>
      </c>
      <c r="C82" s="110">
        <v>1.77</v>
      </c>
      <c r="D82" s="110">
        <v>0</v>
      </c>
      <c r="E82" s="110">
        <v>1.86</v>
      </c>
      <c r="F82" s="110">
        <v>0.6</v>
      </c>
      <c r="G82" s="110">
        <v>11.37</v>
      </c>
      <c r="H82" s="110">
        <v>1.77</v>
      </c>
      <c r="I82" s="110">
        <v>0</v>
      </c>
      <c r="J82" s="110">
        <v>1.57</v>
      </c>
      <c r="K82" s="110">
        <v>0.53</v>
      </c>
    </row>
    <row r="83" spans="1:11" x14ac:dyDescent="0.25">
      <c r="A83" s="109">
        <v>76</v>
      </c>
      <c r="B83" s="110">
        <v>10.78</v>
      </c>
      <c r="C83" s="110">
        <v>1.73</v>
      </c>
      <c r="D83" s="110"/>
      <c r="E83" s="110">
        <v>1.7</v>
      </c>
      <c r="F83" s="110">
        <v>0.55000000000000004</v>
      </c>
      <c r="G83" s="110">
        <v>10.78</v>
      </c>
      <c r="H83" s="110">
        <v>1.73</v>
      </c>
      <c r="I83" s="110"/>
      <c r="J83" s="110">
        <v>1.43</v>
      </c>
      <c r="K83" s="110">
        <v>0.48</v>
      </c>
    </row>
    <row r="84" spans="1:11" x14ac:dyDescent="0.25">
      <c r="A84" s="109">
        <v>77</v>
      </c>
      <c r="B84" s="110">
        <v>10.199999999999999</v>
      </c>
      <c r="C84" s="110">
        <v>1.69</v>
      </c>
      <c r="D84" s="110"/>
      <c r="E84" s="110">
        <v>1.55</v>
      </c>
      <c r="F84" s="110">
        <v>0.5</v>
      </c>
      <c r="G84" s="110">
        <v>10.199999999999999</v>
      </c>
      <c r="H84" s="110">
        <v>1.69</v>
      </c>
      <c r="I84" s="110"/>
      <c r="J84" s="110">
        <v>1.29</v>
      </c>
      <c r="K84" s="110">
        <v>0.43</v>
      </c>
    </row>
    <row r="85" spans="1:11" x14ac:dyDescent="0.25">
      <c r="A85" s="109">
        <v>78</v>
      </c>
      <c r="B85" s="110">
        <v>9.6300000000000008</v>
      </c>
      <c r="C85" s="110">
        <v>1.64</v>
      </c>
      <c r="D85" s="110"/>
      <c r="E85" s="110">
        <v>1.42</v>
      </c>
      <c r="F85" s="110">
        <v>0.45</v>
      </c>
      <c r="G85" s="110">
        <v>9.6300000000000008</v>
      </c>
      <c r="H85" s="110">
        <v>1.64</v>
      </c>
      <c r="I85" s="110"/>
      <c r="J85" s="110">
        <v>1.17</v>
      </c>
      <c r="K85" s="110">
        <v>0.39</v>
      </c>
    </row>
    <row r="86" spans="1:11" x14ac:dyDescent="0.25">
      <c r="A86" s="109">
        <v>79</v>
      </c>
      <c r="B86" s="110">
        <v>9.08</v>
      </c>
      <c r="C86" s="110">
        <v>1.47</v>
      </c>
      <c r="D86" s="110"/>
      <c r="E86" s="110">
        <v>1.27</v>
      </c>
      <c r="F86" s="110">
        <v>0.41</v>
      </c>
      <c r="G86" s="110">
        <v>9.08</v>
      </c>
      <c r="H86" s="110">
        <v>1.47</v>
      </c>
      <c r="I86" s="110"/>
      <c r="J86" s="110">
        <v>1.05</v>
      </c>
      <c r="K86" s="110">
        <v>0.35</v>
      </c>
    </row>
    <row r="87" spans="1:11" x14ac:dyDescent="0.25">
      <c r="A87" s="109">
        <v>80</v>
      </c>
      <c r="B87" s="110">
        <v>8.5500000000000007</v>
      </c>
      <c r="C87" s="110">
        <v>1.3</v>
      </c>
      <c r="D87" s="110"/>
      <c r="E87" s="110">
        <v>1.1299999999999999</v>
      </c>
      <c r="F87" s="110">
        <v>0.36</v>
      </c>
      <c r="G87" s="110">
        <v>8.5500000000000007</v>
      </c>
      <c r="H87" s="110">
        <v>1.3</v>
      </c>
      <c r="I87" s="110"/>
      <c r="J87" s="110">
        <v>0.94</v>
      </c>
      <c r="K87" s="110">
        <v>0.31</v>
      </c>
    </row>
    <row r="88" spans="1:11" x14ac:dyDescent="0.25">
      <c r="A88" s="109">
        <v>81</v>
      </c>
      <c r="B88" s="110">
        <v>8.0299999999999994</v>
      </c>
      <c r="C88" s="110">
        <v>1.25</v>
      </c>
      <c r="D88" s="110"/>
      <c r="E88" s="110">
        <v>1.02</v>
      </c>
      <c r="F88" s="110">
        <v>0.33</v>
      </c>
      <c r="G88" s="110">
        <v>8.0299999999999994</v>
      </c>
      <c r="H88" s="110">
        <v>1.25</v>
      </c>
      <c r="I88" s="110"/>
      <c r="J88" s="110">
        <v>0.84</v>
      </c>
      <c r="K88" s="110">
        <v>0.27</v>
      </c>
    </row>
    <row r="89" spans="1:11" x14ac:dyDescent="0.25">
      <c r="A89" s="109">
        <v>82</v>
      </c>
      <c r="B89" s="110">
        <v>7.53</v>
      </c>
      <c r="C89" s="110">
        <v>1.2</v>
      </c>
      <c r="D89" s="110"/>
      <c r="E89" s="110">
        <v>0.92</v>
      </c>
      <c r="F89" s="110">
        <v>0.28999999999999998</v>
      </c>
      <c r="G89" s="110">
        <v>7.53</v>
      </c>
      <c r="H89" s="110">
        <v>1.2</v>
      </c>
      <c r="I89" s="110"/>
      <c r="J89" s="110">
        <v>0.74</v>
      </c>
      <c r="K89" s="110">
        <v>0.24</v>
      </c>
    </row>
    <row r="90" spans="1:11" x14ac:dyDescent="0.25">
      <c r="A90" s="109">
        <v>83</v>
      </c>
      <c r="B90" s="110">
        <v>7.05</v>
      </c>
      <c r="C90" s="110">
        <v>1.1499999999999999</v>
      </c>
      <c r="D90" s="110"/>
      <c r="E90" s="110">
        <v>0.82</v>
      </c>
      <c r="F90" s="110">
        <v>0.26</v>
      </c>
      <c r="G90" s="110">
        <v>7.05</v>
      </c>
      <c r="H90" s="110">
        <v>1.1499999999999999</v>
      </c>
      <c r="I90" s="110"/>
      <c r="J90" s="110">
        <v>0.66</v>
      </c>
      <c r="K90" s="110">
        <v>0.21</v>
      </c>
    </row>
    <row r="91" spans="1:11" x14ac:dyDescent="0.25">
      <c r="A91" s="109">
        <v>84</v>
      </c>
      <c r="B91" s="110">
        <v>6.59</v>
      </c>
      <c r="C91" s="110">
        <v>0.98</v>
      </c>
      <c r="D91" s="110"/>
      <c r="E91" s="110">
        <v>0.72</v>
      </c>
      <c r="F91" s="110">
        <v>0.23</v>
      </c>
      <c r="G91" s="110">
        <v>6.59</v>
      </c>
      <c r="H91" s="110">
        <v>0.98</v>
      </c>
      <c r="I91" s="110"/>
      <c r="J91" s="110">
        <v>0.57999999999999996</v>
      </c>
      <c r="K91" s="110">
        <v>0.19</v>
      </c>
    </row>
    <row r="92" spans="1:11" x14ac:dyDescent="0.25">
      <c r="A92" s="109">
        <v>85</v>
      </c>
      <c r="B92" s="110">
        <v>6.15</v>
      </c>
      <c r="C92" s="110">
        <v>0.82</v>
      </c>
      <c r="D92" s="110"/>
      <c r="E92" s="110">
        <v>0.63</v>
      </c>
      <c r="F92" s="110">
        <v>0.2</v>
      </c>
      <c r="G92" s="110">
        <v>6.15</v>
      </c>
      <c r="H92" s="110">
        <v>0.82</v>
      </c>
      <c r="I92" s="110"/>
      <c r="J92" s="110">
        <v>0.51</v>
      </c>
      <c r="K92" s="110">
        <v>0.16</v>
      </c>
    </row>
    <row r="93" spans="1:11" x14ac:dyDescent="0.25">
      <c r="A93" s="109">
        <v>86</v>
      </c>
      <c r="B93" s="110">
        <v>5.73</v>
      </c>
      <c r="C93" s="110">
        <v>0.78</v>
      </c>
      <c r="D93" s="110"/>
      <c r="E93" s="110">
        <v>0.56000000000000005</v>
      </c>
      <c r="F93" s="110">
        <v>0.18</v>
      </c>
      <c r="G93" s="110">
        <v>5.73</v>
      </c>
      <c r="H93" s="110">
        <v>0.78</v>
      </c>
      <c r="I93" s="110"/>
      <c r="J93" s="110">
        <v>0.45</v>
      </c>
      <c r="K93" s="110">
        <v>0.14000000000000001</v>
      </c>
    </row>
    <row r="94" spans="1:11" x14ac:dyDescent="0.25">
      <c r="A94" s="109">
        <v>87</v>
      </c>
      <c r="B94" s="110">
        <v>5.33</v>
      </c>
      <c r="C94" s="110">
        <v>0.73</v>
      </c>
      <c r="D94" s="110"/>
      <c r="E94" s="110">
        <v>0.5</v>
      </c>
      <c r="F94" s="110">
        <v>0.16</v>
      </c>
      <c r="G94" s="110">
        <v>5.33</v>
      </c>
      <c r="H94" s="110">
        <v>0.73</v>
      </c>
      <c r="I94" s="110"/>
      <c r="J94" s="110">
        <v>0.39</v>
      </c>
      <c r="K94" s="110">
        <v>0.12</v>
      </c>
    </row>
    <row r="95" spans="1:11" x14ac:dyDescent="0.25">
      <c r="A95" s="109">
        <v>88</v>
      </c>
      <c r="B95" s="110">
        <v>4.95</v>
      </c>
      <c r="C95" s="110">
        <v>0.69</v>
      </c>
      <c r="D95" s="110"/>
      <c r="E95" s="110">
        <v>0.44</v>
      </c>
      <c r="F95" s="110">
        <v>0.14000000000000001</v>
      </c>
      <c r="G95" s="110">
        <v>4.95</v>
      </c>
      <c r="H95" s="110">
        <v>0.69</v>
      </c>
      <c r="I95" s="110"/>
      <c r="J95" s="110">
        <v>0.34</v>
      </c>
      <c r="K95" s="110">
        <v>0.11</v>
      </c>
    </row>
    <row r="96" spans="1:11" x14ac:dyDescent="0.25">
      <c r="A96" s="109">
        <v>89</v>
      </c>
      <c r="B96" s="110">
        <v>4.59</v>
      </c>
      <c r="C96" s="110">
        <v>0.54</v>
      </c>
      <c r="D96" s="110"/>
      <c r="E96" s="110">
        <v>0.38</v>
      </c>
      <c r="F96" s="110">
        <v>0.12</v>
      </c>
      <c r="G96" s="110">
        <v>4.59</v>
      </c>
      <c r="H96" s="110">
        <v>0.54</v>
      </c>
      <c r="I96" s="110"/>
      <c r="J96" s="110">
        <v>0.3</v>
      </c>
      <c r="K96" s="110">
        <v>0.09</v>
      </c>
    </row>
    <row r="97" spans="1:11" x14ac:dyDescent="0.25">
      <c r="A97" s="109">
        <v>90</v>
      </c>
      <c r="B97" s="110">
        <v>4.26</v>
      </c>
      <c r="C97" s="110">
        <v>0.41</v>
      </c>
      <c r="D97" s="110"/>
      <c r="E97" s="110">
        <v>0.32</v>
      </c>
      <c r="F97" s="110">
        <v>0.1</v>
      </c>
      <c r="G97" s="110">
        <v>4.26</v>
      </c>
      <c r="H97" s="110">
        <v>0.41</v>
      </c>
      <c r="I97" s="110"/>
      <c r="J97" s="110">
        <v>0.26</v>
      </c>
      <c r="K97" s="110">
        <v>0.08</v>
      </c>
    </row>
    <row r="98" spans="1:11" x14ac:dyDescent="0.25">
      <c r="A98" s="109">
        <v>91</v>
      </c>
      <c r="B98" s="110">
        <v>3.94</v>
      </c>
      <c r="C98" s="110">
        <v>0.38</v>
      </c>
      <c r="D98" s="110"/>
      <c r="E98" s="110">
        <v>0.28000000000000003</v>
      </c>
      <c r="F98" s="110">
        <v>0.09</v>
      </c>
      <c r="G98" s="110">
        <v>3.94</v>
      </c>
      <c r="H98" s="110">
        <v>0.38</v>
      </c>
      <c r="I98" s="110"/>
      <c r="J98" s="110">
        <v>0.22</v>
      </c>
      <c r="K98" s="110">
        <v>7.0000000000000007E-2</v>
      </c>
    </row>
    <row r="99" spans="1:11" x14ac:dyDescent="0.25">
      <c r="A99" s="109">
        <v>92</v>
      </c>
      <c r="B99" s="110">
        <v>3.65</v>
      </c>
      <c r="C99" s="110">
        <v>0.35</v>
      </c>
      <c r="D99" s="110"/>
      <c r="E99" s="110">
        <v>0.25</v>
      </c>
      <c r="F99" s="110">
        <v>0.08</v>
      </c>
      <c r="G99" s="110">
        <v>3.65</v>
      </c>
      <c r="H99" s="110">
        <v>0.35</v>
      </c>
      <c r="I99" s="110"/>
      <c r="J99" s="110">
        <v>0.19</v>
      </c>
      <c r="K99" s="110">
        <v>0.06</v>
      </c>
    </row>
    <row r="100" spans="1:11" x14ac:dyDescent="0.25">
      <c r="A100" s="109">
        <v>93</v>
      </c>
      <c r="B100" s="110">
        <v>3.39</v>
      </c>
      <c r="C100" s="110">
        <v>0.32</v>
      </c>
      <c r="D100" s="110"/>
      <c r="E100" s="110">
        <v>0.22</v>
      </c>
      <c r="F100" s="110">
        <v>7.0000000000000007E-2</v>
      </c>
      <c r="G100" s="110">
        <v>3.39</v>
      </c>
      <c r="H100" s="110">
        <v>0.32</v>
      </c>
      <c r="I100" s="110"/>
      <c r="J100" s="110">
        <v>0.16</v>
      </c>
      <c r="K100" s="110">
        <v>0.05</v>
      </c>
    </row>
    <row r="101" spans="1:11" x14ac:dyDescent="0.25">
      <c r="A101" s="109">
        <v>94</v>
      </c>
      <c r="B101" s="110">
        <v>3.15</v>
      </c>
      <c r="C101" s="110">
        <v>0.3</v>
      </c>
      <c r="D101" s="110"/>
      <c r="E101" s="110">
        <v>0.19</v>
      </c>
      <c r="F101" s="110">
        <v>0.06</v>
      </c>
      <c r="G101" s="110">
        <v>3.15</v>
      </c>
      <c r="H101" s="110">
        <v>0.3</v>
      </c>
      <c r="I101" s="110"/>
      <c r="J101" s="110">
        <v>0.14000000000000001</v>
      </c>
      <c r="K101" s="110">
        <v>0.04</v>
      </c>
    </row>
    <row r="102" spans="1:11" x14ac:dyDescent="0.25">
      <c r="A102" s="109">
        <v>95</v>
      </c>
      <c r="B102" s="110">
        <v>2.93</v>
      </c>
      <c r="C102" s="110">
        <v>0.28000000000000003</v>
      </c>
      <c r="D102" s="110"/>
      <c r="E102" s="110">
        <v>0.17</v>
      </c>
      <c r="F102" s="110">
        <v>0.05</v>
      </c>
      <c r="G102" s="110">
        <v>2.93</v>
      </c>
      <c r="H102" s="110">
        <v>0.28000000000000003</v>
      </c>
      <c r="I102" s="110"/>
      <c r="J102" s="110">
        <v>0.12</v>
      </c>
      <c r="K102" s="110">
        <v>0.04</v>
      </c>
    </row>
    <row r="103" spans="1:11" x14ac:dyDescent="0.25">
      <c r="A103" s="109">
        <v>96</v>
      </c>
      <c r="B103" s="110">
        <v>2.73</v>
      </c>
      <c r="C103" s="110">
        <v>0.25</v>
      </c>
      <c r="D103" s="110"/>
      <c r="E103" s="110">
        <v>0.15</v>
      </c>
      <c r="F103" s="110">
        <v>0.05</v>
      </c>
      <c r="G103" s="110">
        <v>2.73</v>
      </c>
      <c r="H103" s="110">
        <v>0.25</v>
      </c>
      <c r="I103" s="110"/>
      <c r="J103" s="110">
        <v>0.11</v>
      </c>
      <c r="K103" s="110">
        <v>0.03</v>
      </c>
    </row>
    <row r="104" spans="1:11" x14ac:dyDescent="0.25">
      <c r="A104" s="109">
        <v>97</v>
      </c>
      <c r="B104" s="110">
        <v>2.56</v>
      </c>
      <c r="C104" s="110">
        <v>0.23</v>
      </c>
      <c r="D104" s="110"/>
      <c r="E104" s="110">
        <v>0.14000000000000001</v>
      </c>
      <c r="F104" s="110">
        <v>0.04</v>
      </c>
      <c r="G104" s="110">
        <v>2.56</v>
      </c>
      <c r="H104" s="110">
        <v>0.23</v>
      </c>
      <c r="I104" s="110"/>
      <c r="J104" s="110">
        <v>0.09</v>
      </c>
      <c r="K104" s="110">
        <v>0.03</v>
      </c>
    </row>
    <row r="105" spans="1:11" x14ac:dyDescent="0.25">
      <c r="A105" s="109">
        <v>98</v>
      </c>
      <c r="B105" s="110">
        <v>2.41</v>
      </c>
      <c r="C105" s="110">
        <v>0.22</v>
      </c>
      <c r="D105" s="110"/>
      <c r="E105" s="110">
        <v>0.12</v>
      </c>
      <c r="F105" s="110">
        <v>0.04</v>
      </c>
      <c r="G105" s="110">
        <v>2.41</v>
      </c>
      <c r="H105" s="110">
        <v>0.22</v>
      </c>
      <c r="I105" s="110"/>
      <c r="J105" s="110">
        <v>0.08</v>
      </c>
      <c r="K105" s="110">
        <v>0.03</v>
      </c>
    </row>
  </sheetData>
  <conditionalFormatting sqref="A6:A21">
    <cfRule type="expression" dxfId="945" priority="3" stopIfTrue="1">
      <formula>MOD(ROW(),2)=0</formula>
    </cfRule>
    <cfRule type="expression" dxfId="944" priority="4" stopIfTrue="1">
      <formula>MOD(ROW(),2)&lt;&gt;0</formula>
    </cfRule>
  </conditionalFormatting>
  <conditionalFormatting sqref="A26:A105">
    <cfRule type="expression" dxfId="943" priority="7" stopIfTrue="1">
      <formula>MOD(ROW(),2)=0</formula>
    </cfRule>
    <cfRule type="expression" dxfId="942" priority="8" stopIfTrue="1">
      <formula>MOD(ROW(),2)&lt;&gt;0</formula>
    </cfRule>
  </conditionalFormatting>
  <conditionalFormatting sqref="B12">
    <cfRule type="expression" dxfId="941" priority="17" stopIfTrue="1">
      <formula>MOD(ROW(),2)=0</formula>
    </cfRule>
    <cfRule type="expression" dxfId="940" priority="18" stopIfTrue="1">
      <formula>MOD(ROW(),2)&lt;&gt;0</formula>
    </cfRule>
  </conditionalFormatting>
  <conditionalFormatting sqref="B17:B21">
    <cfRule type="expression" dxfId="939" priority="1" stopIfTrue="1">
      <formula>MOD(ROW(),2)=0</formula>
    </cfRule>
    <cfRule type="expression" dxfId="938" priority="2" stopIfTrue="1">
      <formula>MOD(ROW(),2)&lt;&gt;0</formula>
    </cfRule>
  </conditionalFormatting>
  <conditionalFormatting sqref="B6:K6 C7:K7 C12:K12 B13:K16 C17:K21">
    <cfRule type="expression" dxfId="937" priority="41" stopIfTrue="1">
      <formula>MOD(ROW(),2)=0</formula>
    </cfRule>
    <cfRule type="expression" dxfId="936" priority="42" stopIfTrue="1">
      <formula>MOD(ROW(),2)&lt;&gt;0</formula>
    </cfRule>
  </conditionalFormatting>
  <conditionalFormatting sqref="B6:K21">
    <cfRule type="expression" dxfId="935" priority="27" stopIfTrue="1">
      <formula>MOD(ROW(),2)=0</formula>
    </cfRule>
    <cfRule type="expression" dxfId="934" priority="28" stopIfTrue="1">
      <formula>MOD(ROW(),2)&lt;&gt;0</formula>
    </cfRule>
  </conditionalFormatting>
  <conditionalFormatting sqref="B8:K11">
    <cfRule type="expression" dxfId="933" priority="33" stopIfTrue="1">
      <formula>MOD(ROW(),2)=0</formula>
    </cfRule>
    <cfRule type="expression" dxfId="932" priority="34" stopIfTrue="1">
      <formula>MOD(ROW(),2)&lt;&gt;0</formula>
    </cfRule>
  </conditionalFormatting>
  <conditionalFormatting sqref="B26:K105">
    <cfRule type="expression" dxfId="931" priority="9" stopIfTrue="1">
      <formula>MOD(ROW(),2)=0</formula>
    </cfRule>
    <cfRule type="expression" dxfId="930" priority="10" stopIfTrue="1">
      <formula>MOD(ROW(),2)&lt;&gt;0</formula>
    </cfRule>
  </conditionalFormatting>
  <hyperlinks>
    <hyperlink ref="B24" location="Assumptions!A1" display="Assumptions" xr:uid="{8166D0C5-A318-4E03-B32A-1B46BD0991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I108"/>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Pension Credit - x-305</v>
      </c>
      <c r="B3" s="56"/>
      <c r="C3" s="56"/>
      <c r="D3" s="56"/>
      <c r="E3" s="56"/>
      <c r="F3" s="56"/>
      <c r="G3" s="56"/>
      <c r="H3" s="56"/>
      <c r="I3" s="56"/>
    </row>
    <row r="4" spans="1:9" x14ac:dyDescent="0.25">
      <c r="A4" s="58"/>
    </row>
    <row r="6" spans="1:9" ht="13" x14ac:dyDescent="0.3">
      <c r="A6" s="92" t="s">
        <v>716</v>
      </c>
      <c r="B6" s="181" t="s">
        <v>717</v>
      </c>
      <c r="C6" s="181"/>
      <c r="D6" s="181"/>
      <c r="E6" s="181"/>
    </row>
    <row r="7" spans="1:9" ht="19.5" customHeight="1" x14ac:dyDescent="0.25">
      <c r="A7" s="94" t="s">
        <v>797</v>
      </c>
      <c r="B7" s="181" t="s">
        <v>316</v>
      </c>
      <c r="C7" s="181"/>
      <c r="D7" s="181"/>
      <c r="E7" s="181"/>
    </row>
    <row r="8" spans="1:9" x14ac:dyDescent="0.25">
      <c r="A8" s="94" t="s">
        <v>798</v>
      </c>
      <c r="B8" s="181" t="s">
        <v>92</v>
      </c>
      <c r="C8" s="181"/>
      <c r="D8" s="181"/>
      <c r="E8" s="181"/>
    </row>
    <row r="9" spans="1:9" x14ac:dyDescent="0.25">
      <c r="A9" s="94" t="s">
        <v>300</v>
      </c>
      <c r="B9" s="181" t="s">
        <v>404</v>
      </c>
      <c r="C9" s="181"/>
      <c r="D9" s="181"/>
      <c r="E9" s="181"/>
    </row>
    <row r="10" spans="1:9" ht="14.5" customHeight="1" x14ac:dyDescent="0.25">
      <c r="A10" s="94" t="s">
        <v>6</v>
      </c>
      <c r="B10" s="181" t="s">
        <v>405</v>
      </c>
      <c r="C10" s="181"/>
      <c r="D10" s="181"/>
      <c r="E10" s="181"/>
    </row>
    <row r="11" spans="1:9" x14ac:dyDescent="0.25">
      <c r="A11" s="94" t="s">
        <v>301</v>
      </c>
      <c r="B11" s="181" t="s">
        <v>406</v>
      </c>
      <c r="C11" s="181"/>
      <c r="D11" s="181"/>
      <c r="E11" s="181"/>
    </row>
    <row r="12" spans="1:9" x14ac:dyDescent="0.25">
      <c r="A12" s="94" t="s">
        <v>302</v>
      </c>
      <c r="B12" s="181" t="s">
        <v>407</v>
      </c>
      <c r="C12" s="181"/>
      <c r="D12" s="181"/>
      <c r="E12" s="181"/>
    </row>
    <row r="13" spans="1:9" x14ac:dyDescent="0.25">
      <c r="A13" s="94" t="s">
        <v>813</v>
      </c>
      <c r="B13" s="181">
        <v>0</v>
      </c>
      <c r="C13" s="181"/>
      <c r="D13" s="181"/>
      <c r="E13" s="181"/>
    </row>
    <row r="14" spans="1:9" x14ac:dyDescent="0.25">
      <c r="A14" s="94" t="s">
        <v>304</v>
      </c>
      <c r="B14" s="181">
        <v>305</v>
      </c>
      <c r="C14" s="181"/>
      <c r="D14" s="181"/>
      <c r="E14" s="181"/>
    </row>
    <row r="15" spans="1:9" x14ac:dyDescent="0.25">
      <c r="A15" s="94" t="s">
        <v>727</v>
      </c>
      <c r="B15" s="181" t="s">
        <v>408</v>
      </c>
      <c r="C15" s="181"/>
      <c r="D15" s="181"/>
      <c r="E15" s="181"/>
    </row>
    <row r="16" spans="1:9" x14ac:dyDescent="0.25">
      <c r="A16" s="94" t="s">
        <v>306</v>
      </c>
      <c r="B16" s="181" t="s">
        <v>409</v>
      </c>
      <c r="C16" s="181"/>
      <c r="D16" s="181"/>
      <c r="E16" s="181"/>
    </row>
    <row r="17" spans="1:5" ht="36.65" customHeight="1" x14ac:dyDescent="0.25">
      <c r="A17" s="94" t="s">
        <v>800</v>
      </c>
      <c r="B17" s="181"/>
      <c r="C17" s="181"/>
      <c r="D17" s="181"/>
      <c r="E17" s="181"/>
    </row>
    <row r="18" spans="1:5" x14ac:dyDescent="0.25">
      <c r="A18" s="94" t="s">
        <v>308</v>
      </c>
      <c r="B18" s="185">
        <v>45071</v>
      </c>
      <c r="C18" s="181"/>
      <c r="D18" s="181"/>
      <c r="E18" s="181"/>
    </row>
    <row r="19" spans="1:5" x14ac:dyDescent="0.25">
      <c r="A19" s="94" t="s">
        <v>309</v>
      </c>
      <c r="B19" s="185">
        <v>45014</v>
      </c>
      <c r="C19" s="181"/>
      <c r="D19" s="181"/>
      <c r="E19" s="181"/>
    </row>
    <row r="20" spans="1:5" x14ac:dyDescent="0.25">
      <c r="A20" s="94" t="s">
        <v>310</v>
      </c>
      <c r="B20" s="181" t="s">
        <v>324</v>
      </c>
      <c r="C20" s="181"/>
      <c r="D20" s="181"/>
      <c r="E20" s="181"/>
    </row>
    <row r="21" spans="1:5" x14ac:dyDescent="0.25">
      <c r="A21" s="87" t="s">
        <v>311</v>
      </c>
      <c r="B21" s="181" t="s">
        <v>325</v>
      </c>
      <c r="C21" s="181"/>
      <c r="D21" s="181"/>
      <c r="E21" s="181"/>
    </row>
    <row r="23" spans="1:5" x14ac:dyDescent="0.25">
      <c r="B23" s="104" t="str">
        <f>HYPERLINK("#'Factor List'!A1","Back to Factor List")</f>
        <v>Back to Factor List</v>
      </c>
    </row>
    <row r="24" spans="1:5" x14ac:dyDescent="0.25">
      <c r="B24" s="104" t="s">
        <v>13</v>
      </c>
    </row>
    <row r="26" spans="1:5" ht="26" x14ac:dyDescent="0.25">
      <c r="A26" s="108" t="s">
        <v>534</v>
      </c>
      <c r="B26" s="108" t="s">
        <v>829</v>
      </c>
      <c r="C26" s="108" t="s">
        <v>830</v>
      </c>
      <c r="D26" s="108" t="s">
        <v>831</v>
      </c>
      <c r="E26" s="108" t="s">
        <v>832</v>
      </c>
    </row>
    <row r="27" spans="1:5" x14ac:dyDescent="0.25">
      <c r="A27" s="109">
        <v>17</v>
      </c>
      <c r="B27" s="110">
        <v>3.43</v>
      </c>
      <c r="C27" s="110">
        <v>3.21</v>
      </c>
      <c r="D27" s="110">
        <v>2.99</v>
      </c>
      <c r="E27" s="110">
        <v>2.78</v>
      </c>
    </row>
    <row r="28" spans="1:5" x14ac:dyDescent="0.25">
      <c r="A28" s="109">
        <v>18</v>
      </c>
      <c r="B28" s="110">
        <v>3.55</v>
      </c>
      <c r="C28" s="110">
        <v>3.32</v>
      </c>
      <c r="D28" s="110">
        <v>3.09</v>
      </c>
      <c r="E28" s="110">
        <v>2.88</v>
      </c>
    </row>
    <row r="29" spans="1:5" x14ac:dyDescent="0.25">
      <c r="A29" s="109">
        <v>19</v>
      </c>
      <c r="B29" s="110">
        <v>3.67</v>
      </c>
      <c r="C29" s="110">
        <v>3.43</v>
      </c>
      <c r="D29" s="110">
        <v>3.2</v>
      </c>
      <c r="E29" s="110">
        <v>2.97</v>
      </c>
    </row>
    <row r="30" spans="1:5" x14ac:dyDescent="0.25">
      <c r="A30" s="109">
        <v>20</v>
      </c>
      <c r="B30" s="110">
        <v>3.8</v>
      </c>
      <c r="C30" s="110">
        <v>3.55</v>
      </c>
      <c r="D30" s="110">
        <v>3.3</v>
      </c>
      <c r="E30" s="110">
        <v>3.07</v>
      </c>
    </row>
    <row r="31" spans="1:5" x14ac:dyDescent="0.25">
      <c r="A31" s="109">
        <v>21</v>
      </c>
      <c r="B31" s="110">
        <v>3.93</v>
      </c>
      <c r="C31" s="110">
        <v>3.67</v>
      </c>
      <c r="D31" s="110">
        <v>3.42</v>
      </c>
      <c r="E31" s="110">
        <v>3.18</v>
      </c>
    </row>
    <row r="32" spans="1:5" x14ac:dyDescent="0.25">
      <c r="A32" s="109">
        <v>22</v>
      </c>
      <c r="B32" s="110">
        <v>4.0599999999999996</v>
      </c>
      <c r="C32" s="110">
        <v>3.79</v>
      </c>
      <c r="D32" s="110">
        <v>3.53</v>
      </c>
      <c r="E32" s="110">
        <v>3.29</v>
      </c>
    </row>
    <row r="33" spans="1:5" x14ac:dyDescent="0.25">
      <c r="A33" s="109">
        <v>23</v>
      </c>
      <c r="B33" s="110">
        <v>4.2</v>
      </c>
      <c r="C33" s="110">
        <v>3.92</v>
      </c>
      <c r="D33" s="110">
        <v>3.65</v>
      </c>
      <c r="E33" s="110">
        <v>3.4</v>
      </c>
    </row>
    <row r="34" spans="1:5" x14ac:dyDescent="0.25">
      <c r="A34" s="109">
        <v>24</v>
      </c>
      <c r="B34" s="110">
        <v>4.3499999999999996</v>
      </c>
      <c r="C34" s="110">
        <v>4.05</v>
      </c>
      <c r="D34" s="110">
        <v>3.78</v>
      </c>
      <c r="E34" s="110">
        <v>3.51</v>
      </c>
    </row>
    <row r="35" spans="1:5" x14ac:dyDescent="0.25">
      <c r="A35" s="109">
        <v>25</v>
      </c>
      <c r="B35" s="110">
        <v>4.49</v>
      </c>
      <c r="C35" s="110">
        <v>4.1900000000000004</v>
      </c>
      <c r="D35" s="110">
        <v>3.9</v>
      </c>
      <c r="E35" s="110">
        <v>3.63</v>
      </c>
    </row>
    <row r="36" spans="1:5" x14ac:dyDescent="0.25">
      <c r="A36" s="109">
        <v>26</v>
      </c>
      <c r="B36" s="110">
        <v>4.6500000000000004</v>
      </c>
      <c r="C36" s="110">
        <v>4.33</v>
      </c>
      <c r="D36" s="110">
        <v>4.04</v>
      </c>
      <c r="E36" s="110">
        <v>3.75</v>
      </c>
    </row>
    <row r="37" spans="1:5" x14ac:dyDescent="0.25">
      <c r="A37" s="109">
        <v>27</v>
      </c>
      <c r="B37" s="110">
        <v>4.8099999999999996</v>
      </c>
      <c r="C37" s="110">
        <v>4.4800000000000004</v>
      </c>
      <c r="D37" s="110">
        <v>4.17</v>
      </c>
      <c r="E37" s="110">
        <v>3.88</v>
      </c>
    </row>
    <row r="38" spans="1:5" x14ac:dyDescent="0.25">
      <c r="A38" s="109">
        <v>28</v>
      </c>
      <c r="B38" s="110">
        <v>4.97</v>
      </c>
      <c r="C38" s="110">
        <v>4.63</v>
      </c>
      <c r="D38" s="110">
        <v>4.3099999999999996</v>
      </c>
      <c r="E38" s="110">
        <v>4.01</v>
      </c>
    </row>
    <row r="39" spans="1:5" x14ac:dyDescent="0.25">
      <c r="A39" s="109">
        <v>29</v>
      </c>
      <c r="B39" s="110">
        <v>5.14</v>
      </c>
      <c r="C39" s="110">
        <v>4.79</v>
      </c>
      <c r="D39" s="110">
        <v>4.46</v>
      </c>
      <c r="E39" s="110">
        <v>4.1399999999999997</v>
      </c>
    </row>
    <row r="40" spans="1:5" x14ac:dyDescent="0.25">
      <c r="A40" s="109">
        <v>30</v>
      </c>
      <c r="B40" s="110">
        <v>5.32</v>
      </c>
      <c r="C40" s="110">
        <v>4.96</v>
      </c>
      <c r="D40" s="110">
        <v>4.6100000000000003</v>
      </c>
      <c r="E40" s="110">
        <v>4.28</v>
      </c>
    </row>
    <row r="41" spans="1:5" x14ac:dyDescent="0.25">
      <c r="A41" s="109">
        <v>31</v>
      </c>
      <c r="B41" s="110">
        <v>5.5</v>
      </c>
      <c r="C41" s="110">
        <v>5.12</v>
      </c>
      <c r="D41" s="110">
        <v>4.7699999999999996</v>
      </c>
      <c r="E41" s="110">
        <v>4.43</v>
      </c>
    </row>
    <row r="42" spans="1:5" x14ac:dyDescent="0.25">
      <c r="A42" s="109">
        <v>32</v>
      </c>
      <c r="B42" s="110">
        <v>5.69</v>
      </c>
      <c r="C42" s="110">
        <v>5.3</v>
      </c>
      <c r="D42" s="110">
        <v>4.93</v>
      </c>
      <c r="E42" s="110">
        <v>4.58</v>
      </c>
    </row>
    <row r="43" spans="1:5" x14ac:dyDescent="0.25">
      <c r="A43" s="109">
        <v>33</v>
      </c>
      <c r="B43" s="110">
        <v>5.88</v>
      </c>
      <c r="C43" s="110">
        <v>5.48</v>
      </c>
      <c r="D43" s="110">
        <v>5.0999999999999996</v>
      </c>
      <c r="E43" s="110">
        <v>4.7300000000000004</v>
      </c>
    </row>
    <row r="44" spans="1:5" x14ac:dyDescent="0.25">
      <c r="A44" s="109">
        <v>34</v>
      </c>
      <c r="B44" s="110">
        <v>6.08</v>
      </c>
      <c r="C44" s="110">
        <v>5.67</v>
      </c>
      <c r="D44" s="110">
        <v>5.27</v>
      </c>
      <c r="E44" s="110">
        <v>4.8899999999999997</v>
      </c>
    </row>
    <row r="45" spans="1:5" x14ac:dyDescent="0.25">
      <c r="A45" s="109">
        <v>35</v>
      </c>
      <c r="B45" s="110">
        <v>6.29</v>
      </c>
      <c r="C45" s="110">
        <v>5.86</v>
      </c>
      <c r="D45" s="110">
        <v>5.45</v>
      </c>
      <c r="E45" s="110">
        <v>5.0599999999999996</v>
      </c>
    </row>
    <row r="46" spans="1:5" x14ac:dyDescent="0.25">
      <c r="A46" s="109">
        <v>36</v>
      </c>
      <c r="B46" s="110">
        <v>6.51</v>
      </c>
      <c r="C46" s="110">
        <v>6.06</v>
      </c>
      <c r="D46" s="110">
        <v>5.64</v>
      </c>
      <c r="E46" s="110">
        <v>5.23</v>
      </c>
    </row>
    <row r="47" spans="1:5" x14ac:dyDescent="0.25">
      <c r="A47" s="109">
        <v>37</v>
      </c>
      <c r="B47" s="110">
        <v>6.73</v>
      </c>
      <c r="C47" s="110">
        <v>6.27</v>
      </c>
      <c r="D47" s="110">
        <v>5.83</v>
      </c>
      <c r="E47" s="110">
        <v>5.41</v>
      </c>
    </row>
    <row r="48" spans="1:5" x14ac:dyDescent="0.25">
      <c r="A48" s="109">
        <v>38</v>
      </c>
      <c r="B48" s="110">
        <v>6.97</v>
      </c>
      <c r="C48" s="110">
        <v>6.48</v>
      </c>
      <c r="D48" s="110">
        <v>6.03</v>
      </c>
      <c r="E48" s="110">
        <v>5.59</v>
      </c>
    </row>
    <row r="49" spans="1:5" x14ac:dyDescent="0.25">
      <c r="A49" s="109">
        <v>39</v>
      </c>
      <c r="B49" s="110">
        <v>7.21</v>
      </c>
      <c r="C49" s="110">
        <v>6.71</v>
      </c>
      <c r="D49" s="110">
        <v>6.23</v>
      </c>
      <c r="E49" s="110">
        <v>5.78</v>
      </c>
    </row>
    <row r="50" spans="1:5" x14ac:dyDescent="0.25">
      <c r="A50" s="109">
        <v>40</v>
      </c>
      <c r="B50" s="110">
        <v>7.45</v>
      </c>
      <c r="C50" s="110">
        <v>6.94</v>
      </c>
      <c r="D50" s="110">
        <v>6.45</v>
      </c>
      <c r="E50" s="110">
        <v>5.98</v>
      </c>
    </row>
    <row r="51" spans="1:5" x14ac:dyDescent="0.25">
      <c r="A51" s="109">
        <v>41</v>
      </c>
      <c r="B51" s="110">
        <v>7.71</v>
      </c>
      <c r="C51" s="110">
        <v>7.18</v>
      </c>
      <c r="D51" s="110">
        <v>6.67</v>
      </c>
      <c r="E51" s="110">
        <v>6.18</v>
      </c>
    </row>
    <row r="52" spans="1:5" x14ac:dyDescent="0.25">
      <c r="A52" s="109">
        <v>42</v>
      </c>
      <c r="B52" s="110">
        <v>7.98</v>
      </c>
      <c r="C52" s="110">
        <v>7.42</v>
      </c>
      <c r="D52" s="110">
        <v>6.9</v>
      </c>
      <c r="E52" s="110">
        <v>6.39</v>
      </c>
    </row>
    <row r="53" spans="1:5" x14ac:dyDescent="0.25">
      <c r="A53" s="109">
        <v>43</v>
      </c>
      <c r="B53" s="110">
        <v>8.26</v>
      </c>
      <c r="C53" s="110">
        <v>7.68</v>
      </c>
      <c r="D53" s="110">
        <v>7.13</v>
      </c>
      <c r="E53" s="110">
        <v>6.61</v>
      </c>
    </row>
    <row r="54" spans="1:5" x14ac:dyDescent="0.25">
      <c r="A54" s="109">
        <v>44</v>
      </c>
      <c r="B54" s="110">
        <v>8.5399999999999991</v>
      </c>
      <c r="C54" s="110">
        <v>7.95</v>
      </c>
      <c r="D54" s="110">
        <v>7.38</v>
      </c>
      <c r="E54" s="110">
        <v>6.84</v>
      </c>
    </row>
    <row r="55" spans="1:5" x14ac:dyDescent="0.25">
      <c r="A55" s="109">
        <v>45</v>
      </c>
      <c r="B55" s="110">
        <v>8.84</v>
      </c>
      <c r="C55" s="110">
        <v>8.2200000000000006</v>
      </c>
      <c r="D55" s="110">
        <v>7.63</v>
      </c>
      <c r="E55" s="110">
        <v>7.08</v>
      </c>
    </row>
    <row r="56" spans="1:5" x14ac:dyDescent="0.25">
      <c r="A56" s="109">
        <v>46</v>
      </c>
      <c r="B56" s="110">
        <v>9.15</v>
      </c>
      <c r="C56" s="110">
        <v>8.51</v>
      </c>
      <c r="D56" s="110">
        <v>7.9</v>
      </c>
      <c r="E56" s="110">
        <v>7.32</v>
      </c>
    </row>
    <row r="57" spans="1:5" x14ac:dyDescent="0.25">
      <c r="A57" s="109">
        <v>47</v>
      </c>
      <c r="B57" s="110">
        <v>9.4700000000000006</v>
      </c>
      <c r="C57" s="110">
        <v>8.81</v>
      </c>
      <c r="D57" s="110">
        <v>8.17</v>
      </c>
      <c r="E57" s="110">
        <v>7.57</v>
      </c>
    </row>
    <row r="58" spans="1:5" x14ac:dyDescent="0.25">
      <c r="A58" s="109">
        <v>48</v>
      </c>
      <c r="B58" s="110">
        <v>9.81</v>
      </c>
      <c r="C58" s="110">
        <v>9.11</v>
      </c>
      <c r="D58" s="110">
        <v>8.4600000000000009</v>
      </c>
      <c r="E58" s="110">
        <v>7.83</v>
      </c>
    </row>
    <row r="59" spans="1:5" x14ac:dyDescent="0.25">
      <c r="A59" s="109">
        <v>49</v>
      </c>
      <c r="B59" s="110">
        <v>10.15</v>
      </c>
      <c r="C59" s="110">
        <v>9.43</v>
      </c>
      <c r="D59" s="110">
        <v>8.75</v>
      </c>
      <c r="E59" s="110">
        <v>8.11</v>
      </c>
    </row>
    <row r="60" spans="1:5" x14ac:dyDescent="0.25">
      <c r="A60" s="109">
        <v>50</v>
      </c>
      <c r="B60" s="110">
        <v>10.51</v>
      </c>
      <c r="C60" s="110">
        <v>9.77</v>
      </c>
      <c r="D60" s="110">
        <v>9.06</v>
      </c>
      <c r="E60" s="110">
        <v>8.39</v>
      </c>
    </row>
    <row r="61" spans="1:5" x14ac:dyDescent="0.25">
      <c r="A61" s="109">
        <v>51</v>
      </c>
      <c r="B61" s="110">
        <v>10.89</v>
      </c>
      <c r="C61" s="110">
        <v>10.11</v>
      </c>
      <c r="D61" s="110">
        <v>9.3800000000000008</v>
      </c>
      <c r="E61" s="110">
        <v>8.68</v>
      </c>
    </row>
    <row r="62" spans="1:5" x14ac:dyDescent="0.25">
      <c r="A62" s="109">
        <v>52</v>
      </c>
      <c r="B62" s="110">
        <v>11.28</v>
      </c>
      <c r="C62" s="110">
        <v>10.47</v>
      </c>
      <c r="D62" s="110">
        <v>9.7100000000000009</v>
      </c>
      <c r="E62" s="110">
        <v>8.99</v>
      </c>
    </row>
    <row r="63" spans="1:5" x14ac:dyDescent="0.25">
      <c r="A63" s="109">
        <v>53</v>
      </c>
      <c r="B63" s="110">
        <v>11.68</v>
      </c>
      <c r="C63" s="110">
        <v>10.85</v>
      </c>
      <c r="D63" s="110">
        <v>10.06</v>
      </c>
      <c r="E63" s="110">
        <v>9.31</v>
      </c>
    </row>
    <row r="64" spans="1:5" x14ac:dyDescent="0.25">
      <c r="A64" s="109">
        <v>54</v>
      </c>
      <c r="B64" s="110">
        <v>12.11</v>
      </c>
      <c r="C64" s="110">
        <v>11.24</v>
      </c>
      <c r="D64" s="110">
        <v>10.42</v>
      </c>
      <c r="E64" s="110">
        <v>9.64</v>
      </c>
    </row>
    <row r="65" spans="1:5" x14ac:dyDescent="0.25">
      <c r="A65" s="109">
        <v>55</v>
      </c>
      <c r="B65" s="110">
        <v>12.55</v>
      </c>
      <c r="C65" s="110">
        <v>11.65</v>
      </c>
      <c r="D65" s="110">
        <v>10.8</v>
      </c>
      <c r="E65" s="110">
        <v>9.99</v>
      </c>
    </row>
    <row r="66" spans="1:5" x14ac:dyDescent="0.25">
      <c r="A66" s="109">
        <v>56</v>
      </c>
      <c r="B66" s="110">
        <v>13.01</v>
      </c>
      <c r="C66" s="110">
        <v>12.07</v>
      </c>
      <c r="D66" s="110">
        <v>11.19</v>
      </c>
      <c r="E66" s="110">
        <v>10.35</v>
      </c>
    </row>
    <row r="67" spans="1:5" x14ac:dyDescent="0.25">
      <c r="A67" s="109">
        <v>57</v>
      </c>
      <c r="B67" s="110">
        <v>13.49</v>
      </c>
      <c r="C67" s="110">
        <v>12.52</v>
      </c>
      <c r="D67" s="110">
        <v>11.6</v>
      </c>
      <c r="E67" s="110">
        <v>10.72</v>
      </c>
    </row>
    <row r="68" spans="1:5" x14ac:dyDescent="0.25">
      <c r="A68" s="109">
        <v>58</v>
      </c>
      <c r="B68" s="110">
        <v>13.99</v>
      </c>
      <c r="C68" s="110">
        <v>12.98</v>
      </c>
      <c r="D68" s="110">
        <v>12.03</v>
      </c>
      <c r="E68" s="110">
        <v>11.12</v>
      </c>
    </row>
    <row r="69" spans="1:5" x14ac:dyDescent="0.25">
      <c r="A69" s="109">
        <v>59</v>
      </c>
      <c r="B69" s="110">
        <v>14.52</v>
      </c>
      <c r="C69" s="110">
        <v>13.47</v>
      </c>
      <c r="D69" s="110">
        <v>12.48</v>
      </c>
      <c r="E69" s="110">
        <v>11.53</v>
      </c>
    </row>
    <row r="70" spans="1:5" x14ac:dyDescent="0.25">
      <c r="A70" s="109">
        <v>60</v>
      </c>
      <c r="B70" s="110">
        <v>15.08</v>
      </c>
      <c r="C70" s="110">
        <v>13.99</v>
      </c>
      <c r="D70" s="110">
        <v>12.95</v>
      </c>
      <c r="E70" s="110">
        <v>11.97</v>
      </c>
    </row>
    <row r="71" spans="1:5" x14ac:dyDescent="0.25">
      <c r="A71" s="109">
        <v>61</v>
      </c>
      <c r="B71" s="110">
        <v>15.66</v>
      </c>
      <c r="C71" s="110">
        <v>14.52</v>
      </c>
      <c r="D71" s="110">
        <v>13.45</v>
      </c>
      <c r="E71" s="110">
        <v>12.43</v>
      </c>
    </row>
    <row r="72" spans="1:5" x14ac:dyDescent="0.25">
      <c r="A72" s="109">
        <v>62</v>
      </c>
      <c r="B72" s="110">
        <v>16.28</v>
      </c>
      <c r="C72" s="110">
        <v>15.09</v>
      </c>
      <c r="D72" s="110">
        <v>13.97</v>
      </c>
      <c r="E72" s="110">
        <v>12.91</v>
      </c>
    </row>
    <row r="73" spans="1:5" x14ac:dyDescent="0.25">
      <c r="A73" s="109">
        <v>63</v>
      </c>
      <c r="B73" s="110">
        <v>16.93</v>
      </c>
      <c r="C73" s="110">
        <v>15.7</v>
      </c>
      <c r="D73" s="110">
        <v>14.53</v>
      </c>
      <c r="E73" s="110">
        <v>13.42</v>
      </c>
    </row>
    <row r="74" spans="1:5" x14ac:dyDescent="0.25">
      <c r="A74" s="109">
        <v>64</v>
      </c>
      <c r="B74" s="110">
        <v>17.62</v>
      </c>
      <c r="C74" s="110">
        <v>16.329999999999998</v>
      </c>
      <c r="D74" s="110">
        <v>15.11</v>
      </c>
      <c r="E74" s="110">
        <v>13.96</v>
      </c>
    </row>
    <row r="75" spans="1:5" x14ac:dyDescent="0.25">
      <c r="A75" s="109">
        <v>65</v>
      </c>
      <c r="B75" s="110">
        <v>17.649999999999999</v>
      </c>
      <c r="C75" s="110">
        <v>17.010000000000002</v>
      </c>
      <c r="D75" s="110">
        <v>15.74</v>
      </c>
      <c r="E75" s="110">
        <v>14.53</v>
      </c>
    </row>
    <row r="76" spans="1:5" x14ac:dyDescent="0.25">
      <c r="A76" s="109">
        <v>66</v>
      </c>
      <c r="B76" s="110">
        <v>16.989999999999998</v>
      </c>
      <c r="C76" s="110">
        <v>17.03</v>
      </c>
      <c r="D76" s="110">
        <v>16.399999999999999</v>
      </c>
      <c r="E76" s="110">
        <v>15.14</v>
      </c>
    </row>
    <row r="77" spans="1:5" x14ac:dyDescent="0.25">
      <c r="A77" s="109">
        <v>67</v>
      </c>
      <c r="B77" s="110">
        <v>16.34</v>
      </c>
      <c r="C77" s="110">
        <v>16.37</v>
      </c>
      <c r="D77" s="110">
        <v>16.41</v>
      </c>
      <c r="E77" s="110">
        <v>15.79</v>
      </c>
    </row>
    <row r="78" spans="1:5" x14ac:dyDescent="0.25">
      <c r="A78" s="109">
        <v>68</v>
      </c>
      <c r="B78" s="110">
        <v>15.69</v>
      </c>
      <c r="C78" s="110">
        <v>15.71</v>
      </c>
      <c r="D78" s="110">
        <v>15.75</v>
      </c>
      <c r="E78" s="110">
        <v>15.79</v>
      </c>
    </row>
    <row r="79" spans="1:5" x14ac:dyDescent="0.25">
      <c r="A79" s="109">
        <v>69</v>
      </c>
      <c r="B79" s="110">
        <v>15.06</v>
      </c>
      <c r="C79" s="110">
        <v>15.07</v>
      </c>
      <c r="D79" s="110">
        <v>15.09</v>
      </c>
      <c r="E79" s="110">
        <v>15.13</v>
      </c>
    </row>
    <row r="80" spans="1:5" x14ac:dyDescent="0.25">
      <c r="A80" s="109">
        <v>70</v>
      </c>
      <c r="B80" s="110">
        <v>14.43</v>
      </c>
      <c r="C80" s="110">
        <v>14.43</v>
      </c>
      <c r="D80" s="110">
        <v>14.44</v>
      </c>
      <c r="E80" s="110">
        <v>14.47</v>
      </c>
    </row>
    <row r="81" spans="1:5" x14ac:dyDescent="0.25">
      <c r="A81" s="109">
        <v>71</v>
      </c>
      <c r="B81" s="110">
        <v>13.8</v>
      </c>
      <c r="C81" s="110">
        <v>13.8</v>
      </c>
      <c r="D81" s="110">
        <v>13.8</v>
      </c>
      <c r="E81" s="110">
        <v>13.82</v>
      </c>
    </row>
    <row r="82" spans="1:5" x14ac:dyDescent="0.25">
      <c r="A82" s="109">
        <v>72</v>
      </c>
      <c r="B82" s="110">
        <v>13.18</v>
      </c>
      <c r="C82" s="110">
        <v>13.18</v>
      </c>
      <c r="D82" s="110">
        <v>13.18</v>
      </c>
      <c r="E82" s="110">
        <v>13.19</v>
      </c>
    </row>
    <row r="83" spans="1:5" x14ac:dyDescent="0.25">
      <c r="A83" s="109">
        <v>73</v>
      </c>
      <c r="B83" s="110">
        <v>12.57</v>
      </c>
      <c r="C83" s="110">
        <v>12.57</v>
      </c>
      <c r="D83" s="110">
        <v>12.57</v>
      </c>
      <c r="E83" s="110">
        <v>12.57</v>
      </c>
    </row>
    <row r="84" spans="1:5" x14ac:dyDescent="0.25">
      <c r="A84" s="109">
        <v>74</v>
      </c>
      <c r="B84" s="110">
        <v>11.96</v>
      </c>
      <c r="C84" s="110">
        <v>11.96</v>
      </c>
      <c r="D84" s="110">
        <v>11.96</v>
      </c>
      <c r="E84" s="110">
        <v>11.96</v>
      </c>
    </row>
    <row r="85" spans="1:5" x14ac:dyDescent="0.25">
      <c r="A85" s="109">
        <v>75</v>
      </c>
      <c r="B85" s="110">
        <v>11.37</v>
      </c>
      <c r="C85" s="110">
        <v>11.37</v>
      </c>
      <c r="D85" s="110">
        <v>11.37</v>
      </c>
      <c r="E85" s="110">
        <v>11.37</v>
      </c>
    </row>
    <row r="86" spans="1:5" x14ac:dyDescent="0.25">
      <c r="A86" s="109">
        <v>76</v>
      </c>
      <c r="B86" s="110">
        <v>10.78</v>
      </c>
      <c r="C86" s="110">
        <v>10.78</v>
      </c>
      <c r="D86" s="110">
        <v>10.78</v>
      </c>
      <c r="E86" s="110">
        <v>10.78</v>
      </c>
    </row>
    <row r="87" spans="1:5" x14ac:dyDescent="0.25">
      <c r="A87" s="109">
        <v>77</v>
      </c>
      <c r="B87" s="110">
        <v>10.199999999999999</v>
      </c>
      <c r="C87" s="110">
        <v>10.199999999999999</v>
      </c>
      <c r="D87" s="110">
        <v>10.199999999999999</v>
      </c>
      <c r="E87" s="110">
        <v>10.199999999999999</v>
      </c>
    </row>
    <row r="88" spans="1:5" x14ac:dyDescent="0.25">
      <c r="A88" s="109">
        <v>78</v>
      </c>
      <c r="B88" s="110">
        <v>9.6300000000000008</v>
      </c>
      <c r="C88" s="110">
        <v>9.6300000000000008</v>
      </c>
      <c r="D88" s="110">
        <v>9.6300000000000008</v>
      </c>
      <c r="E88" s="110">
        <v>9.6300000000000008</v>
      </c>
    </row>
    <row r="89" spans="1:5" x14ac:dyDescent="0.25">
      <c r="A89" s="109">
        <v>79</v>
      </c>
      <c r="B89" s="110">
        <v>9.08</v>
      </c>
      <c r="C89" s="110">
        <v>9.08</v>
      </c>
      <c r="D89" s="110">
        <v>9.08</v>
      </c>
      <c r="E89" s="110">
        <v>9.08</v>
      </c>
    </row>
    <row r="90" spans="1:5" x14ac:dyDescent="0.25">
      <c r="A90" s="109">
        <v>80</v>
      </c>
      <c r="B90" s="110">
        <v>8.5500000000000007</v>
      </c>
      <c r="C90" s="110">
        <v>8.5500000000000007</v>
      </c>
      <c r="D90" s="110">
        <v>8.5500000000000007</v>
      </c>
      <c r="E90" s="110">
        <v>8.5500000000000007</v>
      </c>
    </row>
    <row r="91" spans="1:5" x14ac:dyDescent="0.25">
      <c r="A91" s="109">
        <v>81</v>
      </c>
      <c r="B91" s="110">
        <v>8.0299999999999994</v>
      </c>
      <c r="C91" s="110">
        <v>8.0299999999999994</v>
      </c>
      <c r="D91" s="110">
        <v>8.0299999999999994</v>
      </c>
      <c r="E91" s="110">
        <v>8.0299999999999994</v>
      </c>
    </row>
    <row r="92" spans="1:5" x14ac:dyDescent="0.25">
      <c r="A92" s="109">
        <v>82</v>
      </c>
      <c r="B92" s="110">
        <v>7.53</v>
      </c>
      <c r="C92" s="110">
        <v>7.53</v>
      </c>
      <c r="D92" s="110">
        <v>7.53</v>
      </c>
      <c r="E92" s="110">
        <v>7.53</v>
      </c>
    </row>
    <row r="93" spans="1:5" x14ac:dyDescent="0.25">
      <c r="A93" s="109">
        <v>83</v>
      </c>
      <c r="B93" s="110">
        <v>7.05</v>
      </c>
      <c r="C93" s="110">
        <v>7.05</v>
      </c>
      <c r="D93" s="110">
        <v>7.05</v>
      </c>
      <c r="E93" s="110">
        <v>7.05</v>
      </c>
    </row>
    <row r="94" spans="1:5" x14ac:dyDescent="0.25">
      <c r="A94" s="109">
        <v>84</v>
      </c>
      <c r="B94" s="110">
        <v>6.59</v>
      </c>
      <c r="C94" s="110">
        <v>6.59</v>
      </c>
      <c r="D94" s="110">
        <v>6.59</v>
      </c>
      <c r="E94" s="110">
        <v>6.59</v>
      </c>
    </row>
    <row r="95" spans="1:5" x14ac:dyDescent="0.25">
      <c r="A95" s="109">
        <v>85</v>
      </c>
      <c r="B95" s="110">
        <v>6.15</v>
      </c>
      <c r="C95" s="110">
        <v>6.15</v>
      </c>
      <c r="D95" s="110">
        <v>6.15</v>
      </c>
      <c r="E95" s="110">
        <v>6.15</v>
      </c>
    </row>
    <row r="96" spans="1:5" x14ac:dyDescent="0.25">
      <c r="A96" s="109">
        <v>86</v>
      </c>
      <c r="B96" s="110">
        <v>5.73</v>
      </c>
      <c r="C96" s="110">
        <v>5.73</v>
      </c>
      <c r="D96" s="110">
        <v>5.73</v>
      </c>
      <c r="E96" s="110">
        <v>5.73</v>
      </c>
    </row>
    <row r="97" spans="1:5" x14ac:dyDescent="0.25">
      <c r="A97" s="109">
        <v>87</v>
      </c>
      <c r="B97" s="110">
        <v>5.33</v>
      </c>
      <c r="C97" s="110">
        <v>5.33</v>
      </c>
      <c r="D97" s="110">
        <v>5.33</v>
      </c>
      <c r="E97" s="110">
        <v>5.33</v>
      </c>
    </row>
    <row r="98" spans="1:5" x14ac:dyDescent="0.25">
      <c r="A98" s="109">
        <v>88</v>
      </c>
      <c r="B98" s="110">
        <v>4.95</v>
      </c>
      <c r="C98" s="110">
        <v>4.95</v>
      </c>
      <c r="D98" s="110">
        <v>4.95</v>
      </c>
      <c r="E98" s="110">
        <v>4.95</v>
      </c>
    </row>
    <row r="99" spans="1:5" x14ac:dyDescent="0.25">
      <c r="A99" s="109">
        <v>89</v>
      </c>
      <c r="B99" s="110">
        <v>4.59</v>
      </c>
      <c r="C99" s="110">
        <v>4.59</v>
      </c>
      <c r="D99" s="110">
        <v>4.59</v>
      </c>
      <c r="E99" s="110">
        <v>4.59</v>
      </c>
    </row>
    <row r="100" spans="1:5" x14ac:dyDescent="0.25">
      <c r="A100" s="109">
        <v>90</v>
      </c>
      <c r="B100" s="110">
        <v>4.26</v>
      </c>
      <c r="C100" s="110">
        <v>4.26</v>
      </c>
      <c r="D100" s="110">
        <v>4.26</v>
      </c>
      <c r="E100" s="110">
        <v>4.26</v>
      </c>
    </row>
    <row r="101" spans="1:5" x14ac:dyDescent="0.25">
      <c r="A101" s="109">
        <v>91</v>
      </c>
      <c r="B101" s="110">
        <v>3.94</v>
      </c>
      <c r="C101" s="110">
        <v>3.94</v>
      </c>
      <c r="D101" s="110">
        <v>3.94</v>
      </c>
      <c r="E101" s="110">
        <v>3.94</v>
      </c>
    </row>
    <row r="102" spans="1:5" x14ac:dyDescent="0.25">
      <c r="A102" s="109">
        <v>92</v>
      </c>
      <c r="B102" s="110">
        <v>3.65</v>
      </c>
      <c r="C102" s="110">
        <v>3.65</v>
      </c>
      <c r="D102" s="110">
        <v>3.65</v>
      </c>
      <c r="E102" s="110">
        <v>3.65</v>
      </c>
    </row>
    <row r="103" spans="1:5" x14ac:dyDescent="0.25">
      <c r="A103" s="109">
        <v>93</v>
      </c>
      <c r="B103" s="110">
        <v>3.39</v>
      </c>
      <c r="C103" s="110">
        <v>3.39</v>
      </c>
      <c r="D103" s="110">
        <v>3.39</v>
      </c>
      <c r="E103" s="110">
        <v>3.39</v>
      </c>
    </row>
    <row r="104" spans="1:5" x14ac:dyDescent="0.25">
      <c r="A104" s="109">
        <v>94</v>
      </c>
      <c r="B104" s="110">
        <v>3.15</v>
      </c>
      <c r="C104" s="110">
        <v>3.15</v>
      </c>
      <c r="D104" s="110">
        <v>3.15</v>
      </c>
      <c r="E104" s="110">
        <v>3.15</v>
      </c>
    </row>
    <row r="105" spans="1:5" x14ac:dyDescent="0.25">
      <c r="A105" s="109">
        <v>95</v>
      </c>
      <c r="B105" s="110">
        <v>2.93</v>
      </c>
      <c r="C105" s="110">
        <v>2.93</v>
      </c>
      <c r="D105" s="110">
        <v>2.93</v>
      </c>
      <c r="E105" s="110">
        <v>2.93</v>
      </c>
    </row>
    <row r="106" spans="1:5" x14ac:dyDescent="0.25">
      <c r="A106" s="109">
        <v>96</v>
      </c>
      <c r="B106" s="110">
        <v>2.73</v>
      </c>
      <c r="C106" s="110">
        <v>2.73</v>
      </c>
      <c r="D106" s="110">
        <v>2.73</v>
      </c>
      <c r="E106" s="110">
        <v>2.73</v>
      </c>
    </row>
    <row r="107" spans="1:5" x14ac:dyDescent="0.25">
      <c r="A107" s="109">
        <v>97</v>
      </c>
      <c r="B107" s="110">
        <v>2.56</v>
      </c>
      <c r="C107" s="110">
        <v>2.56</v>
      </c>
      <c r="D107" s="110">
        <v>2.56</v>
      </c>
      <c r="E107" s="110">
        <v>2.56</v>
      </c>
    </row>
    <row r="108" spans="1:5" x14ac:dyDescent="0.25">
      <c r="A108" s="109">
        <v>98</v>
      </c>
      <c r="B108" s="110">
        <v>2.41</v>
      </c>
      <c r="C108" s="110">
        <v>2.41</v>
      </c>
      <c r="D108" s="110">
        <v>2.41</v>
      </c>
      <c r="E108" s="110">
        <v>2.41</v>
      </c>
    </row>
  </sheetData>
  <conditionalFormatting sqref="A6:A21">
    <cfRule type="expression" dxfId="929" priority="3" stopIfTrue="1">
      <formula>MOD(ROW(),2)=0</formula>
    </cfRule>
    <cfRule type="expression" dxfId="928" priority="4" stopIfTrue="1">
      <formula>MOD(ROW(),2)&lt;&gt;0</formula>
    </cfRule>
  </conditionalFormatting>
  <conditionalFormatting sqref="A26:A108">
    <cfRule type="expression" dxfId="927" priority="7" stopIfTrue="1">
      <formula>MOD(ROW(),2)=0</formula>
    </cfRule>
    <cfRule type="expression" dxfId="926" priority="8" stopIfTrue="1">
      <formula>MOD(ROW(),2)&lt;&gt;0</formula>
    </cfRule>
  </conditionalFormatting>
  <conditionalFormatting sqref="B18:B21">
    <cfRule type="expression" dxfId="925" priority="1" stopIfTrue="1">
      <formula>MOD(ROW(),2)=0</formula>
    </cfRule>
    <cfRule type="expression" dxfId="924" priority="2" stopIfTrue="1">
      <formula>MOD(ROW(),2)&lt;&gt;0</formula>
    </cfRule>
  </conditionalFormatting>
  <conditionalFormatting sqref="B6:E21">
    <cfRule type="expression" dxfId="923" priority="25" stopIfTrue="1">
      <formula>MOD(ROW(),2)=0</formula>
    </cfRule>
    <cfRule type="expression" dxfId="922" priority="26" stopIfTrue="1">
      <formula>MOD(ROW(),2)&lt;&gt;0</formula>
    </cfRule>
  </conditionalFormatting>
  <conditionalFormatting sqref="B26:E108">
    <cfRule type="expression" dxfId="921" priority="9" stopIfTrue="1">
      <formula>MOD(ROW(),2)=0</formula>
    </cfRule>
    <cfRule type="expression" dxfId="920" priority="10" stopIfTrue="1">
      <formula>MOD(ROW(),2)&lt;&gt;0</formula>
    </cfRule>
  </conditionalFormatting>
  <hyperlinks>
    <hyperlink ref="B24" location="Assumptions!A1" display="Assumptions" xr:uid="{AEDC3351-3B61-4184-AF20-34AA25D80E1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7"/>
  <dimension ref="A1:I108"/>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Pension Credit - x-306</v>
      </c>
      <c r="B3" s="56"/>
      <c r="C3" s="56"/>
      <c r="D3" s="56"/>
      <c r="E3" s="56"/>
      <c r="F3" s="56"/>
      <c r="G3" s="56"/>
      <c r="H3" s="56"/>
      <c r="I3" s="56"/>
    </row>
    <row r="4" spans="1:9" x14ac:dyDescent="0.25">
      <c r="A4" s="58"/>
    </row>
    <row r="6" spans="1:9" ht="13" x14ac:dyDescent="0.3">
      <c r="A6" s="92" t="s">
        <v>716</v>
      </c>
      <c r="B6" s="181" t="s">
        <v>717</v>
      </c>
      <c r="C6" s="181"/>
      <c r="D6" s="181"/>
      <c r="E6" s="181"/>
    </row>
    <row r="7" spans="1:9" ht="14.5" customHeight="1" x14ac:dyDescent="0.25">
      <c r="A7" s="94" t="s">
        <v>797</v>
      </c>
      <c r="B7" s="181" t="s">
        <v>316</v>
      </c>
      <c r="C7" s="181"/>
      <c r="D7" s="181"/>
      <c r="E7" s="181"/>
    </row>
    <row r="8" spans="1:9" x14ac:dyDescent="0.25">
      <c r="A8" s="94" t="s">
        <v>798</v>
      </c>
      <c r="B8" s="181" t="s">
        <v>92</v>
      </c>
      <c r="C8" s="181"/>
      <c r="D8" s="181"/>
      <c r="E8" s="181"/>
    </row>
    <row r="9" spans="1:9" x14ac:dyDescent="0.25">
      <c r="A9" s="94" t="s">
        <v>300</v>
      </c>
      <c r="B9" s="181" t="s">
        <v>404</v>
      </c>
      <c r="C9" s="181"/>
      <c r="D9" s="181"/>
      <c r="E9" s="181"/>
    </row>
    <row r="10" spans="1:9" ht="13" customHeight="1" x14ac:dyDescent="0.25">
      <c r="A10" s="94" t="s">
        <v>6</v>
      </c>
      <c r="B10" s="181" t="s">
        <v>411</v>
      </c>
      <c r="C10" s="181"/>
      <c r="D10" s="181"/>
      <c r="E10" s="181"/>
    </row>
    <row r="11" spans="1:9" x14ac:dyDescent="0.25">
      <c r="A11" s="94" t="s">
        <v>301</v>
      </c>
      <c r="B11" s="181" t="s">
        <v>412</v>
      </c>
      <c r="C11" s="181"/>
      <c r="D11" s="181"/>
      <c r="E11" s="181"/>
    </row>
    <row r="12" spans="1:9" x14ac:dyDescent="0.25">
      <c r="A12" s="94" t="s">
        <v>302</v>
      </c>
      <c r="B12" s="181" t="s">
        <v>407</v>
      </c>
      <c r="C12" s="181"/>
      <c r="D12" s="181"/>
      <c r="E12" s="181"/>
    </row>
    <row r="13" spans="1:9" x14ac:dyDescent="0.25">
      <c r="A13" s="94" t="s">
        <v>813</v>
      </c>
      <c r="B13" s="181">
        <v>0</v>
      </c>
      <c r="C13" s="181"/>
      <c r="D13" s="181"/>
      <c r="E13" s="181"/>
    </row>
    <row r="14" spans="1:9" x14ac:dyDescent="0.25">
      <c r="A14" s="94" t="s">
        <v>304</v>
      </c>
      <c r="B14" s="181">
        <v>306</v>
      </c>
      <c r="C14" s="181"/>
      <c r="D14" s="181"/>
      <c r="E14" s="181"/>
    </row>
    <row r="15" spans="1:9" x14ac:dyDescent="0.25">
      <c r="A15" s="94" t="s">
        <v>727</v>
      </c>
      <c r="B15" s="181" t="s">
        <v>413</v>
      </c>
      <c r="C15" s="181"/>
      <c r="D15" s="181"/>
      <c r="E15" s="181"/>
    </row>
    <row r="16" spans="1:9" x14ac:dyDescent="0.25">
      <c r="A16" s="94" t="s">
        <v>306</v>
      </c>
      <c r="B16" s="181" t="s">
        <v>414</v>
      </c>
      <c r="C16" s="181"/>
      <c r="D16" s="181"/>
      <c r="E16" s="181"/>
    </row>
    <row r="17" spans="1:5" ht="35.15" customHeight="1" x14ac:dyDescent="0.25">
      <c r="A17" s="94" t="s">
        <v>800</v>
      </c>
      <c r="B17" s="181"/>
      <c r="C17" s="181"/>
      <c r="D17" s="181"/>
      <c r="E17" s="181"/>
    </row>
    <row r="18" spans="1:5" x14ac:dyDescent="0.25">
      <c r="A18" s="94" t="s">
        <v>308</v>
      </c>
      <c r="B18" s="185">
        <v>45071</v>
      </c>
      <c r="C18" s="181"/>
      <c r="D18" s="181"/>
      <c r="E18" s="181"/>
    </row>
    <row r="19" spans="1:5" x14ac:dyDescent="0.25">
      <c r="A19" s="94" t="s">
        <v>309</v>
      </c>
      <c r="B19" s="185">
        <v>45014</v>
      </c>
      <c r="C19" s="181"/>
      <c r="D19" s="181"/>
      <c r="E19" s="181"/>
    </row>
    <row r="20" spans="1:5" x14ac:dyDescent="0.25">
      <c r="A20" s="94" t="s">
        <v>310</v>
      </c>
      <c r="B20" s="181" t="s">
        <v>324</v>
      </c>
      <c r="C20" s="181"/>
      <c r="D20" s="181"/>
      <c r="E20" s="181"/>
    </row>
    <row r="21" spans="1:5" x14ac:dyDescent="0.25">
      <c r="A21" s="87" t="s">
        <v>311</v>
      </c>
      <c r="B21" s="181" t="s">
        <v>325</v>
      </c>
      <c r="C21" s="181"/>
      <c r="D21" s="181"/>
      <c r="E21" s="181"/>
    </row>
    <row r="23" spans="1:5" x14ac:dyDescent="0.25">
      <c r="B23" s="104" t="str">
        <f>HYPERLINK("#'Factor List'!A1","Back to Factor List")</f>
        <v>Back to Factor List</v>
      </c>
    </row>
    <row r="24" spans="1:5" x14ac:dyDescent="0.25">
      <c r="B24" s="104" t="s">
        <v>13</v>
      </c>
    </row>
    <row r="26" spans="1:5" ht="26" x14ac:dyDescent="0.25">
      <c r="A26" s="108" t="s">
        <v>534</v>
      </c>
      <c r="B26" s="108" t="s">
        <v>829</v>
      </c>
      <c r="C26" s="108" t="s">
        <v>830</v>
      </c>
      <c r="D26" s="108" t="s">
        <v>831</v>
      </c>
      <c r="E26" s="108" t="s">
        <v>832</v>
      </c>
    </row>
    <row r="27" spans="1:5" x14ac:dyDescent="0.25">
      <c r="A27" s="109">
        <v>17</v>
      </c>
      <c r="B27" s="110">
        <v>3.43</v>
      </c>
      <c r="C27" s="110">
        <v>3.21</v>
      </c>
      <c r="D27" s="110">
        <v>2.99</v>
      </c>
      <c r="E27" s="110">
        <v>2.78</v>
      </c>
    </row>
    <row r="28" spans="1:5" x14ac:dyDescent="0.25">
      <c r="A28" s="109">
        <v>18</v>
      </c>
      <c r="B28" s="110">
        <v>3.55</v>
      </c>
      <c r="C28" s="110">
        <v>3.32</v>
      </c>
      <c r="D28" s="110">
        <v>3.09</v>
      </c>
      <c r="E28" s="110">
        <v>2.88</v>
      </c>
    </row>
    <row r="29" spans="1:5" x14ac:dyDescent="0.25">
      <c r="A29" s="109">
        <v>19</v>
      </c>
      <c r="B29" s="110">
        <v>3.67</v>
      </c>
      <c r="C29" s="110">
        <v>3.43</v>
      </c>
      <c r="D29" s="110">
        <v>3.2</v>
      </c>
      <c r="E29" s="110">
        <v>2.97</v>
      </c>
    </row>
    <row r="30" spans="1:5" x14ac:dyDescent="0.25">
      <c r="A30" s="109">
        <v>20</v>
      </c>
      <c r="B30" s="110">
        <v>3.8</v>
      </c>
      <c r="C30" s="110">
        <v>3.55</v>
      </c>
      <c r="D30" s="110">
        <v>3.3</v>
      </c>
      <c r="E30" s="110">
        <v>3.07</v>
      </c>
    </row>
    <row r="31" spans="1:5" x14ac:dyDescent="0.25">
      <c r="A31" s="109">
        <v>21</v>
      </c>
      <c r="B31" s="110">
        <v>3.93</v>
      </c>
      <c r="C31" s="110">
        <v>3.67</v>
      </c>
      <c r="D31" s="110">
        <v>3.42</v>
      </c>
      <c r="E31" s="110">
        <v>3.18</v>
      </c>
    </row>
    <row r="32" spans="1:5" x14ac:dyDescent="0.25">
      <c r="A32" s="109">
        <v>22</v>
      </c>
      <c r="B32" s="110">
        <v>4.0599999999999996</v>
      </c>
      <c r="C32" s="110">
        <v>3.79</v>
      </c>
      <c r="D32" s="110">
        <v>3.53</v>
      </c>
      <c r="E32" s="110">
        <v>3.29</v>
      </c>
    </row>
    <row r="33" spans="1:5" x14ac:dyDescent="0.25">
      <c r="A33" s="109">
        <v>23</v>
      </c>
      <c r="B33" s="110">
        <v>4.2</v>
      </c>
      <c r="C33" s="110">
        <v>3.92</v>
      </c>
      <c r="D33" s="110">
        <v>3.65</v>
      </c>
      <c r="E33" s="110">
        <v>3.4</v>
      </c>
    </row>
    <row r="34" spans="1:5" x14ac:dyDescent="0.25">
      <c r="A34" s="109">
        <v>24</v>
      </c>
      <c r="B34" s="110">
        <v>4.3499999999999996</v>
      </c>
      <c r="C34" s="110">
        <v>4.05</v>
      </c>
      <c r="D34" s="110">
        <v>3.78</v>
      </c>
      <c r="E34" s="110">
        <v>3.51</v>
      </c>
    </row>
    <row r="35" spans="1:5" x14ac:dyDescent="0.25">
      <c r="A35" s="109">
        <v>25</v>
      </c>
      <c r="B35" s="110">
        <v>4.49</v>
      </c>
      <c r="C35" s="110">
        <v>4.1900000000000004</v>
      </c>
      <c r="D35" s="110">
        <v>3.9</v>
      </c>
      <c r="E35" s="110">
        <v>3.63</v>
      </c>
    </row>
    <row r="36" spans="1:5" x14ac:dyDescent="0.25">
      <c r="A36" s="109">
        <v>26</v>
      </c>
      <c r="B36" s="110">
        <v>4.6500000000000004</v>
      </c>
      <c r="C36" s="110">
        <v>4.33</v>
      </c>
      <c r="D36" s="110">
        <v>4.04</v>
      </c>
      <c r="E36" s="110">
        <v>3.75</v>
      </c>
    </row>
    <row r="37" spans="1:5" x14ac:dyDescent="0.25">
      <c r="A37" s="109">
        <v>27</v>
      </c>
      <c r="B37" s="110">
        <v>4.8099999999999996</v>
      </c>
      <c r="C37" s="110">
        <v>4.4800000000000004</v>
      </c>
      <c r="D37" s="110">
        <v>4.17</v>
      </c>
      <c r="E37" s="110">
        <v>3.88</v>
      </c>
    </row>
    <row r="38" spans="1:5" x14ac:dyDescent="0.25">
      <c r="A38" s="109">
        <v>28</v>
      </c>
      <c r="B38" s="110">
        <v>4.97</v>
      </c>
      <c r="C38" s="110">
        <v>4.63</v>
      </c>
      <c r="D38" s="110">
        <v>4.3099999999999996</v>
      </c>
      <c r="E38" s="110">
        <v>4.01</v>
      </c>
    </row>
    <row r="39" spans="1:5" x14ac:dyDescent="0.25">
      <c r="A39" s="109">
        <v>29</v>
      </c>
      <c r="B39" s="110">
        <v>5.14</v>
      </c>
      <c r="C39" s="110">
        <v>4.79</v>
      </c>
      <c r="D39" s="110">
        <v>4.46</v>
      </c>
      <c r="E39" s="110">
        <v>4.1399999999999997</v>
      </c>
    </row>
    <row r="40" spans="1:5" x14ac:dyDescent="0.25">
      <c r="A40" s="109">
        <v>30</v>
      </c>
      <c r="B40" s="110">
        <v>5.32</v>
      </c>
      <c r="C40" s="110">
        <v>4.96</v>
      </c>
      <c r="D40" s="110">
        <v>4.6100000000000003</v>
      </c>
      <c r="E40" s="110">
        <v>4.28</v>
      </c>
    </row>
    <row r="41" spans="1:5" x14ac:dyDescent="0.25">
      <c r="A41" s="109">
        <v>31</v>
      </c>
      <c r="B41" s="110">
        <v>5.5</v>
      </c>
      <c r="C41" s="110">
        <v>5.12</v>
      </c>
      <c r="D41" s="110">
        <v>4.7699999999999996</v>
      </c>
      <c r="E41" s="110">
        <v>4.43</v>
      </c>
    </row>
    <row r="42" spans="1:5" x14ac:dyDescent="0.25">
      <c r="A42" s="109">
        <v>32</v>
      </c>
      <c r="B42" s="110">
        <v>5.69</v>
      </c>
      <c r="C42" s="110">
        <v>5.3</v>
      </c>
      <c r="D42" s="110">
        <v>4.93</v>
      </c>
      <c r="E42" s="110">
        <v>4.58</v>
      </c>
    </row>
    <row r="43" spans="1:5" x14ac:dyDescent="0.25">
      <c r="A43" s="109">
        <v>33</v>
      </c>
      <c r="B43" s="110">
        <v>5.88</v>
      </c>
      <c r="C43" s="110">
        <v>5.48</v>
      </c>
      <c r="D43" s="110">
        <v>5.0999999999999996</v>
      </c>
      <c r="E43" s="110">
        <v>4.7300000000000004</v>
      </c>
    </row>
    <row r="44" spans="1:5" x14ac:dyDescent="0.25">
      <c r="A44" s="109">
        <v>34</v>
      </c>
      <c r="B44" s="110">
        <v>6.08</v>
      </c>
      <c r="C44" s="110">
        <v>5.67</v>
      </c>
      <c r="D44" s="110">
        <v>5.27</v>
      </c>
      <c r="E44" s="110">
        <v>4.8899999999999997</v>
      </c>
    </row>
    <row r="45" spans="1:5" x14ac:dyDescent="0.25">
      <c r="A45" s="109">
        <v>35</v>
      </c>
      <c r="B45" s="110">
        <v>6.29</v>
      </c>
      <c r="C45" s="110">
        <v>5.86</v>
      </c>
      <c r="D45" s="110">
        <v>5.45</v>
      </c>
      <c r="E45" s="110">
        <v>5.0599999999999996</v>
      </c>
    </row>
    <row r="46" spans="1:5" x14ac:dyDescent="0.25">
      <c r="A46" s="109">
        <v>36</v>
      </c>
      <c r="B46" s="110">
        <v>6.51</v>
      </c>
      <c r="C46" s="110">
        <v>6.06</v>
      </c>
      <c r="D46" s="110">
        <v>5.64</v>
      </c>
      <c r="E46" s="110">
        <v>5.23</v>
      </c>
    </row>
    <row r="47" spans="1:5" x14ac:dyDescent="0.25">
      <c r="A47" s="109">
        <v>37</v>
      </c>
      <c r="B47" s="110">
        <v>6.73</v>
      </c>
      <c r="C47" s="110">
        <v>6.27</v>
      </c>
      <c r="D47" s="110">
        <v>5.83</v>
      </c>
      <c r="E47" s="110">
        <v>5.41</v>
      </c>
    </row>
    <row r="48" spans="1:5" x14ac:dyDescent="0.25">
      <c r="A48" s="109">
        <v>38</v>
      </c>
      <c r="B48" s="110">
        <v>6.97</v>
      </c>
      <c r="C48" s="110">
        <v>6.48</v>
      </c>
      <c r="D48" s="110">
        <v>6.03</v>
      </c>
      <c r="E48" s="110">
        <v>5.59</v>
      </c>
    </row>
    <row r="49" spans="1:5" x14ac:dyDescent="0.25">
      <c r="A49" s="109">
        <v>39</v>
      </c>
      <c r="B49" s="110">
        <v>7.21</v>
      </c>
      <c r="C49" s="110">
        <v>6.71</v>
      </c>
      <c r="D49" s="110">
        <v>6.23</v>
      </c>
      <c r="E49" s="110">
        <v>5.78</v>
      </c>
    </row>
    <row r="50" spans="1:5" x14ac:dyDescent="0.25">
      <c r="A50" s="109">
        <v>40</v>
      </c>
      <c r="B50" s="110">
        <v>7.45</v>
      </c>
      <c r="C50" s="110">
        <v>6.94</v>
      </c>
      <c r="D50" s="110">
        <v>6.45</v>
      </c>
      <c r="E50" s="110">
        <v>5.98</v>
      </c>
    </row>
    <row r="51" spans="1:5" x14ac:dyDescent="0.25">
      <c r="A51" s="109">
        <v>41</v>
      </c>
      <c r="B51" s="110">
        <v>7.71</v>
      </c>
      <c r="C51" s="110">
        <v>7.18</v>
      </c>
      <c r="D51" s="110">
        <v>6.67</v>
      </c>
      <c r="E51" s="110">
        <v>6.18</v>
      </c>
    </row>
    <row r="52" spans="1:5" x14ac:dyDescent="0.25">
      <c r="A52" s="109">
        <v>42</v>
      </c>
      <c r="B52" s="110">
        <v>7.98</v>
      </c>
      <c r="C52" s="110">
        <v>7.42</v>
      </c>
      <c r="D52" s="110">
        <v>6.9</v>
      </c>
      <c r="E52" s="110">
        <v>6.39</v>
      </c>
    </row>
    <row r="53" spans="1:5" x14ac:dyDescent="0.25">
      <c r="A53" s="109">
        <v>43</v>
      </c>
      <c r="B53" s="110">
        <v>8.26</v>
      </c>
      <c r="C53" s="110">
        <v>7.68</v>
      </c>
      <c r="D53" s="110">
        <v>7.13</v>
      </c>
      <c r="E53" s="110">
        <v>6.61</v>
      </c>
    </row>
    <row r="54" spans="1:5" x14ac:dyDescent="0.25">
      <c r="A54" s="109">
        <v>44</v>
      </c>
      <c r="B54" s="110">
        <v>8.5399999999999991</v>
      </c>
      <c r="C54" s="110">
        <v>7.95</v>
      </c>
      <c r="D54" s="110">
        <v>7.38</v>
      </c>
      <c r="E54" s="110">
        <v>6.84</v>
      </c>
    </row>
    <row r="55" spans="1:5" x14ac:dyDescent="0.25">
      <c r="A55" s="109">
        <v>45</v>
      </c>
      <c r="B55" s="110">
        <v>8.84</v>
      </c>
      <c r="C55" s="110">
        <v>8.2200000000000006</v>
      </c>
      <c r="D55" s="110">
        <v>7.63</v>
      </c>
      <c r="E55" s="110">
        <v>7.08</v>
      </c>
    </row>
    <row r="56" spans="1:5" x14ac:dyDescent="0.25">
      <c r="A56" s="109">
        <v>46</v>
      </c>
      <c r="B56" s="110">
        <v>9.15</v>
      </c>
      <c r="C56" s="110">
        <v>8.51</v>
      </c>
      <c r="D56" s="110">
        <v>7.9</v>
      </c>
      <c r="E56" s="110">
        <v>7.32</v>
      </c>
    </row>
    <row r="57" spans="1:5" x14ac:dyDescent="0.25">
      <c r="A57" s="109">
        <v>47</v>
      </c>
      <c r="B57" s="110">
        <v>9.4700000000000006</v>
      </c>
      <c r="C57" s="110">
        <v>8.81</v>
      </c>
      <c r="D57" s="110">
        <v>8.17</v>
      </c>
      <c r="E57" s="110">
        <v>7.57</v>
      </c>
    </row>
    <row r="58" spans="1:5" x14ac:dyDescent="0.25">
      <c r="A58" s="109">
        <v>48</v>
      </c>
      <c r="B58" s="110">
        <v>9.81</v>
      </c>
      <c r="C58" s="110">
        <v>9.11</v>
      </c>
      <c r="D58" s="110">
        <v>8.4600000000000009</v>
      </c>
      <c r="E58" s="110">
        <v>7.83</v>
      </c>
    </row>
    <row r="59" spans="1:5" x14ac:dyDescent="0.25">
      <c r="A59" s="109">
        <v>49</v>
      </c>
      <c r="B59" s="110">
        <v>10.15</v>
      </c>
      <c r="C59" s="110">
        <v>9.43</v>
      </c>
      <c r="D59" s="110">
        <v>8.75</v>
      </c>
      <c r="E59" s="110">
        <v>8.11</v>
      </c>
    </row>
    <row r="60" spans="1:5" x14ac:dyDescent="0.25">
      <c r="A60" s="109">
        <v>50</v>
      </c>
      <c r="B60" s="110">
        <v>10.51</v>
      </c>
      <c r="C60" s="110">
        <v>9.77</v>
      </c>
      <c r="D60" s="110">
        <v>9.06</v>
      </c>
      <c r="E60" s="110">
        <v>8.39</v>
      </c>
    </row>
    <row r="61" spans="1:5" x14ac:dyDescent="0.25">
      <c r="A61" s="109">
        <v>51</v>
      </c>
      <c r="B61" s="110">
        <v>10.89</v>
      </c>
      <c r="C61" s="110">
        <v>10.11</v>
      </c>
      <c r="D61" s="110">
        <v>9.3800000000000008</v>
      </c>
      <c r="E61" s="110">
        <v>8.68</v>
      </c>
    </row>
    <row r="62" spans="1:5" x14ac:dyDescent="0.25">
      <c r="A62" s="109">
        <v>52</v>
      </c>
      <c r="B62" s="110">
        <v>11.28</v>
      </c>
      <c r="C62" s="110">
        <v>10.47</v>
      </c>
      <c r="D62" s="110">
        <v>9.7100000000000009</v>
      </c>
      <c r="E62" s="110">
        <v>8.99</v>
      </c>
    </row>
    <row r="63" spans="1:5" x14ac:dyDescent="0.25">
      <c r="A63" s="109">
        <v>53</v>
      </c>
      <c r="B63" s="110">
        <v>11.68</v>
      </c>
      <c r="C63" s="110">
        <v>10.85</v>
      </c>
      <c r="D63" s="110">
        <v>10.06</v>
      </c>
      <c r="E63" s="110">
        <v>9.31</v>
      </c>
    </row>
    <row r="64" spans="1:5" x14ac:dyDescent="0.25">
      <c r="A64" s="109">
        <v>54</v>
      </c>
      <c r="B64" s="110">
        <v>12.11</v>
      </c>
      <c r="C64" s="110">
        <v>11.24</v>
      </c>
      <c r="D64" s="110">
        <v>10.42</v>
      </c>
      <c r="E64" s="110">
        <v>9.64</v>
      </c>
    </row>
    <row r="65" spans="1:5" x14ac:dyDescent="0.25">
      <c r="A65" s="109">
        <v>55</v>
      </c>
      <c r="B65" s="110">
        <v>12.55</v>
      </c>
      <c r="C65" s="110">
        <v>11.65</v>
      </c>
      <c r="D65" s="110">
        <v>10.8</v>
      </c>
      <c r="E65" s="110">
        <v>9.99</v>
      </c>
    </row>
    <row r="66" spans="1:5" x14ac:dyDescent="0.25">
      <c r="A66" s="109">
        <v>56</v>
      </c>
      <c r="B66" s="110">
        <v>13.01</v>
      </c>
      <c r="C66" s="110">
        <v>12.07</v>
      </c>
      <c r="D66" s="110">
        <v>11.19</v>
      </c>
      <c r="E66" s="110">
        <v>10.35</v>
      </c>
    </row>
    <row r="67" spans="1:5" x14ac:dyDescent="0.25">
      <c r="A67" s="109">
        <v>57</v>
      </c>
      <c r="B67" s="110">
        <v>13.49</v>
      </c>
      <c r="C67" s="110">
        <v>12.52</v>
      </c>
      <c r="D67" s="110">
        <v>11.6</v>
      </c>
      <c r="E67" s="110">
        <v>10.72</v>
      </c>
    </row>
    <row r="68" spans="1:5" x14ac:dyDescent="0.25">
      <c r="A68" s="109">
        <v>58</v>
      </c>
      <c r="B68" s="110">
        <v>13.99</v>
      </c>
      <c r="C68" s="110">
        <v>12.98</v>
      </c>
      <c r="D68" s="110">
        <v>12.03</v>
      </c>
      <c r="E68" s="110">
        <v>11.12</v>
      </c>
    </row>
    <row r="69" spans="1:5" x14ac:dyDescent="0.25">
      <c r="A69" s="109">
        <v>59</v>
      </c>
      <c r="B69" s="110">
        <v>14.52</v>
      </c>
      <c r="C69" s="110">
        <v>13.47</v>
      </c>
      <c r="D69" s="110">
        <v>12.48</v>
      </c>
      <c r="E69" s="110">
        <v>11.53</v>
      </c>
    </row>
    <row r="70" spans="1:5" x14ac:dyDescent="0.25">
      <c r="A70" s="109">
        <v>60</v>
      </c>
      <c r="B70" s="110">
        <v>15.08</v>
      </c>
      <c r="C70" s="110">
        <v>13.99</v>
      </c>
      <c r="D70" s="110">
        <v>12.95</v>
      </c>
      <c r="E70" s="110">
        <v>11.97</v>
      </c>
    </row>
    <row r="71" spans="1:5" x14ac:dyDescent="0.25">
      <c r="A71" s="109">
        <v>61</v>
      </c>
      <c r="B71" s="110">
        <v>15.66</v>
      </c>
      <c r="C71" s="110">
        <v>14.52</v>
      </c>
      <c r="D71" s="110">
        <v>13.45</v>
      </c>
      <c r="E71" s="110">
        <v>12.43</v>
      </c>
    </row>
    <row r="72" spans="1:5" x14ac:dyDescent="0.25">
      <c r="A72" s="109">
        <v>62</v>
      </c>
      <c r="B72" s="110">
        <v>16.28</v>
      </c>
      <c r="C72" s="110">
        <v>15.09</v>
      </c>
      <c r="D72" s="110">
        <v>13.97</v>
      </c>
      <c r="E72" s="110">
        <v>12.91</v>
      </c>
    </row>
    <row r="73" spans="1:5" x14ac:dyDescent="0.25">
      <c r="A73" s="109">
        <v>63</v>
      </c>
      <c r="B73" s="110">
        <v>16.93</v>
      </c>
      <c r="C73" s="110">
        <v>15.7</v>
      </c>
      <c r="D73" s="110">
        <v>14.53</v>
      </c>
      <c r="E73" s="110">
        <v>13.42</v>
      </c>
    </row>
    <row r="74" spans="1:5" x14ac:dyDescent="0.25">
      <c r="A74" s="109">
        <v>64</v>
      </c>
      <c r="B74" s="110">
        <v>17.62</v>
      </c>
      <c r="C74" s="110">
        <v>16.329999999999998</v>
      </c>
      <c r="D74" s="110">
        <v>15.11</v>
      </c>
      <c r="E74" s="110">
        <v>13.96</v>
      </c>
    </row>
    <row r="75" spans="1:5" x14ac:dyDescent="0.25">
      <c r="A75" s="109">
        <v>65</v>
      </c>
      <c r="B75" s="110">
        <v>17.649999999999999</v>
      </c>
      <c r="C75" s="110">
        <v>17.010000000000002</v>
      </c>
      <c r="D75" s="110">
        <v>15.74</v>
      </c>
      <c r="E75" s="110">
        <v>14.53</v>
      </c>
    </row>
    <row r="76" spans="1:5" x14ac:dyDescent="0.25">
      <c r="A76" s="109">
        <v>66</v>
      </c>
      <c r="B76" s="110">
        <v>16.989999999999998</v>
      </c>
      <c r="C76" s="110">
        <v>17.03</v>
      </c>
      <c r="D76" s="110">
        <v>16.399999999999999</v>
      </c>
      <c r="E76" s="110">
        <v>15.14</v>
      </c>
    </row>
    <row r="77" spans="1:5" x14ac:dyDescent="0.25">
      <c r="A77" s="109">
        <v>67</v>
      </c>
      <c r="B77" s="110">
        <v>16.34</v>
      </c>
      <c r="C77" s="110">
        <v>16.37</v>
      </c>
      <c r="D77" s="110">
        <v>16.41</v>
      </c>
      <c r="E77" s="110">
        <v>15.79</v>
      </c>
    </row>
    <row r="78" spans="1:5" x14ac:dyDescent="0.25">
      <c r="A78" s="109">
        <v>68</v>
      </c>
      <c r="B78" s="110">
        <v>15.69</v>
      </c>
      <c r="C78" s="110">
        <v>15.71</v>
      </c>
      <c r="D78" s="110">
        <v>15.75</v>
      </c>
      <c r="E78" s="110">
        <v>15.79</v>
      </c>
    </row>
    <row r="79" spans="1:5" x14ac:dyDescent="0.25">
      <c r="A79" s="109">
        <v>69</v>
      </c>
      <c r="B79" s="110">
        <v>15.06</v>
      </c>
      <c r="C79" s="110">
        <v>15.07</v>
      </c>
      <c r="D79" s="110">
        <v>15.09</v>
      </c>
      <c r="E79" s="110">
        <v>15.13</v>
      </c>
    </row>
    <row r="80" spans="1:5" x14ac:dyDescent="0.25">
      <c r="A80" s="109">
        <v>70</v>
      </c>
      <c r="B80" s="110">
        <v>14.43</v>
      </c>
      <c r="C80" s="110">
        <v>14.43</v>
      </c>
      <c r="D80" s="110">
        <v>14.44</v>
      </c>
      <c r="E80" s="110">
        <v>14.47</v>
      </c>
    </row>
    <row r="81" spans="1:5" x14ac:dyDescent="0.25">
      <c r="A81" s="109">
        <v>71</v>
      </c>
      <c r="B81" s="110">
        <v>13.8</v>
      </c>
      <c r="C81" s="110">
        <v>13.8</v>
      </c>
      <c r="D81" s="110">
        <v>13.8</v>
      </c>
      <c r="E81" s="110">
        <v>13.82</v>
      </c>
    </row>
    <row r="82" spans="1:5" x14ac:dyDescent="0.25">
      <c r="A82" s="109">
        <v>72</v>
      </c>
      <c r="B82" s="110">
        <v>13.18</v>
      </c>
      <c r="C82" s="110">
        <v>13.18</v>
      </c>
      <c r="D82" s="110">
        <v>13.18</v>
      </c>
      <c r="E82" s="110">
        <v>13.19</v>
      </c>
    </row>
    <row r="83" spans="1:5" x14ac:dyDescent="0.25">
      <c r="A83" s="109">
        <v>73</v>
      </c>
      <c r="B83" s="110">
        <v>12.57</v>
      </c>
      <c r="C83" s="110">
        <v>12.57</v>
      </c>
      <c r="D83" s="110">
        <v>12.57</v>
      </c>
      <c r="E83" s="110">
        <v>12.57</v>
      </c>
    </row>
    <row r="84" spans="1:5" x14ac:dyDescent="0.25">
      <c r="A84" s="109">
        <v>74</v>
      </c>
      <c r="B84" s="110">
        <v>11.96</v>
      </c>
      <c r="C84" s="110">
        <v>11.96</v>
      </c>
      <c r="D84" s="110">
        <v>11.96</v>
      </c>
      <c r="E84" s="110">
        <v>11.96</v>
      </c>
    </row>
    <row r="85" spans="1:5" x14ac:dyDescent="0.25">
      <c r="A85" s="109">
        <v>75</v>
      </c>
      <c r="B85" s="110">
        <v>11.37</v>
      </c>
      <c r="C85" s="110">
        <v>11.37</v>
      </c>
      <c r="D85" s="110">
        <v>11.37</v>
      </c>
      <c r="E85" s="110">
        <v>11.37</v>
      </c>
    </row>
    <row r="86" spans="1:5" x14ac:dyDescent="0.25">
      <c r="A86" s="109">
        <v>76</v>
      </c>
      <c r="B86" s="110">
        <v>10.78</v>
      </c>
      <c r="C86" s="110">
        <v>10.78</v>
      </c>
      <c r="D86" s="110">
        <v>10.78</v>
      </c>
      <c r="E86" s="110">
        <v>10.78</v>
      </c>
    </row>
    <row r="87" spans="1:5" x14ac:dyDescent="0.25">
      <c r="A87" s="109">
        <v>77</v>
      </c>
      <c r="B87" s="110">
        <v>10.199999999999999</v>
      </c>
      <c r="C87" s="110">
        <v>10.199999999999999</v>
      </c>
      <c r="D87" s="110">
        <v>10.199999999999999</v>
      </c>
      <c r="E87" s="110">
        <v>10.199999999999999</v>
      </c>
    </row>
    <row r="88" spans="1:5" x14ac:dyDescent="0.25">
      <c r="A88" s="109">
        <v>78</v>
      </c>
      <c r="B88" s="110">
        <v>9.6300000000000008</v>
      </c>
      <c r="C88" s="110">
        <v>9.6300000000000008</v>
      </c>
      <c r="D88" s="110">
        <v>9.6300000000000008</v>
      </c>
      <c r="E88" s="110">
        <v>9.6300000000000008</v>
      </c>
    </row>
    <row r="89" spans="1:5" x14ac:dyDescent="0.25">
      <c r="A89" s="109">
        <v>79</v>
      </c>
      <c r="B89" s="110">
        <v>9.08</v>
      </c>
      <c r="C89" s="110">
        <v>9.08</v>
      </c>
      <c r="D89" s="110">
        <v>9.08</v>
      </c>
      <c r="E89" s="110">
        <v>9.08</v>
      </c>
    </row>
    <row r="90" spans="1:5" x14ac:dyDescent="0.25">
      <c r="A90" s="109">
        <v>80</v>
      </c>
      <c r="B90" s="110">
        <v>8.5500000000000007</v>
      </c>
      <c r="C90" s="110">
        <v>8.5500000000000007</v>
      </c>
      <c r="D90" s="110">
        <v>8.5500000000000007</v>
      </c>
      <c r="E90" s="110">
        <v>8.5500000000000007</v>
      </c>
    </row>
    <row r="91" spans="1:5" x14ac:dyDescent="0.25">
      <c r="A91" s="109">
        <v>81</v>
      </c>
      <c r="B91" s="110">
        <v>8.0299999999999994</v>
      </c>
      <c r="C91" s="110">
        <v>8.0299999999999994</v>
      </c>
      <c r="D91" s="110">
        <v>8.0299999999999994</v>
      </c>
      <c r="E91" s="110">
        <v>8.0299999999999994</v>
      </c>
    </row>
    <row r="92" spans="1:5" x14ac:dyDescent="0.25">
      <c r="A92" s="109">
        <v>82</v>
      </c>
      <c r="B92" s="110">
        <v>7.53</v>
      </c>
      <c r="C92" s="110">
        <v>7.53</v>
      </c>
      <c r="D92" s="110">
        <v>7.53</v>
      </c>
      <c r="E92" s="110">
        <v>7.53</v>
      </c>
    </row>
    <row r="93" spans="1:5" x14ac:dyDescent="0.25">
      <c r="A93" s="109">
        <v>83</v>
      </c>
      <c r="B93" s="110">
        <v>7.05</v>
      </c>
      <c r="C93" s="110">
        <v>7.05</v>
      </c>
      <c r="D93" s="110">
        <v>7.05</v>
      </c>
      <c r="E93" s="110">
        <v>7.05</v>
      </c>
    </row>
    <row r="94" spans="1:5" x14ac:dyDescent="0.25">
      <c r="A94" s="109">
        <v>84</v>
      </c>
      <c r="B94" s="110">
        <v>6.59</v>
      </c>
      <c r="C94" s="110">
        <v>6.59</v>
      </c>
      <c r="D94" s="110">
        <v>6.59</v>
      </c>
      <c r="E94" s="110">
        <v>6.59</v>
      </c>
    </row>
    <row r="95" spans="1:5" x14ac:dyDescent="0.25">
      <c r="A95" s="109">
        <v>85</v>
      </c>
      <c r="B95" s="110">
        <v>6.15</v>
      </c>
      <c r="C95" s="110">
        <v>6.15</v>
      </c>
      <c r="D95" s="110">
        <v>6.15</v>
      </c>
      <c r="E95" s="110">
        <v>6.15</v>
      </c>
    </row>
    <row r="96" spans="1:5" x14ac:dyDescent="0.25">
      <c r="A96" s="109">
        <v>86</v>
      </c>
      <c r="B96" s="110">
        <v>5.73</v>
      </c>
      <c r="C96" s="110">
        <v>5.73</v>
      </c>
      <c r="D96" s="110">
        <v>5.73</v>
      </c>
      <c r="E96" s="110">
        <v>5.73</v>
      </c>
    </row>
    <row r="97" spans="1:5" x14ac:dyDescent="0.25">
      <c r="A97" s="109">
        <v>87</v>
      </c>
      <c r="B97" s="110">
        <v>5.33</v>
      </c>
      <c r="C97" s="110">
        <v>5.33</v>
      </c>
      <c r="D97" s="110">
        <v>5.33</v>
      </c>
      <c r="E97" s="110">
        <v>5.33</v>
      </c>
    </row>
    <row r="98" spans="1:5" x14ac:dyDescent="0.25">
      <c r="A98" s="109">
        <v>88</v>
      </c>
      <c r="B98" s="110">
        <v>4.95</v>
      </c>
      <c r="C98" s="110">
        <v>4.95</v>
      </c>
      <c r="D98" s="110">
        <v>4.95</v>
      </c>
      <c r="E98" s="110">
        <v>4.95</v>
      </c>
    </row>
    <row r="99" spans="1:5" x14ac:dyDescent="0.25">
      <c r="A99" s="109">
        <v>89</v>
      </c>
      <c r="B99" s="110">
        <v>4.59</v>
      </c>
      <c r="C99" s="110">
        <v>4.59</v>
      </c>
      <c r="D99" s="110">
        <v>4.59</v>
      </c>
      <c r="E99" s="110">
        <v>4.59</v>
      </c>
    </row>
    <row r="100" spans="1:5" x14ac:dyDescent="0.25">
      <c r="A100" s="109">
        <v>90</v>
      </c>
      <c r="B100" s="110">
        <v>4.26</v>
      </c>
      <c r="C100" s="110">
        <v>4.26</v>
      </c>
      <c r="D100" s="110">
        <v>4.26</v>
      </c>
      <c r="E100" s="110">
        <v>4.26</v>
      </c>
    </row>
    <row r="101" spans="1:5" x14ac:dyDescent="0.25">
      <c r="A101" s="109">
        <v>91</v>
      </c>
      <c r="B101" s="110">
        <v>3.94</v>
      </c>
      <c r="C101" s="110">
        <v>3.94</v>
      </c>
      <c r="D101" s="110">
        <v>3.94</v>
      </c>
      <c r="E101" s="110">
        <v>3.94</v>
      </c>
    </row>
    <row r="102" spans="1:5" x14ac:dyDescent="0.25">
      <c r="A102" s="109">
        <v>92</v>
      </c>
      <c r="B102" s="110">
        <v>3.65</v>
      </c>
      <c r="C102" s="110">
        <v>3.65</v>
      </c>
      <c r="D102" s="110">
        <v>3.65</v>
      </c>
      <c r="E102" s="110">
        <v>3.65</v>
      </c>
    </row>
    <row r="103" spans="1:5" x14ac:dyDescent="0.25">
      <c r="A103" s="109">
        <v>93</v>
      </c>
      <c r="B103" s="110">
        <v>3.39</v>
      </c>
      <c r="C103" s="110">
        <v>3.39</v>
      </c>
      <c r="D103" s="110">
        <v>3.39</v>
      </c>
      <c r="E103" s="110">
        <v>3.39</v>
      </c>
    </row>
    <row r="104" spans="1:5" x14ac:dyDescent="0.25">
      <c r="A104" s="109">
        <v>94</v>
      </c>
      <c r="B104" s="110">
        <v>3.15</v>
      </c>
      <c r="C104" s="110">
        <v>3.15</v>
      </c>
      <c r="D104" s="110">
        <v>3.15</v>
      </c>
      <c r="E104" s="110">
        <v>3.15</v>
      </c>
    </row>
    <row r="105" spans="1:5" x14ac:dyDescent="0.25">
      <c r="A105" s="109">
        <v>95</v>
      </c>
      <c r="B105" s="110">
        <v>2.93</v>
      </c>
      <c r="C105" s="110">
        <v>2.93</v>
      </c>
      <c r="D105" s="110">
        <v>2.93</v>
      </c>
      <c r="E105" s="110">
        <v>2.93</v>
      </c>
    </row>
    <row r="106" spans="1:5" x14ac:dyDescent="0.25">
      <c r="A106" s="109">
        <v>96</v>
      </c>
      <c r="B106" s="110">
        <v>2.73</v>
      </c>
      <c r="C106" s="110">
        <v>2.73</v>
      </c>
      <c r="D106" s="110">
        <v>2.73</v>
      </c>
      <c r="E106" s="110">
        <v>2.73</v>
      </c>
    </row>
    <row r="107" spans="1:5" x14ac:dyDescent="0.25">
      <c r="A107" s="109">
        <v>97</v>
      </c>
      <c r="B107" s="110">
        <v>2.56</v>
      </c>
      <c r="C107" s="110">
        <v>2.56</v>
      </c>
      <c r="D107" s="110">
        <v>2.56</v>
      </c>
      <c r="E107" s="110">
        <v>2.56</v>
      </c>
    </row>
    <row r="108" spans="1:5" x14ac:dyDescent="0.25">
      <c r="A108" s="109">
        <v>98</v>
      </c>
      <c r="B108" s="110">
        <v>2.41</v>
      </c>
      <c r="C108" s="110">
        <v>2.41</v>
      </c>
      <c r="D108" s="110">
        <v>2.41</v>
      </c>
      <c r="E108" s="110">
        <v>2.41</v>
      </c>
    </row>
  </sheetData>
  <conditionalFormatting sqref="A6:A21">
    <cfRule type="expression" dxfId="919" priority="3" stopIfTrue="1">
      <formula>MOD(ROW(),2)=0</formula>
    </cfRule>
    <cfRule type="expression" dxfId="918" priority="4" stopIfTrue="1">
      <formula>MOD(ROW(),2)&lt;&gt;0</formula>
    </cfRule>
  </conditionalFormatting>
  <conditionalFormatting sqref="A26:A108">
    <cfRule type="expression" dxfId="917" priority="7" stopIfTrue="1">
      <formula>MOD(ROW(),2)=0</formula>
    </cfRule>
    <cfRule type="expression" dxfId="916" priority="8" stopIfTrue="1">
      <formula>MOD(ROW(),2)&lt;&gt;0</formula>
    </cfRule>
  </conditionalFormatting>
  <conditionalFormatting sqref="B17:B21">
    <cfRule type="expression" dxfId="915" priority="1" stopIfTrue="1">
      <formula>MOD(ROW(),2)=0</formula>
    </cfRule>
    <cfRule type="expression" dxfId="914" priority="2" stopIfTrue="1">
      <formula>MOD(ROW(),2)&lt;&gt;0</formula>
    </cfRule>
  </conditionalFormatting>
  <conditionalFormatting sqref="B6:E21">
    <cfRule type="expression" dxfId="913" priority="27" stopIfTrue="1">
      <formula>MOD(ROW(),2)=0</formula>
    </cfRule>
    <cfRule type="expression" dxfId="912" priority="28" stopIfTrue="1">
      <formula>MOD(ROW(),2)&lt;&gt;0</formula>
    </cfRule>
  </conditionalFormatting>
  <conditionalFormatting sqref="B26:E108">
    <cfRule type="expression" dxfId="911" priority="9" stopIfTrue="1">
      <formula>MOD(ROW(),2)=0</formula>
    </cfRule>
    <cfRule type="expression" dxfId="910" priority="10" stopIfTrue="1">
      <formula>MOD(ROW(),2)&lt;&gt;0</formula>
    </cfRule>
  </conditionalFormatting>
  <hyperlinks>
    <hyperlink ref="B24" location="Assumptions!A1" display="Assumptions" xr:uid="{83F9B6C4-B5DD-4AAA-958A-9973A3305C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8"/>
  <dimension ref="A1:I108"/>
  <sheetViews>
    <sheetView workbookViewId="0"/>
  </sheetViews>
  <sheetFormatPr defaultColWidth="10" defaultRowHeight="12.5" x14ac:dyDescent="0.25"/>
  <cols>
    <col min="1" max="1" width="31.54296875" style="28" customWidth="1"/>
    <col min="2" max="5" width="22.54296875" style="28" customWidth="1"/>
    <col min="6"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Pension Credit - x-307</v>
      </c>
      <c r="B3" s="56"/>
      <c r="C3" s="56"/>
      <c r="D3" s="56"/>
      <c r="E3" s="56"/>
      <c r="F3" s="56"/>
      <c r="G3" s="56"/>
      <c r="H3" s="56"/>
      <c r="I3" s="56"/>
    </row>
    <row r="4" spans="1:9" x14ac:dyDescent="0.25">
      <c r="A4" s="58"/>
    </row>
    <row r="6" spans="1:9" ht="13" x14ac:dyDescent="0.3">
      <c r="A6" s="92" t="s">
        <v>716</v>
      </c>
      <c r="B6" s="181" t="s">
        <v>717</v>
      </c>
      <c r="C6" s="181"/>
      <c r="D6" s="181"/>
      <c r="E6" s="181"/>
    </row>
    <row r="7" spans="1:9" x14ac:dyDescent="0.25">
      <c r="A7" s="94" t="s">
        <v>797</v>
      </c>
      <c r="B7" s="181" t="s">
        <v>326</v>
      </c>
      <c r="C7" s="181"/>
      <c r="D7" s="181"/>
      <c r="E7" s="181"/>
    </row>
    <row r="8" spans="1:9" x14ac:dyDescent="0.25">
      <c r="A8" s="94" t="s">
        <v>798</v>
      </c>
      <c r="B8" s="181" t="s">
        <v>327</v>
      </c>
      <c r="C8" s="181"/>
      <c r="D8" s="181"/>
      <c r="E8" s="181"/>
    </row>
    <row r="9" spans="1:9" x14ac:dyDescent="0.25">
      <c r="A9" s="94" t="s">
        <v>300</v>
      </c>
      <c r="B9" s="181" t="s">
        <v>404</v>
      </c>
      <c r="C9" s="181"/>
      <c r="D9" s="181"/>
      <c r="E9" s="181"/>
    </row>
    <row r="10" spans="1:9" x14ac:dyDescent="0.25">
      <c r="A10" s="94" t="s">
        <v>6</v>
      </c>
      <c r="B10" s="181" t="s">
        <v>418</v>
      </c>
      <c r="C10" s="181"/>
      <c r="D10" s="181"/>
      <c r="E10" s="181"/>
    </row>
    <row r="11" spans="1:9" x14ac:dyDescent="0.25">
      <c r="A11" s="94" t="s">
        <v>301</v>
      </c>
      <c r="B11" s="181" t="s">
        <v>334</v>
      </c>
      <c r="C11" s="181"/>
      <c r="D11" s="181"/>
      <c r="E11" s="181"/>
    </row>
    <row r="12" spans="1:9" x14ac:dyDescent="0.25">
      <c r="A12" s="94" t="s">
        <v>302</v>
      </c>
      <c r="B12" s="181" t="s">
        <v>407</v>
      </c>
      <c r="C12" s="181"/>
      <c r="D12" s="181"/>
      <c r="E12" s="181"/>
    </row>
    <row r="13" spans="1:9" x14ac:dyDescent="0.25">
      <c r="A13" s="94" t="s">
        <v>813</v>
      </c>
      <c r="B13" s="181">
        <v>1</v>
      </c>
      <c r="C13" s="181"/>
      <c r="D13" s="181"/>
      <c r="E13" s="181"/>
    </row>
    <row r="14" spans="1:9" x14ac:dyDescent="0.25">
      <c r="A14" s="94" t="s">
        <v>304</v>
      </c>
      <c r="B14" s="181">
        <v>307</v>
      </c>
      <c r="C14" s="181"/>
      <c r="D14" s="181"/>
      <c r="E14" s="181"/>
    </row>
    <row r="15" spans="1:9" x14ac:dyDescent="0.25">
      <c r="A15" s="94" t="s">
        <v>727</v>
      </c>
      <c r="B15" s="181" t="s">
        <v>419</v>
      </c>
      <c r="C15" s="181"/>
      <c r="D15" s="181"/>
      <c r="E15" s="181"/>
    </row>
    <row r="16" spans="1:9" x14ac:dyDescent="0.25">
      <c r="A16" s="94" t="s">
        <v>306</v>
      </c>
      <c r="B16" s="181" t="s">
        <v>420</v>
      </c>
      <c r="C16" s="181"/>
      <c r="D16" s="181"/>
      <c r="E16" s="181"/>
    </row>
    <row r="17" spans="1:5" x14ac:dyDescent="0.25">
      <c r="A17" s="94" t="s">
        <v>800</v>
      </c>
      <c r="B17" s="181"/>
      <c r="C17" s="181"/>
      <c r="D17" s="181"/>
      <c r="E17" s="181"/>
    </row>
    <row r="18" spans="1:5" x14ac:dyDescent="0.25">
      <c r="A18" s="94" t="s">
        <v>308</v>
      </c>
      <c r="B18" s="185">
        <v>45071</v>
      </c>
      <c r="C18" s="181"/>
      <c r="D18" s="181"/>
      <c r="E18" s="181"/>
    </row>
    <row r="19" spans="1:5" x14ac:dyDescent="0.25">
      <c r="A19" s="94" t="s">
        <v>309</v>
      </c>
      <c r="B19" s="185">
        <v>45014</v>
      </c>
      <c r="C19" s="181"/>
      <c r="D19" s="181"/>
      <c r="E19" s="181"/>
    </row>
    <row r="20" spans="1:5" x14ac:dyDescent="0.25">
      <c r="A20" s="94" t="s">
        <v>310</v>
      </c>
      <c r="B20" s="181" t="s">
        <v>324</v>
      </c>
      <c r="C20" s="181"/>
      <c r="D20" s="181"/>
      <c r="E20" s="181"/>
    </row>
    <row r="21" spans="1:5" x14ac:dyDescent="0.25">
      <c r="A21" s="87" t="s">
        <v>311</v>
      </c>
      <c r="B21" s="181" t="s">
        <v>325</v>
      </c>
      <c r="C21" s="181"/>
      <c r="D21" s="181"/>
      <c r="E21" s="181"/>
    </row>
    <row r="23" spans="1:5" x14ac:dyDescent="0.25">
      <c r="B23" s="104" t="str">
        <f>HYPERLINK("#'Factor List'!A1","Back to Factor List")</f>
        <v>Back to Factor List</v>
      </c>
    </row>
    <row r="24" spans="1:5" x14ac:dyDescent="0.25">
      <c r="B24" s="104" t="s">
        <v>13</v>
      </c>
    </row>
    <row r="26" spans="1:5" ht="52" x14ac:dyDescent="0.25">
      <c r="A26" s="108" t="s">
        <v>534</v>
      </c>
      <c r="B26" s="108" t="s">
        <v>833</v>
      </c>
      <c r="C26" s="108" t="s">
        <v>834</v>
      </c>
      <c r="D26" s="108" t="s">
        <v>835</v>
      </c>
      <c r="E26" s="108" t="s">
        <v>836</v>
      </c>
    </row>
    <row r="27" spans="1:5" x14ac:dyDescent="0.25">
      <c r="A27" s="109">
        <v>17</v>
      </c>
      <c r="B27" s="110">
        <v>11.03</v>
      </c>
      <c r="C27" s="110">
        <v>0.49</v>
      </c>
      <c r="D27" s="110">
        <v>11.03</v>
      </c>
      <c r="E27" s="110">
        <v>0.49</v>
      </c>
    </row>
    <row r="28" spans="1:5" x14ac:dyDescent="0.25">
      <c r="A28" s="109">
        <v>18</v>
      </c>
      <c r="B28" s="110">
        <v>11.19</v>
      </c>
      <c r="C28" s="110">
        <v>0.5</v>
      </c>
      <c r="D28" s="110">
        <v>11.19</v>
      </c>
      <c r="E28" s="110">
        <v>0.5</v>
      </c>
    </row>
    <row r="29" spans="1:5" x14ac:dyDescent="0.25">
      <c r="A29" s="109">
        <v>19</v>
      </c>
      <c r="B29" s="110">
        <v>11.35</v>
      </c>
      <c r="C29" s="110">
        <v>0.51</v>
      </c>
      <c r="D29" s="110">
        <v>11.35</v>
      </c>
      <c r="E29" s="110">
        <v>0.51</v>
      </c>
    </row>
    <row r="30" spans="1:5" x14ac:dyDescent="0.25">
      <c r="A30" s="109">
        <v>20</v>
      </c>
      <c r="B30" s="110">
        <v>11.52</v>
      </c>
      <c r="C30" s="110">
        <v>0.51</v>
      </c>
      <c r="D30" s="110">
        <v>11.52</v>
      </c>
      <c r="E30" s="110">
        <v>0.51</v>
      </c>
    </row>
    <row r="31" spans="1:5" x14ac:dyDescent="0.25">
      <c r="A31" s="109">
        <v>21</v>
      </c>
      <c r="B31" s="110">
        <v>11.68</v>
      </c>
      <c r="C31" s="110">
        <v>0.52</v>
      </c>
      <c r="D31" s="110">
        <v>11.68</v>
      </c>
      <c r="E31" s="110">
        <v>0.52</v>
      </c>
    </row>
    <row r="32" spans="1:5" x14ac:dyDescent="0.25">
      <c r="A32" s="109">
        <v>22</v>
      </c>
      <c r="B32" s="110">
        <v>11.85</v>
      </c>
      <c r="C32" s="110">
        <v>0.53</v>
      </c>
      <c r="D32" s="110">
        <v>11.85</v>
      </c>
      <c r="E32" s="110">
        <v>0.53</v>
      </c>
    </row>
    <row r="33" spans="1:5" x14ac:dyDescent="0.25">
      <c r="A33" s="109">
        <v>23</v>
      </c>
      <c r="B33" s="110">
        <v>12.03</v>
      </c>
      <c r="C33" s="110">
        <v>0.54</v>
      </c>
      <c r="D33" s="110">
        <v>12.03</v>
      </c>
      <c r="E33" s="110">
        <v>0.54</v>
      </c>
    </row>
    <row r="34" spans="1:5" x14ac:dyDescent="0.25">
      <c r="A34" s="109">
        <v>24</v>
      </c>
      <c r="B34" s="110">
        <v>12.2</v>
      </c>
      <c r="C34" s="110">
        <v>0.55000000000000004</v>
      </c>
      <c r="D34" s="110">
        <v>12.2</v>
      </c>
      <c r="E34" s="110">
        <v>0.55000000000000004</v>
      </c>
    </row>
    <row r="35" spans="1:5" x14ac:dyDescent="0.25">
      <c r="A35" s="109">
        <v>25</v>
      </c>
      <c r="B35" s="110">
        <v>12.38</v>
      </c>
      <c r="C35" s="110">
        <v>0.56000000000000005</v>
      </c>
      <c r="D35" s="110">
        <v>12.38</v>
      </c>
      <c r="E35" s="110">
        <v>0.56000000000000005</v>
      </c>
    </row>
    <row r="36" spans="1:5" x14ac:dyDescent="0.25">
      <c r="A36" s="109">
        <v>26</v>
      </c>
      <c r="B36" s="110">
        <v>12.56</v>
      </c>
      <c r="C36" s="110">
        <v>0.56999999999999995</v>
      </c>
      <c r="D36" s="110">
        <v>12.56</v>
      </c>
      <c r="E36" s="110">
        <v>0.56999999999999995</v>
      </c>
    </row>
    <row r="37" spans="1:5" x14ac:dyDescent="0.25">
      <c r="A37" s="109">
        <v>27</v>
      </c>
      <c r="B37" s="110">
        <v>12.74</v>
      </c>
      <c r="C37" s="110">
        <v>0.57999999999999996</v>
      </c>
      <c r="D37" s="110">
        <v>12.74</v>
      </c>
      <c r="E37" s="110">
        <v>0.57999999999999996</v>
      </c>
    </row>
    <row r="38" spans="1:5" x14ac:dyDescent="0.25">
      <c r="A38" s="109">
        <v>28</v>
      </c>
      <c r="B38" s="110">
        <v>12.92</v>
      </c>
      <c r="C38" s="110">
        <v>0.59</v>
      </c>
      <c r="D38" s="110">
        <v>12.92</v>
      </c>
      <c r="E38" s="110">
        <v>0.59</v>
      </c>
    </row>
    <row r="39" spans="1:5" x14ac:dyDescent="0.25">
      <c r="A39" s="109">
        <v>29</v>
      </c>
      <c r="B39" s="110">
        <v>13.11</v>
      </c>
      <c r="C39" s="110">
        <v>0.6</v>
      </c>
      <c r="D39" s="110">
        <v>13.11</v>
      </c>
      <c r="E39" s="110">
        <v>0.6</v>
      </c>
    </row>
    <row r="40" spans="1:5" x14ac:dyDescent="0.25">
      <c r="A40" s="109">
        <v>30</v>
      </c>
      <c r="B40" s="110">
        <v>13.3</v>
      </c>
      <c r="C40" s="110">
        <v>0.61</v>
      </c>
      <c r="D40" s="110">
        <v>13.3</v>
      </c>
      <c r="E40" s="110">
        <v>0.61</v>
      </c>
    </row>
    <row r="41" spans="1:5" x14ac:dyDescent="0.25">
      <c r="A41" s="109">
        <v>31</v>
      </c>
      <c r="B41" s="110">
        <v>13.49</v>
      </c>
      <c r="C41" s="110">
        <v>0.62</v>
      </c>
      <c r="D41" s="110">
        <v>13.49</v>
      </c>
      <c r="E41" s="110">
        <v>0.62</v>
      </c>
    </row>
    <row r="42" spans="1:5" x14ac:dyDescent="0.25">
      <c r="A42" s="109">
        <v>32</v>
      </c>
      <c r="B42" s="110">
        <v>13.69</v>
      </c>
      <c r="C42" s="110">
        <v>0.63</v>
      </c>
      <c r="D42" s="110">
        <v>13.69</v>
      </c>
      <c r="E42" s="110">
        <v>0.63</v>
      </c>
    </row>
    <row r="43" spans="1:5" x14ac:dyDescent="0.25">
      <c r="A43" s="109">
        <v>33</v>
      </c>
      <c r="B43" s="110">
        <v>13.89</v>
      </c>
      <c r="C43" s="110">
        <v>0.64</v>
      </c>
      <c r="D43" s="110">
        <v>13.89</v>
      </c>
      <c r="E43" s="110">
        <v>0.64</v>
      </c>
    </row>
    <row r="44" spans="1:5" x14ac:dyDescent="0.25">
      <c r="A44" s="109">
        <v>34</v>
      </c>
      <c r="B44" s="110">
        <v>14.1</v>
      </c>
      <c r="C44" s="110">
        <v>0.65</v>
      </c>
      <c r="D44" s="110">
        <v>14.1</v>
      </c>
      <c r="E44" s="110">
        <v>0.65</v>
      </c>
    </row>
    <row r="45" spans="1:5" x14ac:dyDescent="0.25">
      <c r="A45" s="109">
        <v>35</v>
      </c>
      <c r="B45" s="110">
        <v>14.3</v>
      </c>
      <c r="C45" s="110">
        <v>0.66</v>
      </c>
      <c r="D45" s="110">
        <v>14.3</v>
      </c>
      <c r="E45" s="110">
        <v>0.66</v>
      </c>
    </row>
    <row r="46" spans="1:5" x14ac:dyDescent="0.25">
      <c r="A46" s="109">
        <v>36</v>
      </c>
      <c r="B46" s="110">
        <v>14.51</v>
      </c>
      <c r="C46" s="110">
        <v>0.67</v>
      </c>
      <c r="D46" s="110">
        <v>14.51</v>
      </c>
      <c r="E46" s="110">
        <v>0.67</v>
      </c>
    </row>
    <row r="47" spans="1:5" x14ac:dyDescent="0.25">
      <c r="A47" s="109">
        <v>37</v>
      </c>
      <c r="B47" s="110">
        <v>14.73</v>
      </c>
      <c r="C47" s="110">
        <v>0.68</v>
      </c>
      <c r="D47" s="110">
        <v>14.73</v>
      </c>
      <c r="E47" s="110">
        <v>0.68</v>
      </c>
    </row>
    <row r="48" spans="1:5" x14ac:dyDescent="0.25">
      <c r="A48" s="109">
        <v>38</v>
      </c>
      <c r="B48" s="110">
        <v>14.95</v>
      </c>
      <c r="C48" s="110">
        <v>0.7</v>
      </c>
      <c r="D48" s="110">
        <v>14.95</v>
      </c>
      <c r="E48" s="110">
        <v>0.7</v>
      </c>
    </row>
    <row r="49" spans="1:5" x14ac:dyDescent="0.25">
      <c r="A49" s="109">
        <v>39</v>
      </c>
      <c r="B49" s="110">
        <v>15.17</v>
      </c>
      <c r="C49" s="110">
        <v>0.71</v>
      </c>
      <c r="D49" s="110">
        <v>15.17</v>
      </c>
      <c r="E49" s="110">
        <v>0.71</v>
      </c>
    </row>
    <row r="50" spans="1:5" x14ac:dyDescent="0.25">
      <c r="A50" s="109">
        <v>40</v>
      </c>
      <c r="B50" s="110">
        <v>15.39</v>
      </c>
      <c r="C50" s="110">
        <v>0.72</v>
      </c>
      <c r="D50" s="110">
        <v>15.39</v>
      </c>
      <c r="E50" s="110">
        <v>0.72</v>
      </c>
    </row>
    <row r="51" spans="1:5" x14ac:dyDescent="0.25">
      <c r="A51" s="109">
        <v>41</v>
      </c>
      <c r="B51" s="110">
        <v>15.62</v>
      </c>
      <c r="C51" s="110">
        <v>0.73</v>
      </c>
      <c r="D51" s="110">
        <v>15.62</v>
      </c>
      <c r="E51" s="110">
        <v>0.73</v>
      </c>
    </row>
    <row r="52" spans="1:5" x14ac:dyDescent="0.25">
      <c r="A52" s="109">
        <v>42</v>
      </c>
      <c r="B52" s="110">
        <v>15.86</v>
      </c>
      <c r="C52" s="110">
        <v>0.74</v>
      </c>
      <c r="D52" s="110">
        <v>15.86</v>
      </c>
      <c r="E52" s="110">
        <v>0.74</v>
      </c>
    </row>
    <row r="53" spans="1:5" x14ac:dyDescent="0.25">
      <c r="A53" s="109">
        <v>43</v>
      </c>
      <c r="B53" s="110">
        <v>16.100000000000001</v>
      </c>
      <c r="C53" s="110">
        <v>0.76</v>
      </c>
      <c r="D53" s="110">
        <v>16.100000000000001</v>
      </c>
      <c r="E53" s="110">
        <v>0.76</v>
      </c>
    </row>
    <row r="54" spans="1:5" x14ac:dyDescent="0.25">
      <c r="A54" s="109">
        <v>44</v>
      </c>
      <c r="B54" s="110">
        <v>16.34</v>
      </c>
      <c r="C54" s="110">
        <v>0.77</v>
      </c>
      <c r="D54" s="110">
        <v>16.34</v>
      </c>
      <c r="E54" s="110">
        <v>0.77</v>
      </c>
    </row>
    <row r="55" spans="1:5" x14ac:dyDescent="0.25">
      <c r="A55" s="109">
        <v>45</v>
      </c>
      <c r="B55" s="110">
        <v>16.59</v>
      </c>
      <c r="C55" s="110">
        <v>0.78</v>
      </c>
      <c r="D55" s="110">
        <v>16.59</v>
      </c>
      <c r="E55" s="110">
        <v>0.78</v>
      </c>
    </row>
    <row r="56" spans="1:5" x14ac:dyDescent="0.25">
      <c r="A56" s="109">
        <v>46</v>
      </c>
      <c r="B56" s="110">
        <v>16.850000000000001</v>
      </c>
      <c r="C56" s="110">
        <v>0.8</v>
      </c>
      <c r="D56" s="110">
        <v>16.850000000000001</v>
      </c>
      <c r="E56" s="110">
        <v>0.8</v>
      </c>
    </row>
    <row r="57" spans="1:5" x14ac:dyDescent="0.25">
      <c r="A57" s="109">
        <v>47</v>
      </c>
      <c r="B57" s="110">
        <v>17.11</v>
      </c>
      <c r="C57" s="110">
        <v>0.81</v>
      </c>
      <c r="D57" s="110">
        <v>17.11</v>
      </c>
      <c r="E57" s="110">
        <v>0.81</v>
      </c>
    </row>
    <row r="58" spans="1:5" x14ac:dyDescent="0.25">
      <c r="A58" s="109">
        <v>48</v>
      </c>
      <c r="B58" s="110">
        <v>17.37</v>
      </c>
      <c r="C58" s="110">
        <v>0.82</v>
      </c>
      <c r="D58" s="110">
        <v>17.37</v>
      </c>
      <c r="E58" s="110">
        <v>0.82</v>
      </c>
    </row>
    <row r="59" spans="1:5" x14ac:dyDescent="0.25">
      <c r="A59" s="109">
        <v>49</v>
      </c>
      <c r="B59" s="110">
        <v>17.649999999999999</v>
      </c>
      <c r="C59" s="110">
        <v>0.84</v>
      </c>
      <c r="D59" s="110">
        <v>17.649999999999999</v>
      </c>
      <c r="E59" s="110">
        <v>0.84</v>
      </c>
    </row>
    <row r="60" spans="1:5" x14ac:dyDescent="0.25">
      <c r="A60" s="109">
        <v>50</v>
      </c>
      <c r="B60" s="110">
        <v>17.93</v>
      </c>
      <c r="C60" s="110">
        <v>0.85</v>
      </c>
      <c r="D60" s="110">
        <v>17.93</v>
      </c>
      <c r="E60" s="110">
        <v>0.85</v>
      </c>
    </row>
    <row r="61" spans="1:5" x14ac:dyDescent="0.25">
      <c r="A61" s="109">
        <v>51</v>
      </c>
      <c r="B61" s="110">
        <v>18.22</v>
      </c>
      <c r="C61" s="110">
        <v>0.87</v>
      </c>
      <c r="D61" s="110">
        <v>18.22</v>
      </c>
      <c r="E61" s="110">
        <v>0.87</v>
      </c>
    </row>
    <row r="62" spans="1:5" x14ac:dyDescent="0.25">
      <c r="A62" s="109">
        <v>52</v>
      </c>
      <c r="B62" s="110">
        <v>18.510000000000002</v>
      </c>
      <c r="C62" s="110">
        <v>0.88</v>
      </c>
      <c r="D62" s="110">
        <v>18.510000000000002</v>
      </c>
      <c r="E62" s="110">
        <v>0.88</v>
      </c>
    </row>
    <row r="63" spans="1:5" x14ac:dyDescent="0.25">
      <c r="A63" s="109">
        <v>53</v>
      </c>
      <c r="B63" s="110">
        <v>18.809999999999999</v>
      </c>
      <c r="C63" s="110">
        <v>0.9</v>
      </c>
      <c r="D63" s="110">
        <v>18.809999999999999</v>
      </c>
      <c r="E63" s="110">
        <v>0.9</v>
      </c>
    </row>
    <row r="64" spans="1:5" x14ac:dyDescent="0.25">
      <c r="A64" s="109">
        <v>54</v>
      </c>
      <c r="B64" s="110">
        <v>19.13</v>
      </c>
      <c r="C64" s="110">
        <v>0.91</v>
      </c>
      <c r="D64" s="110">
        <v>19.13</v>
      </c>
      <c r="E64" s="110">
        <v>0.91</v>
      </c>
    </row>
    <row r="65" spans="1:5" x14ac:dyDescent="0.25">
      <c r="A65" s="109">
        <v>55</v>
      </c>
      <c r="B65" s="110">
        <v>19.45</v>
      </c>
      <c r="C65" s="110">
        <v>0.93</v>
      </c>
      <c r="D65" s="110">
        <v>19.45</v>
      </c>
      <c r="E65" s="110">
        <v>0.93</v>
      </c>
    </row>
    <row r="66" spans="1:5" x14ac:dyDescent="0.25">
      <c r="A66" s="109">
        <v>56</v>
      </c>
      <c r="B66" s="110">
        <v>19.78</v>
      </c>
      <c r="C66" s="110">
        <v>0.94</v>
      </c>
      <c r="D66" s="110">
        <v>19.78</v>
      </c>
      <c r="E66" s="110">
        <v>0.94</v>
      </c>
    </row>
    <row r="67" spans="1:5" x14ac:dyDescent="0.25">
      <c r="A67" s="109">
        <v>57</v>
      </c>
      <c r="B67" s="110">
        <v>20.12</v>
      </c>
      <c r="C67" s="110">
        <v>0.96</v>
      </c>
      <c r="D67" s="110">
        <v>20.12</v>
      </c>
      <c r="E67" s="110">
        <v>0.96</v>
      </c>
    </row>
    <row r="68" spans="1:5" x14ac:dyDescent="0.25">
      <c r="A68" s="109">
        <v>58</v>
      </c>
      <c r="B68" s="110">
        <v>20.48</v>
      </c>
      <c r="C68" s="110">
        <v>0.98</v>
      </c>
      <c r="D68" s="110">
        <v>20.48</v>
      </c>
      <c r="E68" s="110">
        <v>0.98</v>
      </c>
    </row>
    <row r="69" spans="1:5" x14ac:dyDescent="0.25">
      <c r="A69" s="109">
        <v>59</v>
      </c>
      <c r="B69" s="110">
        <v>20.85</v>
      </c>
      <c r="C69" s="110">
        <v>0.99</v>
      </c>
      <c r="D69" s="110">
        <v>20.85</v>
      </c>
      <c r="E69" s="110">
        <v>0.99</v>
      </c>
    </row>
    <row r="70" spans="1:5" x14ac:dyDescent="0.25">
      <c r="A70" s="109">
        <v>60</v>
      </c>
      <c r="B70" s="110">
        <v>20.73</v>
      </c>
      <c r="C70" s="110">
        <v>1</v>
      </c>
      <c r="D70" s="110">
        <v>20.73</v>
      </c>
      <c r="E70" s="110">
        <v>1</v>
      </c>
    </row>
    <row r="71" spans="1:5" x14ac:dyDescent="0.25">
      <c r="A71" s="109">
        <v>61</v>
      </c>
      <c r="B71" s="110">
        <v>20.09</v>
      </c>
      <c r="C71" s="110">
        <v>1</v>
      </c>
      <c r="D71" s="110">
        <v>20.09</v>
      </c>
      <c r="E71" s="110">
        <v>1</v>
      </c>
    </row>
    <row r="72" spans="1:5" x14ac:dyDescent="0.25">
      <c r="A72" s="109">
        <v>62</v>
      </c>
      <c r="B72" s="110">
        <v>19.46</v>
      </c>
      <c r="C72" s="110">
        <v>1</v>
      </c>
      <c r="D72" s="110">
        <v>19.46</v>
      </c>
      <c r="E72" s="110">
        <v>1</v>
      </c>
    </row>
    <row r="73" spans="1:5" x14ac:dyDescent="0.25">
      <c r="A73" s="109">
        <v>63</v>
      </c>
      <c r="B73" s="110">
        <v>18.82</v>
      </c>
      <c r="C73" s="110">
        <v>1</v>
      </c>
      <c r="D73" s="110">
        <v>18.82</v>
      </c>
      <c r="E73" s="110">
        <v>1</v>
      </c>
    </row>
    <row r="74" spans="1:5" x14ac:dyDescent="0.25">
      <c r="A74" s="109">
        <v>64</v>
      </c>
      <c r="B74" s="110">
        <v>18.190000000000001</v>
      </c>
      <c r="C74" s="110">
        <v>1</v>
      </c>
      <c r="D74" s="110">
        <v>18.190000000000001</v>
      </c>
      <c r="E74" s="110">
        <v>1</v>
      </c>
    </row>
    <row r="75" spans="1:5" x14ac:dyDescent="0.25">
      <c r="A75" s="109">
        <v>65</v>
      </c>
      <c r="B75" s="110">
        <v>17.559999999999999</v>
      </c>
      <c r="C75" s="110">
        <v>1</v>
      </c>
      <c r="D75" s="110">
        <v>17.559999999999999</v>
      </c>
      <c r="E75" s="110">
        <v>1</v>
      </c>
    </row>
    <row r="76" spans="1:5" x14ac:dyDescent="0.25">
      <c r="A76" s="109">
        <v>66</v>
      </c>
      <c r="B76" s="110">
        <v>16.940000000000001</v>
      </c>
      <c r="C76" s="110">
        <v>1</v>
      </c>
      <c r="D76" s="110">
        <v>16.940000000000001</v>
      </c>
      <c r="E76" s="110">
        <v>1</v>
      </c>
    </row>
    <row r="77" spans="1:5" x14ac:dyDescent="0.25">
      <c r="A77" s="109">
        <v>67</v>
      </c>
      <c r="B77" s="110">
        <v>16.309999999999999</v>
      </c>
      <c r="C77" s="110">
        <v>1</v>
      </c>
      <c r="D77" s="110">
        <v>16.309999999999999</v>
      </c>
      <c r="E77" s="110">
        <v>1</v>
      </c>
    </row>
    <row r="78" spans="1:5" x14ac:dyDescent="0.25">
      <c r="A78" s="109">
        <v>68</v>
      </c>
      <c r="B78" s="110">
        <v>15.68</v>
      </c>
      <c r="C78" s="110">
        <v>1</v>
      </c>
      <c r="D78" s="110">
        <v>15.68</v>
      </c>
      <c r="E78" s="110">
        <v>1</v>
      </c>
    </row>
    <row r="79" spans="1:5" x14ac:dyDescent="0.25">
      <c r="A79" s="109">
        <v>69</v>
      </c>
      <c r="B79" s="110">
        <v>15.05</v>
      </c>
      <c r="C79" s="110">
        <v>1</v>
      </c>
      <c r="D79" s="110">
        <v>15.05</v>
      </c>
      <c r="E79" s="110">
        <v>1</v>
      </c>
    </row>
    <row r="80" spans="1:5" x14ac:dyDescent="0.25">
      <c r="A80" s="109">
        <v>70</v>
      </c>
      <c r="B80" s="110">
        <v>14.43</v>
      </c>
      <c r="C80" s="110">
        <v>1</v>
      </c>
      <c r="D80" s="110">
        <v>14.43</v>
      </c>
      <c r="E80" s="110">
        <v>1</v>
      </c>
    </row>
    <row r="81" spans="1:5" x14ac:dyDescent="0.25">
      <c r="A81" s="109">
        <v>71</v>
      </c>
      <c r="B81" s="110">
        <v>13.8</v>
      </c>
      <c r="C81" s="110">
        <v>1</v>
      </c>
      <c r="D81" s="110">
        <v>13.8</v>
      </c>
      <c r="E81" s="110">
        <v>1</v>
      </c>
    </row>
    <row r="82" spans="1:5" x14ac:dyDescent="0.25">
      <c r="A82" s="109">
        <v>72</v>
      </c>
      <c r="B82" s="110">
        <v>13.18</v>
      </c>
      <c r="C82" s="110">
        <v>1</v>
      </c>
      <c r="D82" s="110">
        <v>13.18</v>
      </c>
      <c r="E82" s="110">
        <v>1</v>
      </c>
    </row>
    <row r="83" spans="1:5" x14ac:dyDescent="0.25">
      <c r="A83" s="109">
        <v>73</v>
      </c>
      <c r="B83" s="110">
        <v>12.57</v>
      </c>
      <c r="C83" s="110">
        <v>1</v>
      </c>
      <c r="D83" s="110">
        <v>12.57</v>
      </c>
      <c r="E83" s="110">
        <v>1</v>
      </c>
    </row>
    <row r="84" spans="1:5" x14ac:dyDescent="0.25">
      <c r="A84" s="109">
        <v>74</v>
      </c>
      <c r="B84" s="110">
        <v>11.96</v>
      </c>
      <c r="C84" s="110">
        <v>1</v>
      </c>
      <c r="D84" s="110">
        <v>11.96</v>
      </c>
      <c r="E84" s="110">
        <v>1</v>
      </c>
    </row>
    <row r="85" spans="1:5" x14ac:dyDescent="0.25">
      <c r="A85" s="109">
        <v>75</v>
      </c>
      <c r="B85" s="110">
        <v>11.37</v>
      </c>
      <c r="C85" s="110">
        <v>1</v>
      </c>
      <c r="D85" s="110">
        <v>11.37</v>
      </c>
      <c r="E85" s="110">
        <v>1</v>
      </c>
    </row>
    <row r="86" spans="1:5" x14ac:dyDescent="0.25">
      <c r="A86" s="109">
        <v>76</v>
      </c>
      <c r="B86" s="110">
        <v>10.78</v>
      </c>
      <c r="C86" s="110">
        <v>1</v>
      </c>
      <c r="D86" s="110">
        <v>10.78</v>
      </c>
      <c r="E86" s="110">
        <v>1</v>
      </c>
    </row>
    <row r="87" spans="1:5" x14ac:dyDescent="0.25">
      <c r="A87" s="109">
        <v>77</v>
      </c>
      <c r="B87" s="110">
        <v>10.199999999999999</v>
      </c>
      <c r="C87" s="110">
        <v>1</v>
      </c>
      <c r="D87" s="110">
        <v>10.199999999999999</v>
      </c>
      <c r="E87" s="110">
        <v>1</v>
      </c>
    </row>
    <row r="88" spans="1:5" x14ac:dyDescent="0.25">
      <c r="A88" s="109">
        <v>78</v>
      </c>
      <c r="B88" s="110">
        <v>9.6300000000000008</v>
      </c>
      <c r="C88" s="110">
        <v>1</v>
      </c>
      <c r="D88" s="110">
        <v>9.6300000000000008</v>
      </c>
      <c r="E88" s="110">
        <v>1</v>
      </c>
    </row>
    <row r="89" spans="1:5" x14ac:dyDescent="0.25">
      <c r="A89" s="109">
        <v>79</v>
      </c>
      <c r="B89" s="110">
        <v>9.08</v>
      </c>
      <c r="C89" s="110">
        <v>1</v>
      </c>
      <c r="D89" s="110">
        <v>9.08</v>
      </c>
      <c r="E89" s="110">
        <v>1</v>
      </c>
    </row>
    <row r="90" spans="1:5" x14ac:dyDescent="0.25">
      <c r="A90" s="109">
        <v>80</v>
      </c>
      <c r="B90" s="110">
        <v>8.5500000000000007</v>
      </c>
      <c r="C90" s="110">
        <v>1</v>
      </c>
      <c r="D90" s="110">
        <v>8.5500000000000007</v>
      </c>
      <c r="E90" s="110">
        <v>1</v>
      </c>
    </row>
    <row r="91" spans="1:5" x14ac:dyDescent="0.25">
      <c r="A91" s="109">
        <v>81</v>
      </c>
      <c r="B91" s="110">
        <v>8.0299999999999994</v>
      </c>
      <c r="C91" s="110">
        <v>1</v>
      </c>
      <c r="D91" s="110">
        <v>8.0299999999999994</v>
      </c>
      <c r="E91" s="110">
        <v>1</v>
      </c>
    </row>
    <row r="92" spans="1:5" x14ac:dyDescent="0.25">
      <c r="A92" s="109">
        <v>82</v>
      </c>
      <c r="B92" s="110">
        <v>7.53</v>
      </c>
      <c r="C92" s="110">
        <v>1</v>
      </c>
      <c r="D92" s="110">
        <v>7.53</v>
      </c>
      <c r="E92" s="110">
        <v>1</v>
      </c>
    </row>
    <row r="93" spans="1:5" x14ac:dyDescent="0.25">
      <c r="A93" s="109">
        <v>83</v>
      </c>
      <c r="B93" s="110">
        <v>7.05</v>
      </c>
      <c r="C93" s="110">
        <v>1</v>
      </c>
      <c r="D93" s="110">
        <v>7.05</v>
      </c>
      <c r="E93" s="110">
        <v>1</v>
      </c>
    </row>
    <row r="94" spans="1:5" x14ac:dyDescent="0.25">
      <c r="A94" s="109">
        <v>84</v>
      </c>
      <c r="B94" s="110">
        <v>6.59</v>
      </c>
      <c r="C94" s="110">
        <v>1</v>
      </c>
      <c r="D94" s="110">
        <v>6.59</v>
      </c>
      <c r="E94" s="110">
        <v>1</v>
      </c>
    </row>
    <row r="95" spans="1:5" x14ac:dyDescent="0.25">
      <c r="A95" s="109">
        <v>85</v>
      </c>
      <c r="B95" s="110">
        <v>6.15</v>
      </c>
      <c r="C95" s="110">
        <v>1</v>
      </c>
      <c r="D95" s="110">
        <v>6.15</v>
      </c>
      <c r="E95" s="110">
        <v>1</v>
      </c>
    </row>
    <row r="96" spans="1:5" x14ac:dyDescent="0.25">
      <c r="A96" s="109">
        <v>86</v>
      </c>
      <c r="B96" s="110">
        <v>5.73</v>
      </c>
      <c r="C96" s="110">
        <v>1</v>
      </c>
      <c r="D96" s="110">
        <v>5.73</v>
      </c>
      <c r="E96" s="110">
        <v>1</v>
      </c>
    </row>
    <row r="97" spans="1:5" x14ac:dyDescent="0.25">
      <c r="A97" s="109">
        <v>87</v>
      </c>
      <c r="B97" s="110">
        <v>5.33</v>
      </c>
      <c r="C97" s="110">
        <v>1</v>
      </c>
      <c r="D97" s="110">
        <v>5.33</v>
      </c>
      <c r="E97" s="110">
        <v>1</v>
      </c>
    </row>
    <row r="98" spans="1:5" x14ac:dyDescent="0.25">
      <c r="A98" s="109">
        <v>88</v>
      </c>
      <c r="B98" s="110">
        <v>4.95</v>
      </c>
      <c r="C98" s="110">
        <v>1</v>
      </c>
      <c r="D98" s="110">
        <v>4.95</v>
      </c>
      <c r="E98" s="110">
        <v>1</v>
      </c>
    </row>
    <row r="99" spans="1:5" x14ac:dyDescent="0.25">
      <c r="A99" s="109">
        <v>89</v>
      </c>
      <c r="B99" s="110">
        <v>4.59</v>
      </c>
      <c r="C99" s="110">
        <v>1</v>
      </c>
      <c r="D99" s="110">
        <v>4.59</v>
      </c>
      <c r="E99" s="110">
        <v>1</v>
      </c>
    </row>
    <row r="100" spans="1:5" x14ac:dyDescent="0.25">
      <c r="A100" s="109">
        <v>90</v>
      </c>
      <c r="B100" s="110">
        <v>4.26</v>
      </c>
      <c r="C100" s="110">
        <v>1</v>
      </c>
      <c r="D100" s="110">
        <v>4.26</v>
      </c>
      <c r="E100" s="110">
        <v>1</v>
      </c>
    </row>
    <row r="101" spans="1:5" x14ac:dyDescent="0.25">
      <c r="A101" s="109">
        <v>91</v>
      </c>
      <c r="B101" s="110">
        <v>3.94</v>
      </c>
      <c r="C101" s="110">
        <v>1</v>
      </c>
      <c r="D101" s="110">
        <v>3.94</v>
      </c>
      <c r="E101" s="110">
        <v>1</v>
      </c>
    </row>
    <row r="102" spans="1:5" x14ac:dyDescent="0.25">
      <c r="A102" s="109">
        <v>92</v>
      </c>
      <c r="B102" s="110">
        <v>3.65</v>
      </c>
      <c r="C102" s="110">
        <v>1</v>
      </c>
      <c r="D102" s="110">
        <v>3.65</v>
      </c>
      <c r="E102" s="110">
        <v>1</v>
      </c>
    </row>
    <row r="103" spans="1:5" x14ac:dyDescent="0.25">
      <c r="A103" s="109">
        <v>93</v>
      </c>
      <c r="B103" s="110">
        <v>3.39</v>
      </c>
      <c r="C103" s="110">
        <v>1</v>
      </c>
      <c r="D103" s="110">
        <v>3.39</v>
      </c>
      <c r="E103" s="110">
        <v>1</v>
      </c>
    </row>
    <row r="104" spans="1:5" x14ac:dyDescent="0.25">
      <c r="A104" s="109">
        <v>94</v>
      </c>
      <c r="B104" s="110">
        <v>3.15</v>
      </c>
      <c r="C104" s="110">
        <v>1</v>
      </c>
      <c r="D104" s="110">
        <v>3.15</v>
      </c>
      <c r="E104" s="110">
        <v>1</v>
      </c>
    </row>
    <row r="105" spans="1:5" x14ac:dyDescent="0.25">
      <c r="A105" s="109">
        <v>95</v>
      </c>
      <c r="B105" s="110">
        <v>2.93</v>
      </c>
      <c r="C105" s="110">
        <v>1</v>
      </c>
      <c r="D105" s="110">
        <v>2.93</v>
      </c>
      <c r="E105" s="110">
        <v>1</v>
      </c>
    </row>
    <row r="106" spans="1:5" x14ac:dyDescent="0.25">
      <c r="A106" s="109">
        <v>96</v>
      </c>
      <c r="B106" s="110">
        <v>2.73</v>
      </c>
      <c r="C106" s="110">
        <v>1</v>
      </c>
      <c r="D106" s="110">
        <v>2.73</v>
      </c>
      <c r="E106" s="110">
        <v>1</v>
      </c>
    </row>
    <row r="107" spans="1:5" x14ac:dyDescent="0.25">
      <c r="A107" s="109">
        <v>97</v>
      </c>
      <c r="B107" s="110">
        <v>2.56</v>
      </c>
      <c r="C107" s="110">
        <v>1</v>
      </c>
      <c r="D107" s="110">
        <v>2.56</v>
      </c>
      <c r="E107" s="110">
        <v>1</v>
      </c>
    </row>
    <row r="108" spans="1:5" x14ac:dyDescent="0.25">
      <c r="A108" s="109">
        <v>98</v>
      </c>
      <c r="B108" s="110">
        <v>2.41</v>
      </c>
      <c r="C108" s="110">
        <v>1</v>
      </c>
      <c r="D108" s="110">
        <v>2.41</v>
      </c>
      <c r="E108" s="110">
        <v>1</v>
      </c>
    </row>
  </sheetData>
  <conditionalFormatting sqref="A6:A21">
    <cfRule type="expression" dxfId="909" priority="3" stopIfTrue="1">
      <formula>MOD(ROW(),2)=0</formula>
    </cfRule>
    <cfRule type="expression" dxfId="908" priority="4" stopIfTrue="1">
      <formula>MOD(ROW(),2)&lt;&gt;0</formula>
    </cfRule>
  </conditionalFormatting>
  <conditionalFormatting sqref="A26:A108">
    <cfRule type="expression" dxfId="907" priority="7" stopIfTrue="1">
      <formula>MOD(ROW(),2)=0</formula>
    </cfRule>
    <cfRule type="expression" dxfId="906" priority="8" stopIfTrue="1">
      <formula>MOD(ROW(),2)&lt;&gt;0</formula>
    </cfRule>
  </conditionalFormatting>
  <conditionalFormatting sqref="B18:B21">
    <cfRule type="expression" dxfId="905" priority="1" stopIfTrue="1">
      <formula>MOD(ROW(),2)=0</formula>
    </cfRule>
    <cfRule type="expression" dxfId="904" priority="2" stopIfTrue="1">
      <formula>MOD(ROW(),2)&lt;&gt;0</formula>
    </cfRule>
  </conditionalFormatting>
  <conditionalFormatting sqref="B6:E21">
    <cfRule type="expression" dxfId="903" priority="25" stopIfTrue="1">
      <formula>MOD(ROW(),2)=0</formula>
    </cfRule>
    <cfRule type="expression" dxfId="902" priority="26" stopIfTrue="1">
      <formula>MOD(ROW(),2)&lt;&gt;0</formula>
    </cfRule>
  </conditionalFormatting>
  <conditionalFormatting sqref="B26:E108">
    <cfRule type="expression" dxfId="901" priority="9" stopIfTrue="1">
      <formula>MOD(ROW(),2)=0</formula>
    </cfRule>
    <cfRule type="expression" dxfId="900" priority="10" stopIfTrue="1">
      <formula>MOD(ROW(),2)&lt;&gt;0</formula>
    </cfRule>
  </conditionalFormatting>
  <hyperlinks>
    <hyperlink ref="B24" location="Assumptions!A1" display="Assumptions" xr:uid="{1D11507B-2BD3-4D9D-8267-87D591CE0D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109"/>
  <sheetViews>
    <sheetView tabSelected="1" topLeftCell="A78" workbookViewId="0">
      <selection activeCell="C109" sqref="C109"/>
    </sheetView>
  </sheetViews>
  <sheetFormatPr defaultRowHeight="12.5" x14ac:dyDescent="0.25"/>
  <cols>
    <col min="1" max="1" width="66.81640625" customWidth="1"/>
    <col min="2" max="2" width="3.453125" customWidth="1"/>
    <col min="3" max="3" width="62.54296875" customWidth="1"/>
    <col min="257" max="257" width="66.81640625" customWidth="1"/>
    <col min="258" max="258" width="3.453125" customWidth="1"/>
    <col min="259" max="259" width="62.54296875" customWidth="1"/>
    <col min="513" max="513" width="66.81640625" customWidth="1"/>
    <col min="514" max="514" width="3.453125" customWidth="1"/>
    <col min="515" max="515" width="62.54296875" customWidth="1"/>
    <col min="769" max="769" width="66.81640625" customWidth="1"/>
    <col min="770" max="770" width="3.453125" customWidth="1"/>
    <col min="771" max="771" width="62.54296875" customWidth="1"/>
    <col min="1025" max="1025" width="66.81640625" customWidth="1"/>
    <col min="1026" max="1026" width="3.453125" customWidth="1"/>
    <col min="1027" max="1027" width="62.54296875" customWidth="1"/>
    <col min="1281" max="1281" width="66.81640625" customWidth="1"/>
    <col min="1282" max="1282" width="3.453125" customWidth="1"/>
    <col min="1283" max="1283" width="62.54296875" customWidth="1"/>
    <col min="1537" max="1537" width="66.81640625" customWidth="1"/>
    <col min="1538" max="1538" width="3.453125" customWidth="1"/>
    <col min="1539" max="1539" width="62.54296875" customWidth="1"/>
    <col min="1793" max="1793" width="66.81640625" customWidth="1"/>
    <col min="1794" max="1794" width="3.453125" customWidth="1"/>
    <col min="1795" max="1795" width="62.54296875" customWidth="1"/>
    <col min="2049" max="2049" width="66.81640625" customWidth="1"/>
    <col min="2050" max="2050" width="3.453125" customWidth="1"/>
    <col min="2051" max="2051" width="62.54296875" customWidth="1"/>
    <col min="2305" max="2305" width="66.81640625" customWidth="1"/>
    <col min="2306" max="2306" width="3.453125" customWidth="1"/>
    <col min="2307" max="2307" width="62.54296875" customWidth="1"/>
    <col min="2561" max="2561" width="66.81640625" customWidth="1"/>
    <col min="2562" max="2562" width="3.453125" customWidth="1"/>
    <col min="2563" max="2563" width="62.54296875" customWidth="1"/>
    <col min="2817" max="2817" width="66.81640625" customWidth="1"/>
    <col min="2818" max="2818" width="3.453125" customWidth="1"/>
    <col min="2819" max="2819" width="62.54296875" customWidth="1"/>
    <col min="3073" max="3073" width="66.81640625" customWidth="1"/>
    <col min="3074" max="3074" width="3.453125" customWidth="1"/>
    <col min="3075" max="3075" width="62.54296875" customWidth="1"/>
    <col min="3329" max="3329" width="66.81640625" customWidth="1"/>
    <col min="3330" max="3330" width="3.453125" customWidth="1"/>
    <col min="3331" max="3331" width="62.54296875" customWidth="1"/>
    <col min="3585" max="3585" width="66.81640625" customWidth="1"/>
    <col min="3586" max="3586" width="3.453125" customWidth="1"/>
    <col min="3587" max="3587" width="62.54296875" customWidth="1"/>
    <col min="3841" max="3841" width="66.81640625" customWidth="1"/>
    <col min="3842" max="3842" width="3.453125" customWidth="1"/>
    <col min="3843" max="3843" width="62.54296875" customWidth="1"/>
    <col min="4097" max="4097" width="66.81640625" customWidth="1"/>
    <col min="4098" max="4098" width="3.453125" customWidth="1"/>
    <col min="4099" max="4099" width="62.54296875" customWidth="1"/>
    <col min="4353" max="4353" width="66.81640625" customWidth="1"/>
    <col min="4354" max="4354" width="3.453125" customWidth="1"/>
    <col min="4355" max="4355" width="62.54296875" customWidth="1"/>
    <col min="4609" max="4609" width="66.81640625" customWidth="1"/>
    <col min="4610" max="4610" width="3.453125" customWidth="1"/>
    <col min="4611" max="4611" width="62.54296875" customWidth="1"/>
    <col min="4865" max="4865" width="66.81640625" customWidth="1"/>
    <col min="4866" max="4866" width="3.453125" customWidth="1"/>
    <col min="4867" max="4867" width="62.54296875" customWidth="1"/>
    <col min="5121" max="5121" width="66.81640625" customWidth="1"/>
    <col min="5122" max="5122" width="3.453125" customWidth="1"/>
    <col min="5123" max="5123" width="62.54296875" customWidth="1"/>
    <col min="5377" max="5377" width="66.81640625" customWidth="1"/>
    <col min="5378" max="5378" width="3.453125" customWidth="1"/>
    <col min="5379" max="5379" width="62.54296875" customWidth="1"/>
    <col min="5633" max="5633" width="66.81640625" customWidth="1"/>
    <col min="5634" max="5634" width="3.453125" customWidth="1"/>
    <col min="5635" max="5635" width="62.54296875" customWidth="1"/>
    <col min="5889" max="5889" width="66.81640625" customWidth="1"/>
    <col min="5890" max="5890" width="3.453125" customWidth="1"/>
    <col min="5891" max="5891" width="62.54296875" customWidth="1"/>
    <col min="6145" max="6145" width="66.81640625" customWidth="1"/>
    <col min="6146" max="6146" width="3.453125" customWidth="1"/>
    <col min="6147" max="6147" width="62.54296875" customWidth="1"/>
    <col min="6401" max="6401" width="66.81640625" customWidth="1"/>
    <col min="6402" max="6402" width="3.453125" customWidth="1"/>
    <col min="6403" max="6403" width="62.54296875" customWidth="1"/>
    <col min="6657" max="6657" width="66.81640625" customWidth="1"/>
    <col min="6658" max="6658" width="3.453125" customWidth="1"/>
    <col min="6659" max="6659" width="62.54296875" customWidth="1"/>
    <col min="6913" max="6913" width="66.81640625" customWidth="1"/>
    <col min="6914" max="6914" width="3.453125" customWidth="1"/>
    <col min="6915" max="6915" width="62.54296875" customWidth="1"/>
    <col min="7169" max="7169" width="66.81640625" customWidth="1"/>
    <col min="7170" max="7170" width="3.453125" customWidth="1"/>
    <col min="7171" max="7171" width="62.54296875" customWidth="1"/>
    <col min="7425" max="7425" width="66.81640625" customWidth="1"/>
    <col min="7426" max="7426" width="3.453125" customWidth="1"/>
    <col min="7427" max="7427" width="62.54296875" customWidth="1"/>
    <col min="7681" max="7681" width="66.81640625" customWidth="1"/>
    <col min="7682" max="7682" width="3.453125" customWidth="1"/>
    <col min="7683" max="7683" width="62.54296875" customWidth="1"/>
    <col min="7937" max="7937" width="66.81640625" customWidth="1"/>
    <col min="7938" max="7938" width="3.453125" customWidth="1"/>
    <col min="7939" max="7939" width="62.54296875" customWidth="1"/>
    <col min="8193" max="8193" width="66.81640625" customWidth="1"/>
    <col min="8194" max="8194" width="3.453125" customWidth="1"/>
    <col min="8195" max="8195" width="62.54296875" customWidth="1"/>
    <col min="8449" max="8449" width="66.81640625" customWidth="1"/>
    <col min="8450" max="8450" width="3.453125" customWidth="1"/>
    <col min="8451" max="8451" width="62.54296875" customWidth="1"/>
    <col min="8705" max="8705" width="66.81640625" customWidth="1"/>
    <col min="8706" max="8706" width="3.453125" customWidth="1"/>
    <col min="8707" max="8707" width="62.54296875" customWidth="1"/>
    <col min="8961" max="8961" width="66.81640625" customWidth="1"/>
    <col min="8962" max="8962" width="3.453125" customWidth="1"/>
    <col min="8963" max="8963" width="62.54296875" customWidth="1"/>
    <col min="9217" max="9217" width="66.81640625" customWidth="1"/>
    <col min="9218" max="9218" width="3.453125" customWidth="1"/>
    <col min="9219" max="9219" width="62.54296875" customWidth="1"/>
    <col min="9473" max="9473" width="66.81640625" customWidth="1"/>
    <col min="9474" max="9474" width="3.453125" customWidth="1"/>
    <col min="9475" max="9475" width="62.54296875" customWidth="1"/>
    <col min="9729" max="9729" width="66.81640625" customWidth="1"/>
    <col min="9730" max="9730" width="3.453125" customWidth="1"/>
    <col min="9731" max="9731" width="62.54296875" customWidth="1"/>
    <col min="9985" max="9985" width="66.81640625" customWidth="1"/>
    <col min="9986" max="9986" width="3.453125" customWidth="1"/>
    <col min="9987" max="9987" width="62.54296875" customWidth="1"/>
    <col min="10241" max="10241" width="66.81640625" customWidth="1"/>
    <col min="10242" max="10242" width="3.453125" customWidth="1"/>
    <col min="10243" max="10243" width="62.54296875" customWidth="1"/>
    <col min="10497" max="10497" width="66.81640625" customWidth="1"/>
    <col min="10498" max="10498" width="3.453125" customWidth="1"/>
    <col min="10499" max="10499" width="62.54296875" customWidth="1"/>
    <col min="10753" max="10753" width="66.81640625" customWidth="1"/>
    <col min="10754" max="10754" width="3.453125" customWidth="1"/>
    <col min="10755" max="10755" width="62.54296875" customWidth="1"/>
    <col min="11009" max="11009" width="66.81640625" customWidth="1"/>
    <col min="11010" max="11010" width="3.453125" customWidth="1"/>
    <col min="11011" max="11011" width="62.54296875" customWidth="1"/>
    <col min="11265" max="11265" width="66.81640625" customWidth="1"/>
    <col min="11266" max="11266" width="3.453125" customWidth="1"/>
    <col min="11267" max="11267" width="62.54296875" customWidth="1"/>
    <col min="11521" max="11521" width="66.81640625" customWidth="1"/>
    <col min="11522" max="11522" width="3.453125" customWidth="1"/>
    <col min="11523" max="11523" width="62.54296875" customWidth="1"/>
    <col min="11777" max="11777" width="66.81640625" customWidth="1"/>
    <col min="11778" max="11778" width="3.453125" customWidth="1"/>
    <col min="11779" max="11779" width="62.54296875" customWidth="1"/>
    <col min="12033" max="12033" width="66.81640625" customWidth="1"/>
    <col min="12034" max="12034" width="3.453125" customWidth="1"/>
    <col min="12035" max="12035" width="62.54296875" customWidth="1"/>
    <col min="12289" max="12289" width="66.81640625" customWidth="1"/>
    <col min="12290" max="12290" width="3.453125" customWidth="1"/>
    <col min="12291" max="12291" width="62.54296875" customWidth="1"/>
    <col min="12545" max="12545" width="66.81640625" customWidth="1"/>
    <col min="12546" max="12546" width="3.453125" customWidth="1"/>
    <col min="12547" max="12547" width="62.54296875" customWidth="1"/>
    <col min="12801" max="12801" width="66.81640625" customWidth="1"/>
    <col min="12802" max="12802" width="3.453125" customWidth="1"/>
    <col min="12803" max="12803" width="62.54296875" customWidth="1"/>
    <col min="13057" max="13057" width="66.81640625" customWidth="1"/>
    <col min="13058" max="13058" width="3.453125" customWidth="1"/>
    <col min="13059" max="13059" width="62.54296875" customWidth="1"/>
    <col min="13313" max="13313" width="66.81640625" customWidth="1"/>
    <col min="13314" max="13314" width="3.453125" customWidth="1"/>
    <col min="13315" max="13315" width="62.54296875" customWidth="1"/>
    <col min="13569" max="13569" width="66.81640625" customWidth="1"/>
    <col min="13570" max="13570" width="3.453125" customWidth="1"/>
    <col min="13571" max="13571" width="62.54296875" customWidth="1"/>
    <col min="13825" max="13825" width="66.81640625" customWidth="1"/>
    <col min="13826" max="13826" width="3.453125" customWidth="1"/>
    <col min="13827" max="13827" width="62.54296875" customWidth="1"/>
    <col min="14081" max="14081" width="66.81640625" customWidth="1"/>
    <col min="14082" max="14082" width="3.453125" customWidth="1"/>
    <col min="14083" max="14083" width="62.54296875" customWidth="1"/>
    <col min="14337" max="14337" width="66.81640625" customWidth="1"/>
    <col min="14338" max="14338" width="3.453125" customWidth="1"/>
    <col min="14339" max="14339" width="62.54296875" customWidth="1"/>
    <col min="14593" max="14593" width="66.81640625" customWidth="1"/>
    <col min="14594" max="14594" width="3.453125" customWidth="1"/>
    <col min="14595" max="14595" width="62.54296875" customWidth="1"/>
    <col min="14849" max="14849" width="66.81640625" customWidth="1"/>
    <col min="14850" max="14850" width="3.453125" customWidth="1"/>
    <col min="14851" max="14851" width="62.54296875" customWidth="1"/>
    <col min="15105" max="15105" width="66.81640625" customWidth="1"/>
    <col min="15106" max="15106" width="3.453125" customWidth="1"/>
    <col min="15107" max="15107" width="62.54296875" customWidth="1"/>
    <col min="15361" max="15361" width="66.81640625" customWidth="1"/>
    <col min="15362" max="15362" width="3.453125" customWidth="1"/>
    <col min="15363" max="15363" width="62.54296875" customWidth="1"/>
    <col min="15617" max="15617" width="66.81640625" customWidth="1"/>
    <col min="15618" max="15618" width="3.453125" customWidth="1"/>
    <col min="15619" max="15619" width="62.54296875" customWidth="1"/>
    <col min="15873" max="15873" width="66.81640625" customWidth="1"/>
    <col min="15874" max="15874" width="3.453125" customWidth="1"/>
    <col min="15875" max="15875" width="62.54296875" customWidth="1"/>
    <col min="16129" max="16129" width="66.81640625" customWidth="1"/>
    <col min="16130" max="16130" width="3.453125" customWidth="1"/>
    <col min="16131" max="16131" width="62.54296875" customWidth="1"/>
  </cols>
  <sheetData>
    <row r="1" spans="1:12" ht="20" x14ac:dyDescent="0.4">
      <c r="A1" s="4" t="s">
        <v>0</v>
      </c>
      <c r="B1" s="4"/>
      <c r="C1" s="4"/>
      <c r="D1" s="4"/>
      <c r="E1" s="4"/>
      <c r="F1" s="4"/>
      <c r="G1" s="4"/>
      <c r="H1" s="4"/>
      <c r="I1" s="4"/>
      <c r="J1" s="4"/>
      <c r="K1" s="4"/>
      <c r="L1" s="4"/>
    </row>
    <row r="2" spans="1:12" ht="15.5" x14ac:dyDescent="0.35">
      <c r="A2" s="5" t="str">
        <f>IF(title="&gt; Enter workbook title here","Enter workbook title in Cover sheet",title)</f>
        <v>Northern Ireland Civil Service Pension Schemes - Consolidated Factor Spreadsheet</v>
      </c>
      <c r="B2" s="5"/>
      <c r="C2" s="5"/>
      <c r="D2" s="5"/>
      <c r="E2" s="5"/>
      <c r="F2" s="5"/>
      <c r="G2" s="5"/>
      <c r="H2" s="5"/>
      <c r="I2" s="5"/>
      <c r="J2" s="5"/>
      <c r="K2" s="5"/>
      <c r="L2" s="5"/>
    </row>
    <row r="3" spans="1:12" ht="15.5" x14ac:dyDescent="0.35">
      <c r="A3" s="6" t="s">
        <v>33</v>
      </c>
      <c r="B3" s="6"/>
      <c r="C3" s="6"/>
      <c r="D3" s="6"/>
      <c r="E3" s="6"/>
      <c r="F3" s="6"/>
      <c r="G3" s="6"/>
      <c r="H3" s="6"/>
      <c r="I3" s="6"/>
      <c r="J3" s="6"/>
      <c r="K3" s="6"/>
      <c r="L3" s="6"/>
    </row>
    <row r="4" spans="1:12" x14ac:dyDescent="0.25">
      <c r="A4" s="7"/>
      <c r="B4" s="7"/>
    </row>
    <row r="5" spans="1:12" x14ac:dyDescent="0.25">
      <c r="E5" s="8"/>
      <c r="F5" s="8"/>
      <c r="G5" s="8"/>
    </row>
    <row r="6" spans="1:12" ht="13" x14ac:dyDescent="0.3">
      <c r="A6" s="1" t="s">
        <v>34</v>
      </c>
      <c r="B6" s="1"/>
    </row>
    <row r="8" spans="1:12" x14ac:dyDescent="0.25">
      <c r="A8" s="26" t="s">
        <v>35</v>
      </c>
      <c r="B8" s="26"/>
    </row>
    <row r="9" spans="1:12" x14ac:dyDescent="0.25">
      <c r="A9" s="26" t="s">
        <v>36</v>
      </c>
      <c r="B9" s="26"/>
    </row>
    <row r="11" spans="1:12" ht="13" x14ac:dyDescent="0.3">
      <c r="A11" s="113" t="s">
        <v>37</v>
      </c>
      <c r="B11" s="113"/>
      <c r="C11" s="115"/>
    </row>
    <row r="12" spans="1:12" x14ac:dyDescent="0.25">
      <c r="A12" s="114" t="s">
        <v>38</v>
      </c>
      <c r="B12" s="116"/>
      <c r="C12" s="114"/>
    </row>
    <row r="13" spans="1:12" x14ac:dyDescent="0.25">
      <c r="A13" s="114" t="s">
        <v>39</v>
      </c>
      <c r="B13" s="116"/>
      <c r="C13" s="114" t="s">
        <v>40</v>
      </c>
    </row>
    <row r="14" spans="1:12" x14ac:dyDescent="0.25">
      <c r="A14" s="114" t="s">
        <v>41</v>
      </c>
      <c r="B14" s="116"/>
      <c r="C14" s="117"/>
    </row>
    <row r="15" spans="1:12" x14ac:dyDescent="0.25">
      <c r="A15" s="114" t="s">
        <v>42</v>
      </c>
      <c r="B15" s="116"/>
      <c r="C15" s="114" t="s">
        <v>43</v>
      </c>
    </row>
    <row r="16" spans="1:12" x14ac:dyDescent="0.25">
      <c r="A16" s="114" t="s">
        <v>44</v>
      </c>
      <c r="B16" s="116"/>
      <c r="C16" s="114" t="s">
        <v>45</v>
      </c>
    </row>
    <row r="17" spans="1:3" x14ac:dyDescent="0.25">
      <c r="A17" s="114" t="s">
        <v>46</v>
      </c>
      <c r="B17" s="115"/>
      <c r="C17" s="118">
        <v>43413</v>
      </c>
    </row>
    <row r="19" spans="1:3" ht="13" x14ac:dyDescent="0.3">
      <c r="A19" s="113" t="s">
        <v>47</v>
      </c>
      <c r="B19" s="113"/>
      <c r="C19" s="115"/>
    </row>
    <row r="20" spans="1:3" x14ac:dyDescent="0.25">
      <c r="A20" s="114" t="s">
        <v>38</v>
      </c>
      <c r="B20" s="116"/>
      <c r="C20" s="114"/>
    </row>
    <row r="21" spans="1:3" ht="25" x14ac:dyDescent="0.25">
      <c r="A21" s="114" t="s">
        <v>39</v>
      </c>
      <c r="B21" s="116"/>
      <c r="C21" s="114" t="s">
        <v>48</v>
      </c>
    </row>
    <row r="22" spans="1:3" x14ac:dyDescent="0.25">
      <c r="A22" s="114" t="s">
        <v>41</v>
      </c>
      <c r="B22" s="116"/>
      <c r="C22" s="117"/>
    </row>
    <row r="23" spans="1:3" ht="25" x14ac:dyDescent="0.25">
      <c r="A23" s="114" t="s">
        <v>42</v>
      </c>
      <c r="B23" s="116"/>
      <c r="C23" s="114" t="s">
        <v>49</v>
      </c>
    </row>
    <row r="24" spans="1:3" x14ac:dyDescent="0.25">
      <c r="A24" s="114" t="s">
        <v>44</v>
      </c>
      <c r="B24" s="116"/>
      <c r="C24" s="114" t="s">
        <v>45</v>
      </c>
    </row>
    <row r="25" spans="1:3" x14ac:dyDescent="0.25">
      <c r="A25" s="114" t="s">
        <v>46</v>
      </c>
      <c r="B25" s="115"/>
      <c r="C25" s="118">
        <v>43455</v>
      </c>
    </row>
    <row r="27" spans="1:3" ht="13" x14ac:dyDescent="0.25">
      <c r="A27" s="119" t="s">
        <v>50</v>
      </c>
      <c r="B27" s="115"/>
      <c r="C27" s="115"/>
    </row>
    <row r="28" spans="1:3" x14ac:dyDescent="0.25">
      <c r="A28" s="114" t="s">
        <v>38</v>
      </c>
      <c r="B28" s="115"/>
      <c r="C28" s="115"/>
    </row>
    <row r="29" spans="1:3" ht="37.5" x14ac:dyDescent="0.25">
      <c r="A29" s="114" t="s">
        <v>39</v>
      </c>
      <c r="B29" s="115"/>
      <c r="C29" s="114" t="s">
        <v>51</v>
      </c>
    </row>
    <row r="30" spans="1:3" x14ac:dyDescent="0.25">
      <c r="A30" s="114" t="s">
        <v>41</v>
      </c>
      <c r="B30" s="115"/>
      <c r="C30" s="115"/>
    </row>
    <row r="31" spans="1:3" x14ac:dyDescent="0.25">
      <c r="A31" s="114" t="s">
        <v>42</v>
      </c>
      <c r="B31" s="115"/>
      <c r="C31" s="115" t="s">
        <v>52</v>
      </c>
    </row>
    <row r="32" spans="1:3" x14ac:dyDescent="0.25">
      <c r="A32" s="114" t="s">
        <v>44</v>
      </c>
      <c r="B32" s="115"/>
      <c r="C32" s="114" t="s">
        <v>45</v>
      </c>
    </row>
    <row r="33" spans="1:3" x14ac:dyDescent="0.25">
      <c r="A33" s="114" t="s">
        <v>46</v>
      </c>
      <c r="B33" s="115"/>
      <c r="C33" s="118">
        <v>43536</v>
      </c>
    </row>
    <row r="35" spans="1:3" ht="13" x14ac:dyDescent="0.25">
      <c r="A35" s="119" t="s">
        <v>53</v>
      </c>
      <c r="B35" s="115"/>
      <c r="C35" s="115"/>
    </row>
    <row r="36" spans="1:3" ht="25" x14ac:dyDescent="0.25">
      <c r="A36" s="114" t="s">
        <v>38</v>
      </c>
      <c r="B36" s="115"/>
      <c r="C36" s="116" t="s">
        <v>54</v>
      </c>
    </row>
    <row r="37" spans="1:3" x14ac:dyDescent="0.25">
      <c r="A37" s="114" t="s">
        <v>39</v>
      </c>
      <c r="B37" s="115"/>
      <c r="C37" s="115" t="s">
        <v>55</v>
      </c>
    </row>
    <row r="38" spans="1:3" ht="37.5" x14ac:dyDescent="0.25">
      <c r="A38" s="114" t="s">
        <v>41</v>
      </c>
      <c r="B38" s="115"/>
      <c r="C38" s="116" t="s">
        <v>56</v>
      </c>
    </row>
    <row r="39" spans="1:3" x14ac:dyDescent="0.25">
      <c r="A39" s="114" t="s">
        <v>42</v>
      </c>
      <c r="B39" s="115"/>
      <c r="C39" s="115" t="s">
        <v>57</v>
      </c>
    </row>
    <row r="40" spans="1:3" x14ac:dyDescent="0.25">
      <c r="A40" s="114" t="s">
        <v>44</v>
      </c>
      <c r="B40" s="115"/>
      <c r="C40" s="116" t="s">
        <v>58</v>
      </c>
    </row>
    <row r="41" spans="1:3" x14ac:dyDescent="0.25">
      <c r="A41" s="114" t="s">
        <v>46</v>
      </c>
      <c r="B41" s="115"/>
      <c r="C41" s="118">
        <v>43678</v>
      </c>
    </row>
    <row r="43" spans="1:3" ht="13" x14ac:dyDescent="0.25">
      <c r="A43" s="119" t="s">
        <v>59</v>
      </c>
      <c r="B43" s="115"/>
      <c r="C43" s="115"/>
    </row>
    <row r="44" spans="1:3" ht="62.5" x14ac:dyDescent="0.25">
      <c r="A44" s="114" t="s">
        <v>38</v>
      </c>
      <c r="B44" s="115"/>
      <c r="C44" s="114" t="s">
        <v>60</v>
      </c>
    </row>
    <row r="45" spans="1:3" x14ac:dyDescent="0.25">
      <c r="A45" s="114" t="s">
        <v>39</v>
      </c>
      <c r="B45" s="115"/>
      <c r="C45" s="115"/>
    </row>
    <row r="46" spans="1:3" x14ac:dyDescent="0.25">
      <c r="A46" s="114" t="s">
        <v>41</v>
      </c>
      <c r="B46" s="115"/>
      <c r="C46" s="115"/>
    </row>
    <row r="47" spans="1:3" x14ac:dyDescent="0.25">
      <c r="A47" s="114" t="s">
        <v>42</v>
      </c>
      <c r="B47" s="115"/>
      <c r="C47" s="115" t="s">
        <v>52</v>
      </c>
    </row>
    <row r="48" spans="1:3" x14ac:dyDescent="0.25">
      <c r="A48" s="114" t="s">
        <v>44</v>
      </c>
      <c r="B48" s="115"/>
      <c r="C48" s="114" t="s">
        <v>45</v>
      </c>
    </row>
    <row r="49" spans="1:3" x14ac:dyDescent="0.25">
      <c r="A49" s="114" t="s">
        <v>46</v>
      </c>
      <c r="B49" s="115"/>
      <c r="C49" s="118">
        <v>44897</v>
      </c>
    </row>
    <row r="51" spans="1:3" ht="13" x14ac:dyDescent="0.3">
      <c r="A51" s="113" t="s">
        <v>61</v>
      </c>
      <c r="B51" s="115"/>
      <c r="C51" s="115"/>
    </row>
    <row r="52" spans="1:3" x14ac:dyDescent="0.25">
      <c r="A52" s="115" t="s">
        <v>38</v>
      </c>
      <c r="B52" s="115"/>
      <c r="C52" s="116"/>
    </row>
    <row r="53" spans="1:3" ht="25" x14ac:dyDescent="0.25">
      <c r="A53" s="115" t="s">
        <v>62</v>
      </c>
      <c r="B53" s="115"/>
      <c r="C53" s="116" t="s">
        <v>63</v>
      </c>
    </row>
    <row r="54" spans="1:3" x14ac:dyDescent="0.25">
      <c r="A54" s="115" t="s">
        <v>64</v>
      </c>
      <c r="B54" s="115"/>
      <c r="C54" s="116" t="s">
        <v>65</v>
      </c>
    </row>
    <row r="55" spans="1:3" x14ac:dyDescent="0.25">
      <c r="A55" s="115" t="s">
        <v>44</v>
      </c>
      <c r="B55" s="115"/>
      <c r="C55" s="115"/>
    </row>
    <row r="56" spans="1:3" x14ac:dyDescent="0.25">
      <c r="A56" s="115" t="s">
        <v>66</v>
      </c>
      <c r="B56" s="115"/>
      <c r="C56" s="118">
        <v>45071</v>
      </c>
    </row>
    <row r="58" spans="1:3" ht="13" x14ac:dyDescent="0.3">
      <c r="A58" s="113" t="s">
        <v>67</v>
      </c>
      <c r="B58" s="115"/>
      <c r="C58" s="115"/>
    </row>
    <row r="59" spans="1:3" x14ac:dyDescent="0.25">
      <c r="A59" s="115" t="s">
        <v>38</v>
      </c>
      <c r="B59" s="115"/>
      <c r="C59" s="116"/>
    </row>
    <row r="60" spans="1:3" ht="37.5" x14ac:dyDescent="0.25">
      <c r="A60" s="115" t="s">
        <v>62</v>
      </c>
      <c r="B60" s="115"/>
      <c r="C60" s="116" t="s">
        <v>68</v>
      </c>
    </row>
    <row r="61" spans="1:3" x14ac:dyDescent="0.25">
      <c r="A61" s="115" t="s">
        <v>64</v>
      </c>
      <c r="B61" s="115"/>
      <c r="C61" s="116" t="s">
        <v>69</v>
      </c>
    </row>
    <row r="62" spans="1:3" x14ac:dyDescent="0.25">
      <c r="A62" s="115" t="s">
        <v>44</v>
      </c>
      <c r="B62" s="115"/>
      <c r="C62" s="115"/>
    </row>
    <row r="63" spans="1:3" x14ac:dyDescent="0.25">
      <c r="A63" s="115" t="s">
        <v>66</v>
      </c>
      <c r="B63" s="115"/>
      <c r="C63" s="118">
        <v>45106</v>
      </c>
    </row>
    <row r="65" spans="1:3" s="133" customFormat="1" ht="13" x14ac:dyDescent="0.3">
      <c r="A65" s="113" t="s">
        <v>70</v>
      </c>
      <c r="B65" s="115"/>
      <c r="C65" s="115"/>
    </row>
    <row r="66" spans="1:3" s="133" customFormat="1" x14ac:dyDescent="0.25">
      <c r="A66" s="115" t="s">
        <v>38</v>
      </c>
      <c r="B66" s="115"/>
      <c r="C66" s="116"/>
    </row>
    <row r="67" spans="1:3" s="133" customFormat="1" ht="62.5" x14ac:dyDescent="0.25">
      <c r="A67" s="115" t="s">
        <v>62</v>
      </c>
      <c r="B67" s="115"/>
      <c r="C67" s="116" t="s">
        <v>71</v>
      </c>
    </row>
    <row r="68" spans="1:3" s="133" customFormat="1" x14ac:dyDescent="0.25">
      <c r="A68" s="115" t="s">
        <v>64</v>
      </c>
      <c r="B68" s="115"/>
      <c r="C68" s="116"/>
    </row>
    <row r="69" spans="1:3" s="133" customFormat="1" x14ac:dyDescent="0.25">
      <c r="A69" s="115" t="s">
        <v>44</v>
      </c>
      <c r="B69" s="115"/>
      <c r="C69" s="115"/>
    </row>
    <row r="70" spans="1:3" s="133" customFormat="1" x14ac:dyDescent="0.25">
      <c r="A70" s="115" t="s">
        <v>66</v>
      </c>
      <c r="B70" s="115"/>
      <c r="C70" s="118">
        <v>45135</v>
      </c>
    </row>
    <row r="72" spans="1:3" s="26" customFormat="1" ht="13" x14ac:dyDescent="0.3">
      <c r="A72" s="113" t="s">
        <v>72</v>
      </c>
      <c r="B72" s="115"/>
      <c r="C72" s="115"/>
    </row>
    <row r="73" spans="1:3" s="26" customFormat="1" ht="25" x14ac:dyDescent="0.25">
      <c r="A73" s="115" t="s">
        <v>38</v>
      </c>
      <c r="B73" s="115"/>
      <c r="C73" s="116" t="s">
        <v>73</v>
      </c>
    </row>
    <row r="74" spans="1:3" s="26" customFormat="1" ht="37.5" x14ac:dyDescent="0.25">
      <c r="A74" s="115" t="s">
        <v>62</v>
      </c>
      <c r="B74" s="115"/>
      <c r="C74" s="116" t="s">
        <v>74</v>
      </c>
    </row>
    <row r="75" spans="1:3" s="26" customFormat="1" ht="37.5" x14ac:dyDescent="0.25">
      <c r="A75" s="115" t="s">
        <v>64</v>
      </c>
      <c r="B75" s="115"/>
      <c r="C75" s="116" t="s">
        <v>75</v>
      </c>
    </row>
    <row r="76" spans="1:3" s="26" customFormat="1" x14ac:dyDescent="0.25">
      <c r="A76" s="115" t="s">
        <v>44</v>
      </c>
      <c r="B76" s="115"/>
      <c r="C76" s="115"/>
    </row>
    <row r="77" spans="1:3" s="26" customFormat="1" x14ac:dyDescent="0.25">
      <c r="A77" s="115" t="s">
        <v>66</v>
      </c>
      <c r="B77" s="115"/>
      <c r="C77" s="118">
        <v>45184</v>
      </c>
    </row>
    <row r="80" spans="1:3" ht="13" x14ac:dyDescent="0.3">
      <c r="A80" s="140" t="s">
        <v>76</v>
      </c>
      <c r="B80" s="133"/>
      <c r="C80" s="133"/>
    </row>
    <row r="81" spans="1:3" x14ac:dyDescent="0.25">
      <c r="A81" s="133" t="s">
        <v>38</v>
      </c>
      <c r="B81" s="133"/>
      <c r="C81" s="141"/>
    </row>
    <row r="82" spans="1:3" x14ac:dyDescent="0.25">
      <c r="A82" s="133" t="s">
        <v>62</v>
      </c>
      <c r="B82" s="133"/>
      <c r="C82" s="141" t="s">
        <v>77</v>
      </c>
    </row>
    <row r="83" spans="1:3" x14ac:dyDescent="0.25">
      <c r="A83" s="133" t="s">
        <v>64</v>
      </c>
      <c r="B83" s="133"/>
      <c r="C83" s="141"/>
    </row>
    <row r="84" spans="1:3" x14ac:dyDescent="0.25">
      <c r="A84" s="133" t="s">
        <v>44</v>
      </c>
      <c r="B84" s="133"/>
      <c r="C84" s="133"/>
    </row>
    <row r="85" spans="1:3" x14ac:dyDescent="0.25">
      <c r="A85" s="133" t="s">
        <v>66</v>
      </c>
      <c r="B85" s="133"/>
      <c r="C85" s="142">
        <v>45378</v>
      </c>
    </row>
    <row r="88" spans="1:3" ht="13" x14ac:dyDescent="0.3">
      <c r="A88" s="152" t="s">
        <v>78</v>
      </c>
      <c r="B88" s="153"/>
      <c r="C88" s="153"/>
    </row>
    <row r="89" spans="1:3" x14ac:dyDescent="0.25">
      <c r="A89" s="153" t="s">
        <v>38</v>
      </c>
      <c r="B89" s="153"/>
      <c r="C89" s="154"/>
    </row>
    <row r="90" spans="1:3" x14ac:dyDescent="0.25">
      <c r="A90" s="153" t="s">
        <v>62</v>
      </c>
      <c r="B90" s="153"/>
      <c r="C90" s="154" t="s">
        <v>79</v>
      </c>
    </row>
    <row r="91" spans="1:3" x14ac:dyDescent="0.25">
      <c r="A91" s="153" t="s">
        <v>64</v>
      </c>
      <c r="B91" s="153"/>
      <c r="C91" s="154"/>
    </row>
    <row r="92" spans="1:3" x14ac:dyDescent="0.25">
      <c r="A92" s="153" t="s">
        <v>44</v>
      </c>
      <c r="B92" s="153"/>
      <c r="C92" s="153"/>
    </row>
    <row r="93" spans="1:3" x14ac:dyDescent="0.25">
      <c r="A93" s="153" t="s">
        <v>66</v>
      </c>
      <c r="B93" s="153"/>
      <c r="C93" s="155">
        <v>45446</v>
      </c>
    </row>
    <row r="95" spans="1:3" ht="13" x14ac:dyDescent="0.3">
      <c r="A95" s="145" t="s">
        <v>80</v>
      </c>
      <c r="B95" s="214"/>
      <c r="C95" s="214"/>
    </row>
    <row r="96" spans="1:3" x14ac:dyDescent="0.25">
      <c r="A96" s="146" t="s">
        <v>38</v>
      </c>
      <c r="B96" s="148"/>
      <c r="C96" s="148" t="s">
        <v>81</v>
      </c>
    </row>
    <row r="97" spans="1:3" x14ac:dyDescent="0.25">
      <c r="A97" s="147" t="s">
        <v>62</v>
      </c>
      <c r="B97" s="214"/>
      <c r="C97" s="214"/>
    </row>
    <row r="98" spans="1:3" x14ac:dyDescent="0.25">
      <c r="A98" s="146" t="s">
        <v>64</v>
      </c>
      <c r="B98" s="215"/>
      <c r="C98" s="215"/>
    </row>
    <row r="99" spans="1:3" x14ac:dyDescent="0.25">
      <c r="A99" s="147" t="s">
        <v>44</v>
      </c>
      <c r="B99" s="214"/>
      <c r="C99" s="214"/>
    </row>
    <row r="100" spans="1:3" ht="25" x14ac:dyDescent="0.25">
      <c r="A100" s="146" t="s">
        <v>82</v>
      </c>
      <c r="B100" s="148"/>
      <c r="C100" s="149" t="s">
        <v>83</v>
      </c>
    </row>
    <row r="101" spans="1:3" x14ac:dyDescent="0.25">
      <c r="A101" s="147" t="s">
        <v>66</v>
      </c>
      <c r="B101" s="150"/>
      <c r="C101" s="151">
        <v>45688</v>
      </c>
    </row>
    <row r="103" spans="1:3" ht="13" x14ac:dyDescent="0.3">
      <c r="A103" s="145" t="s">
        <v>992</v>
      </c>
      <c r="B103" s="214"/>
      <c r="C103" s="214"/>
    </row>
    <row r="104" spans="1:3" x14ac:dyDescent="0.25">
      <c r="A104" s="146" t="s">
        <v>38</v>
      </c>
      <c r="B104" s="148"/>
      <c r="C104" s="148" t="s">
        <v>993</v>
      </c>
    </row>
    <row r="105" spans="1:3" x14ac:dyDescent="0.25">
      <c r="A105" s="147" t="s">
        <v>62</v>
      </c>
      <c r="B105" s="214"/>
      <c r="C105" s="214"/>
    </row>
    <row r="106" spans="1:3" x14ac:dyDescent="0.25">
      <c r="A106" s="146" t="s">
        <v>64</v>
      </c>
      <c r="B106" s="215"/>
      <c r="C106" s="215"/>
    </row>
    <row r="107" spans="1:3" x14ac:dyDescent="0.25">
      <c r="A107" s="147" t="s">
        <v>44</v>
      </c>
      <c r="B107" s="214"/>
      <c r="C107" s="214"/>
    </row>
    <row r="108" spans="1:3" ht="37.5" x14ac:dyDescent="0.25">
      <c r="A108" s="146" t="s">
        <v>82</v>
      </c>
      <c r="B108" s="148"/>
      <c r="C108" s="149" t="s">
        <v>994</v>
      </c>
    </row>
    <row r="109" spans="1:3" x14ac:dyDescent="0.25">
      <c r="A109" s="147" t="s">
        <v>66</v>
      </c>
      <c r="B109" s="150"/>
      <c r="C109" s="151">
        <v>46000</v>
      </c>
    </row>
  </sheetData>
  <mergeCells count="8">
    <mergeCell ref="B105:C105"/>
    <mergeCell ref="B106:C106"/>
    <mergeCell ref="B107:C107"/>
    <mergeCell ref="B95:C95"/>
    <mergeCell ref="B97:C97"/>
    <mergeCell ref="B98:C98"/>
    <mergeCell ref="B99:C99"/>
    <mergeCell ref="B103:C103"/>
  </mergeCells>
  <conditionalFormatting sqref="A11:A17 A51:A56">
    <cfRule type="expression" dxfId="1309" priority="42" stopIfTrue="1">
      <formula>MOD(ROW(),2)&lt;&gt;0</formula>
    </cfRule>
    <cfRule type="expression" dxfId="1308" priority="41" stopIfTrue="1">
      <formula>MOD(ROW(),2)=0</formula>
    </cfRule>
  </conditionalFormatting>
  <conditionalFormatting sqref="A19:A25">
    <cfRule type="expression" dxfId="1307" priority="46" stopIfTrue="1">
      <formula>MOD(ROW(),2)&lt;&gt;0</formula>
    </cfRule>
    <cfRule type="expression" dxfId="1306" priority="45" stopIfTrue="1">
      <formula>MOD(ROW(),2)=0</formula>
    </cfRule>
  </conditionalFormatting>
  <conditionalFormatting sqref="A27:A33">
    <cfRule type="expression" dxfId="1305" priority="50" stopIfTrue="1">
      <formula>MOD(ROW(),2)&lt;&gt;0</formula>
    </cfRule>
    <cfRule type="expression" dxfId="1304" priority="49" stopIfTrue="1">
      <formula>MOD(ROW(),2)=0</formula>
    </cfRule>
  </conditionalFormatting>
  <conditionalFormatting sqref="A35:A41">
    <cfRule type="expression" dxfId="1303" priority="53" stopIfTrue="1">
      <formula>MOD(ROW(),2)=0</formula>
    </cfRule>
    <cfRule type="expression" dxfId="1302" priority="54" stopIfTrue="1">
      <formula>MOD(ROW(),2)&lt;&gt;0</formula>
    </cfRule>
  </conditionalFormatting>
  <conditionalFormatting sqref="A43:A49">
    <cfRule type="expression" dxfId="1301" priority="58" stopIfTrue="1">
      <formula>MOD(ROW(),2)&lt;&gt;0</formula>
    </cfRule>
    <cfRule type="expression" dxfId="1300" priority="57" stopIfTrue="1">
      <formula>MOD(ROW(),2)=0</formula>
    </cfRule>
  </conditionalFormatting>
  <conditionalFormatting sqref="A58:A63">
    <cfRule type="expression" dxfId="1299" priority="142" stopIfTrue="1">
      <formula>MOD(ROW(),2)&lt;&gt;0</formula>
    </cfRule>
    <cfRule type="expression" dxfId="1298" priority="141" stopIfTrue="1">
      <formula>MOD(ROW(),2)=0</formula>
    </cfRule>
  </conditionalFormatting>
  <conditionalFormatting sqref="A65:A70">
    <cfRule type="expression" dxfId="1297" priority="173" stopIfTrue="1">
      <formula>MOD(ROW(),2)=0</formula>
    </cfRule>
    <cfRule type="expression" dxfId="1296" priority="174" stopIfTrue="1">
      <formula>MOD(ROW(),2)&lt;&gt;0</formula>
    </cfRule>
  </conditionalFormatting>
  <conditionalFormatting sqref="A72:A77">
    <cfRule type="expression" dxfId="1295" priority="13" stopIfTrue="1">
      <formula>MOD(ROW(),2)=0</formula>
    </cfRule>
    <cfRule type="expression" dxfId="1294" priority="14" stopIfTrue="1">
      <formula>MOD(ROW(),2)&lt;&gt;0</formula>
    </cfRule>
  </conditionalFormatting>
  <conditionalFormatting sqref="A80:A85">
    <cfRule type="expression" dxfId="1293" priority="21" stopIfTrue="1">
      <formula>MOD(ROW(),2)=0</formula>
    </cfRule>
    <cfRule type="expression" dxfId="1292" priority="22" stopIfTrue="1">
      <formula>MOD(ROW(),2)&lt;&gt;0</formula>
    </cfRule>
  </conditionalFormatting>
  <conditionalFormatting sqref="A83">
    <cfRule type="expression" priority="24" stopIfTrue="1">
      <formula>MOD(ROW(),2)&lt;&gt;0</formula>
    </cfRule>
    <cfRule type="expression" priority="23" stopIfTrue="1">
      <formula>MOD(ROW(),2)=0</formula>
    </cfRule>
  </conditionalFormatting>
  <conditionalFormatting sqref="A88:A93">
    <cfRule type="expression" dxfId="1291" priority="2" stopIfTrue="1">
      <formula>MOD(ROW(),2)&lt;&gt;0</formula>
    </cfRule>
    <cfRule type="expression" dxfId="1290" priority="1" stopIfTrue="1">
      <formula>MOD(ROW(),2)=0</formula>
    </cfRule>
  </conditionalFormatting>
  <conditionalFormatting sqref="A91">
    <cfRule type="expression" priority="3" stopIfTrue="1">
      <formula>MOD(ROW(),2)=0</formula>
    </cfRule>
    <cfRule type="expression" priority="4" stopIfTrue="1">
      <formula>MOD(ROW(),2)&lt;&gt;0</formula>
    </cfRule>
  </conditionalFormatting>
  <conditionalFormatting sqref="A11:C17 A51:C56">
    <cfRule type="expression" priority="66" stopIfTrue="1">
      <formula>MOD(ROW(),2)&lt;&gt;0</formula>
    </cfRule>
    <cfRule type="expression" priority="65" stopIfTrue="1">
      <formula>MOD(ROW(),2)=0</formula>
    </cfRule>
  </conditionalFormatting>
  <conditionalFormatting sqref="A11:C17">
    <cfRule type="expression" priority="113" stopIfTrue="1">
      <formula>MOD(ROW(),2)=0</formula>
    </cfRule>
    <cfRule type="expression" priority="178" stopIfTrue="1">
      <formula>MOD(ROW(),2)&lt;&gt;0</formula>
    </cfRule>
    <cfRule type="expression" priority="177" stopIfTrue="1">
      <formula>MOD(ROW(),2)=0</formula>
    </cfRule>
    <cfRule type="expression" priority="85" stopIfTrue="1">
      <formula>MOD(ROW(),2)=0</formula>
    </cfRule>
    <cfRule type="expression" priority="86" stopIfTrue="1">
      <formula>MOD(ROW(),2)&lt;&gt;0</formula>
    </cfRule>
    <cfRule type="expression" priority="145" stopIfTrue="1">
      <formula>MOD(ROW(),2)=0</formula>
    </cfRule>
    <cfRule type="expression" priority="146" stopIfTrue="1">
      <formula>MOD(ROW(),2)&lt;&gt;0</formula>
    </cfRule>
    <cfRule type="expression" priority="114" stopIfTrue="1">
      <formula>MOD(ROW(),2)&lt;&gt;0</formula>
    </cfRule>
  </conditionalFormatting>
  <conditionalFormatting sqref="A19:C25">
    <cfRule type="expression" priority="90" stopIfTrue="1">
      <formula>MOD(ROW(),2)&lt;&gt;0</formula>
    </cfRule>
    <cfRule type="expression" priority="89" stopIfTrue="1">
      <formula>MOD(ROW(),2)=0</formula>
    </cfRule>
    <cfRule type="expression" priority="118" stopIfTrue="1">
      <formula>MOD(ROW(),2)&lt;&gt;0</formula>
    </cfRule>
    <cfRule type="expression" priority="149" stopIfTrue="1">
      <formula>MOD(ROW(),2)=0</formula>
    </cfRule>
    <cfRule type="expression" priority="181" stopIfTrue="1">
      <formula>MOD(ROW(),2)=0</formula>
    </cfRule>
    <cfRule type="expression" priority="150" stopIfTrue="1">
      <formula>MOD(ROW(),2)&lt;&gt;0</formula>
    </cfRule>
    <cfRule type="expression" priority="117" stopIfTrue="1">
      <formula>MOD(ROW(),2)=0</formula>
    </cfRule>
    <cfRule type="expression" priority="182" stopIfTrue="1">
      <formula>MOD(ROW(),2)&lt;&gt;0</formula>
    </cfRule>
    <cfRule type="expression" priority="69" stopIfTrue="1">
      <formula>MOD(ROW(),2)=0</formula>
    </cfRule>
    <cfRule type="expression" priority="70" stopIfTrue="1">
      <formula>MOD(ROW(),2)&lt;&gt;0</formula>
    </cfRule>
  </conditionalFormatting>
  <conditionalFormatting sqref="A27:C33">
    <cfRule type="expression" priority="154" stopIfTrue="1">
      <formula>MOD(ROW(),2)&lt;&gt;0</formula>
    </cfRule>
    <cfRule type="expression" priority="122" stopIfTrue="1">
      <formula>MOD(ROW(),2)&lt;&gt;0</formula>
    </cfRule>
    <cfRule type="expression" priority="94" stopIfTrue="1">
      <formula>MOD(ROW(),2)&lt;&gt;0</formula>
    </cfRule>
    <cfRule type="expression" priority="93" stopIfTrue="1">
      <formula>MOD(ROW(),2)=0</formula>
    </cfRule>
    <cfRule type="expression" priority="186" stopIfTrue="1">
      <formula>MOD(ROW(),2)&lt;&gt;0</formula>
    </cfRule>
    <cfRule type="expression" priority="121" stopIfTrue="1">
      <formula>MOD(ROW(),2)=0</formula>
    </cfRule>
    <cfRule type="expression" priority="153" stopIfTrue="1">
      <formula>MOD(ROW(),2)=0</formula>
    </cfRule>
    <cfRule type="expression" priority="185" stopIfTrue="1">
      <formula>MOD(ROW(),2)=0</formula>
    </cfRule>
    <cfRule type="expression" priority="73" stopIfTrue="1">
      <formula>MOD(ROW(),2)=0</formula>
    </cfRule>
    <cfRule type="expression" priority="74" stopIfTrue="1">
      <formula>MOD(ROW(),2)&lt;&gt;0</formula>
    </cfRule>
  </conditionalFormatting>
  <conditionalFormatting sqref="A35:C41">
    <cfRule type="expression" priority="77" stopIfTrue="1">
      <formula>MOD(ROW(),2)=0</formula>
    </cfRule>
    <cfRule type="expression" priority="78" stopIfTrue="1">
      <formula>MOD(ROW(),2)&lt;&gt;0</formula>
    </cfRule>
    <cfRule type="expression" priority="125" stopIfTrue="1">
      <formula>MOD(ROW(),2)=0</formula>
    </cfRule>
    <cfRule type="expression" priority="98" stopIfTrue="1">
      <formula>MOD(ROW(),2)&lt;&gt;0</formula>
    </cfRule>
    <cfRule type="expression" priority="126" stopIfTrue="1">
      <formula>MOD(ROW(),2)&lt;&gt;0</formula>
    </cfRule>
    <cfRule type="expression" priority="190" stopIfTrue="1">
      <formula>MOD(ROW(),2)&lt;&gt;0</formula>
    </cfRule>
    <cfRule type="expression" priority="189" stopIfTrue="1">
      <formula>MOD(ROW(),2)=0</formula>
    </cfRule>
    <cfRule type="expression" priority="97" stopIfTrue="1">
      <formula>MOD(ROW(),2)=0</formula>
    </cfRule>
    <cfRule type="expression" priority="158" stopIfTrue="1">
      <formula>MOD(ROW(),2)&lt;&gt;0</formula>
    </cfRule>
    <cfRule type="expression" priority="157" stopIfTrue="1">
      <formula>MOD(ROW(),2)=0</formula>
    </cfRule>
  </conditionalFormatting>
  <conditionalFormatting sqref="A43:C49">
    <cfRule type="expression" priority="162" stopIfTrue="1">
      <formula>MOD(ROW(),2)&lt;&gt;0</formula>
    </cfRule>
    <cfRule type="expression" priority="129" stopIfTrue="1">
      <formula>MOD(ROW(),2)=0</formula>
    </cfRule>
    <cfRule type="expression" priority="130" stopIfTrue="1">
      <formula>MOD(ROW(),2)&lt;&gt;0</formula>
    </cfRule>
    <cfRule type="expression" priority="161" stopIfTrue="1">
      <formula>MOD(ROW(),2)=0</formula>
    </cfRule>
    <cfRule type="expression" priority="193" stopIfTrue="1">
      <formula>MOD(ROW(),2)=0</formula>
    </cfRule>
    <cfRule type="expression" priority="194" stopIfTrue="1">
      <formula>MOD(ROW(),2)&lt;&gt;0</formula>
    </cfRule>
    <cfRule type="expression" priority="81" stopIfTrue="1">
      <formula>MOD(ROW(),2)=0</formula>
    </cfRule>
    <cfRule type="expression" priority="82" stopIfTrue="1">
      <formula>MOD(ROW(),2)&lt;&gt;0</formula>
    </cfRule>
    <cfRule type="expression" priority="101" stopIfTrue="1">
      <formula>MOD(ROW(),2)=0</formula>
    </cfRule>
    <cfRule type="expression" priority="102" stopIfTrue="1">
      <formula>MOD(ROW(),2)&lt;&gt;0</formula>
    </cfRule>
  </conditionalFormatting>
  <conditionalFormatting sqref="A51:C56">
    <cfRule type="expression" priority="133" stopIfTrue="1">
      <formula>MOD(ROW(),2)=0</formula>
    </cfRule>
    <cfRule type="expression" priority="134" stopIfTrue="1">
      <formula>MOD(ROW(),2)&lt;&gt;0</formula>
    </cfRule>
    <cfRule type="expression" priority="106" stopIfTrue="1">
      <formula>MOD(ROW(),2)&lt;&gt;0</formula>
    </cfRule>
    <cfRule type="expression" priority="197" stopIfTrue="1">
      <formula>MOD(ROW(),2)=0</formula>
    </cfRule>
    <cfRule type="expression" priority="165" stopIfTrue="1">
      <formula>MOD(ROW(),2)=0</formula>
    </cfRule>
    <cfRule type="expression" priority="105" stopIfTrue="1">
      <formula>MOD(ROW(),2)=0</formula>
    </cfRule>
    <cfRule type="expression" priority="166" stopIfTrue="1">
      <formula>MOD(ROW(),2)&lt;&gt;0</formula>
    </cfRule>
    <cfRule type="expression" priority="198" stopIfTrue="1">
      <formula>MOD(ROW(),2)&lt;&gt;0</formula>
    </cfRule>
  </conditionalFormatting>
  <conditionalFormatting sqref="A58:C63">
    <cfRule type="expression" priority="170" stopIfTrue="1">
      <formula>MOD(ROW(),2)&lt;&gt;0</formula>
    </cfRule>
    <cfRule type="expression" priority="169" stopIfTrue="1">
      <formula>MOD(ROW(),2)=0</formula>
    </cfRule>
    <cfRule type="expression" priority="202" stopIfTrue="1">
      <formula>MOD(ROW(),2)&lt;&gt;0</formula>
    </cfRule>
    <cfRule type="expression" priority="201" stopIfTrue="1">
      <formula>MOD(ROW(),2)=0</formula>
    </cfRule>
  </conditionalFormatting>
  <conditionalFormatting sqref="A65:C70">
    <cfRule type="expression" priority="206" stopIfTrue="1">
      <formula>MOD(ROW(),2)&lt;&gt;0</formula>
    </cfRule>
    <cfRule type="expression" priority="205" stopIfTrue="1">
      <formula>MOD(ROW(),2)=0</formula>
    </cfRule>
  </conditionalFormatting>
  <conditionalFormatting sqref="A72:C77">
    <cfRule type="expression" priority="18" stopIfTrue="1">
      <formula>MOD(ROW(),2)&lt;&gt;0</formula>
    </cfRule>
    <cfRule type="expression" priority="17" stopIfTrue="1">
      <formula>MOD(ROW(),2)=0</formula>
    </cfRule>
  </conditionalFormatting>
  <conditionalFormatting sqref="A80:C85">
    <cfRule type="expression" priority="29" stopIfTrue="1">
      <formula>MOD(ROW(),2)=0</formula>
    </cfRule>
    <cfRule type="expression" priority="30" stopIfTrue="1">
      <formula>MOD(ROW(),2)&lt;&gt;0</formula>
    </cfRule>
  </conditionalFormatting>
  <conditionalFormatting sqref="A88:C93">
    <cfRule type="expression" priority="9" stopIfTrue="1">
      <formula>MOD(ROW(),2)=0</formula>
    </cfRule>
    <cfRule type="expression" priority="10" stopIfTrue="1">
      <formula>MOD(ROW(),2)&lt;&gt;0</formula>
    </cfRule>
  </conditionalFormatting>
  <conditionalFormatting sqref="B11:C17 B51:C56">
    <cfRule type="expression" dxfId="1289" priority="44" stopIfTrue="1">
      <formula>MOD(ROW(),2)&lt;&gt;0</formula>
    </cfRule>
    <cfRule type="expression" dxfId="1288" priority="43" stopIfTrue="1">
      <formula>MOD(ROW(),2)=0</formula>
    </cfRule>
  </conditionalFormatting>
  <conditionalFormatting sqref="B19:C25">
    <cfRule type="expression" dxfId="1287" priority="47" stopIfTrue="1">
      <formula>MOD(ROW(),2)=0</formula>
    </cfRule>
    <cfRule type="expression" dxfId="1286" priority="48" stopIfTrue="1">
      <formula>MOD(ROW(),2)&lt;&gt;0</formula>
    </cfRule>
  </conditionalFormatting>
  <conditionalFormatting sqref="B27:C33">
    <cfRule type="expression" dxfId="1285" priority="52" stopIfTrue="1">
      <formula>MOD(ROW(),2)&lt;&gt;0</formula>
    </cfRule>
    <cfRule type="expression" dxfId="1284" priority="51" stopIfTrue="1">
      <formula>MOD(ROW(),2)=0</formula>
    </cfRule>
  </conditionalFormatting>
  <conditionalFormatting sqref="B35:C41">
    <cfRule type="expression" dxfId="1283" priority="56" stopIfTrue="1">
      <formula>MOD(ROW(),2)&lt;&gt;0</formula>
    </cfRule>
    <cfRule type="expression" dxfId="1282" priority="55" stopIfTrue="1">
      <formula>MOD(ROW(),2)=0</formula>
    </cfRule>
  </conditionalFormatting>
  <conditionalFormatting sqref="B43:C49">
    <cfRule type="expression" dxfId="1281" priority="60" stopIfTrue="1">
      <formula>MOD(ROW(),2)&lt;&gt;0</formula>
    </cfRule>
    <cfRule type="expression" dxfId="1280" priority="59" stopIfTrue="1">
      <formula>MOD(ROW(),2)=0</formula>
    </cfRule>
  </conditionalFormatting>
  <conditionalFormatting sqref="B58:C63">
    <cfRule type="expression" dxfId="1279" priority="144" stopIfTrue="1">
      <formula>MOD(ROW(),2)&lt;&gt;0</formula>
    </cfRule>
    <cfRule type="expression" dxfId="1278" priority="143" stopIfTrue="1">
      <formula>MOD(ROW(),2)=0</formula>
    </cfRule>
  </conditionalFormatting>
  <conditionalFormatting sqref="B65:C70">
    <cfRule type="expression" dxfId="1277" priority="175" stopIfTrue="1">
      <formula>MOD(ROW(),2)=0</formula>
    </cfRule>
    <cfRule type="expression" dxfId="1276" priority="176" stopIfTrue="1">
      <formula>MOD(ROW(),2)&lt;&gt;0</formula>
    </cfRule>
  </conditionalFormatting>
  <conditionalFormatting sqref="B72:C77">
    <cfRule type="expression" dxfId="1275" priority="15" stopIfTrue="1">
      <formula>MOD(ROW(),2)=0</formula>
    </cfRule>
    <cfRule type="expression" dxfId="1274" priority="16" stopIfTrue="1">
      <formula>MOD(ROW(),2)&lt;&gt;0</formula>
    </cfRule>
  </conditionalFormatting>
  <conditionalFormatting sqref="B80:C85">
    <cfRule type="expression" dxfId="1273" priority="28" stopIfTrue="1">
      <formula>MOD(ROW(),2)&lt;&gt;0</formula>
    </cfRule>
    <cfRule type="expression" dxfId="1272" priority="27" stopIfTrue="1">
      <formula>MOD(ROW(),2)=0</formula>
    </cfRule>
  </conditionalFormatting>
  <conditionalFormatting sqref="B88:C93">
    <cfRule type="expression" dxfId="1271" priority="7" stopIfTrue="1">
      <formula>MOD(ROW(),2)=0</formula>
    </cfRule>
    <cfRule type="expression" dxfId="1270" priority="8"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9"/>
  <dimension ref="A1:I108"/>
  <sheetViews>
    <sheetView workbookViewId="0"/>
  </sheetViews>
  <sheetFormatPr defaultColWidth="10" defaultRowHeight="12.5" x14ac:dyDescent="0.25"/>
  <cols>
    <col min="1" max="1" width="31.54296875" style="28" customWidth="1"/>
    <col min="2" max="3" width="22.542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Pension Credit - x-308</v>
      </c>
      <c r="B3" s="56"/>
      <c r="C3" s="56"/>
      <c r="D3" s="56"/>
      <c r="E3" s="56"/>
      <c r="F3" s="56"/>
      <c r="G3" s="56"/>
      <c r="H3" s="56"/>
      <c r="I3" s="56"/>
    </row>
    <row r="4" spans="1:9" x14ac:dyDescent="0.25">
      <c r="A4" s="58"/>
    </row>
    <row r="6" spans="1:9" ht="13" x14ac:dyDescent="0.3">
      <c r="A6" s="92" t="s">
        <v>716</v>
      </c>
      <c r="B6" s="181" t="s">
        <v>717</v>
      </c>
      <c r="C6" s="181"/>
    </row>
    <row r="7" spans="1:9" x14ac:dyDescent="0.25">
      <c r="A7" s="94" t="s">
        <v>797</v>
      </c>
      <c r="B7" s="181" t="s">
        <v>326</v>
      </c>
      <c r="C7" s="181"/>
    </row>
    <row r="8" spans="1:9" x14ac:dyDescent="0.25">
      <c r="A8" s="94" t="s">
        <v>798</v>
      </c>
      <c r="B8" s="181" t="s">
        <v>96</v>
      </c>
      <c r="C8" s="181"/>
    </row>
    <row r="9" spans="1:9" x14ac:dyDescent="0.25">
      <c r="A9" s="94" t="s">
        <v>300</v>
      </c>
      <c r="B9" s="181" t="s">
        <v>404</v>
      </c>
      <c r="C9" s="181"/>
    </row>
    <row r="10" spans="1:9" ht="24" customHeight="1" x14ac:dyDescent="0.25">
      <c r="A10" s="94" t="s">
        <v>6</v>
      </c>
      <c r="B10" s="181" t="s">
        <v>422</v>
      </c>
      <c r="C10" s="181"/>
    </row>
    <row r="11" spans="1:9" x14ac:dyDescent="0.25">
      <c r="A11" s="94" t="s">
        <v>301</v>
      </c>
      <c r="B11" s="181" t="s">
        <v>334</v>
      </c>
      <c r="C11" s="181"/>
    </row>
    <row r="12" spans="1:9" x14ac:dyDescent="0.25">
      <c r="A12" s="94" t="s">
        <v>302</v>
      </c>
      <c r="B12" s="181" t="s">
        <v>407</v>
      </c>
      <c r="C12" s="181"/>
    </row>
    <row r="13" spans="1:9" x14ac:dyDescent="0.25">
      <c r="A13" s="94" t="s">
        <v>813</v>
      </c>
      <c r="B13" s="181">
        <v>1</v>
      </c>
      <c r="C13" s="181"/>
    </row>
    <row r="14" spans="1:9" x14ac:dyDescent="0.25">
      <c r="A14" s="94" t="s">
        <v>304</v>
      </c>
      <c r="B14" s="181">
        <v>308</v>
      </c>
      <c r="C14" s="181"/>
    </row>
    <row r="15" spans="1:9" x14ac:dyDescent="0.25">
      <c r="A15" s="94" t="s">
        <v>727</v>
      </c>
      <c r="B15" s="181" t="s">
        <v>423</v>
      </c>
      <c r="C15" s="181"/>
    </row>
    <row r="16" spans="1:9" x14ac:dyDescent="0.25">
      <c r="A16" s="94" t="s">
        <v>306</v>
      </c>
      <c r="B16" s="181" t="s">
        <v>424</v>
      </c>
      <c r="C16" s="181"/>
    </row>
    <row r="17" spans="1:3" ht="53.5" customHeight="1" x14ac:dyDescent="0.25">
      <c r="A17" s="94" t="s">
        <v>800</v>
      </c>
      <c r="B17" s="181"/>
      <c r="C17" s="181"/>
    </row>
    <row r="18" spans="1:3" x14ac:dyDescent="0.25">
      <c r="A18" s="94" t="s">
        <v>308</v>
      </c>
      <c r="B18" s="185">
        <v>45071</v>
      </c>
      <c r="C18" s="181"/>
    </row>
    <row r="19" spans="1:3" x14ac:dyDescent="0.25">
      <c r="A19" s="94" t="s">
        <v>309</v>
      </c>
      <c r="B19" s="185">
        <v>45014</v>
      </c>
      <c r="C19" s="181"/>
    </row>
    <row r="20" spans="1:3" x14ac:dyDescent="0.25">
      <c r="A20" s="94" t="s">
        <v>310</v>
      </c>
      <c r="B20" s="181" t="s">
        <v>324</v>
      </c>
      <c r="C20" s="181"/>
    </row>
    <row r="21" spans="1:3" x14ac:dyDescent="0.25">
      <c r="A21" s="87" t="s">
        <v>311</v>
      </c>
      <c r="B21" s="181" t="s">
        <v>325</v>
      </c>
      <c r="C21" s="181"/>
    </row>
    <row r="23" spans="1:3" x14ac:dyDescent="0.25">
      <c r="B23" s="104" t="str">
        <f>HYPERLINK("#'Factor List'!A1","Back to Factor List")</f>
        <v>Back to Factor List</v>
      </c>
    </row>
    <row r="24" spans="1:3" x14ac:dyDescent="0.25">
      <c r="B24" s="104" t="s">
        <v>13</v>
      </c>
    </row>
    <row r="26" spans="1:3" ht="39" x14ac:dyDescent="0.25">
      <c r="A26" s="108" t="s">
        <v>534</v>
      </c>
      <c r="B26" s="108" t="s">
        <v>837</v>
      </c>
      <c r="C26" s="108" t="s">
        <v>838</v>
      </c>
    </row>
    <row r="27" spans="1:3" x14ac:dyDescent="0.25">
      <c r="A27" s="109">
        <v>17</v>
      </c>
      <c r="B27" s="110">
        <v>4.76</v>
      </c>
      <c r="C27" s="110">
        <v>4.76</v>
      </c>
    </row>
    <row r="28" spans="1:3" x14ac:dyDescent="0.25">
      <c r="A28" s="109">
        <v>18</v>
      </c>
      <c r="B28" s="110">
        <v>4.92</v>
      </c>
      <c r="C28" s="110">
        <v>4.92</v>
      </c>
    </row>
    <row r="29" spans="1:3" x14ac:dyDescent="0.25">
      <c r="A29" s="109">
        <v>19</v>
      </c>
      <c r="B29" s="110">
        <v>5.09</v>
      </c>
      <c r="C29" s="110">
        <v>5.09</v>
      </c>
    </row>
    <row r="30" spans="1:3" x14ac:dyDescent="0.25">
      <c r="A30" s="109">
        <v>20</v>
      </c>
      <c r="B30" s="110">
        <v>5.27</v>
      </c>
      <c r="C30" s="110">
        <v>5.27</v>
      </c>
    </row>
    <row r="31" spans="1:3" x14ac:dyDescent="0.25">
      <c r="A31" s="109">
        <v>21</v>
      </c>
      <c r="B31" s="110">
        <v>5.45</v>
      </c>
      <c r="C31" s="110">
        <v>5.45</v>
      </c>
    </row>
    <row r="32" spans="1:3" x14ac:dyDescent="0.25">
      <c r="A32" s="109">
        <v>22</v>
      </c>
      <c r="B32" s="110">
        <v>5.64</v>
      </c>
      <c r="C32" s="110">
        <v>5.64</v>
      </c>
    </row>
    <row r="33" spans="1:3" x14ac:dyDescent="0.25">
      <c r="A33" s="109">
        <v>23</v>
      </c>
      <c r="B33" s="110">
        <v>5.84</v>
      </c>
      <c r="C33" s="110">
        <v>5.84</v>
      </c>
    </row>
    <row r="34" spans="1:3" x14ac:dyDescent="0.25">
      <c r="A34" s="109">
        <v>24</v>
      </c>
      <c r="B34" s="110">
        <v>6.04</v>
      </c>
      <c r="C34" s="110">
        <v>6.04</v>
      </c>
    </row>
    <row r="35" spans="1:3" x14ac:dyDescent="0.25">
      <c r="A35" s="109">
        <v>25</v>
      </c>
      <c r="B35" s="110">
        <v>6.25</v>
      </c>
      <c r="C35" s="110">
        <v>6.25</v>
      </c>
    </row>
    <row r="36" spans="1:3" x14ac:dyDescent="0.25">
      <c r="A36" s="109">
        <v>26</v>
      </c>
      <c r="B36" s="110">
        <v>6.47</v>
      </c>
      <c r="C36" s="110">
        <v>6.47</v>
      </c>
    </row>
    <row r="37" spans="1:3" x14ac:dyDescent="0.25">
      <c r="A37" s="109">
        <v>27</v>
      </c>
      <c r="B37" s="110">
        <v>6.69</v>
      </c>
      <c r="C37" s="110">
        <v>6.69</v>
      </c>
    </row>
    <row r="38" spans="1:3" x14ac:dyDescent="0.25">
      <c r="A38" s="109">
        <v>28</v>
      </c>
      <c r="B38" s="110">
        <v>6.93</v>
      </c>
      <c r="C38" s="110">
        <v>6.93</v>
      </c>
    </row>
    <row r="39" spans="1:3" x14ac:dyDescent="0.25">
      <c r="A39" s="109">
        <v>29</v>
      </c>
      <c r="B39" s="110">
        <v>7.17</v>
      </c>
      <c r="C39" s="110">
        <v>7.17</v>
      </c>
    </row>
    <row r="40" spans="1:3" x14ac:dyDescent="0.25">
      <c r="A40" s="109">
        <v>30</v>
      </c>
      <c r="B40" s="110">
        <v>7.42</v>
      </c>
      <c r="C40" s="110">
        <v>7.42</v>
      </c>
    </row>
    <row r="41" spans="1:3" x14ac:dyDescent="0.25">
      <c r="A41" s="109">
        <v>31</v>
      </c>
      <c r="B41" s="110">
        <v>7.68</v>
      </c>
      <c r="C41" s="110">
        <v>7.68</v>
      </c>
    </row>
    <row r="42" spans="1:3" x14ac:dyDescent="0.25">
      <c r="A42" s="109">
        <v>32</v>
      </c>
      <c r="B42" s="110">
        <v>7.94</v>
      </c>
      <c r="C42" s="110">
        <v>7.94</v>
      </c>
    </row>
    <row r="43" spans="1:3" x14ac:dyDescent="0.25">
      <c r="A43" s="109">
        <v>33</v>
      </c>
      <c r="B43" s="110">
        <v>8.2200000000000006</v>
      </c>
      <c r="C43" s="110">
        <v>8.2200000000000006</v>
      </c>
    </row>
    <row r="44" spans="1:3" x14ac:dyDescent="0.25">
      <c r="A44" s="109">
        <v>34</v>
      </c>
      <c r="B44" s="110">
        <v>8.51</v>
      </c>
      <c r="C44" s="110">
        <v>8.51</v>
      </c>
    </row>
    <row r="45" spans="1:3" x14ac:dyDescent="0.25">
      <c r="A45" s="109">
        <v>35</v>
      </c>
      <c r="B45" s="110">
        <v>8.81</v>
      </c>
      <c r="C45" s="110">
        <v>8.81</v>
      </c>
    </row>
    <row r="46" spans="1:3" x14ac:dyDescent="0.25">
      <c r="A46" s="109">
        <v>36</v>
      </c>
      <c r="B46" s="110">
        <v>9.11</v>
      </c>
      <c r="C46" s="110">
        <v>9.11</v>
      </c>
    </row>
    <row r="47" spans="1:3" x14ac:dyDescent="0.25">
      <c r="A47" s="109">
        <v>37</v>
      </c>
      <c r="B47" s="110">
        <v>9.43</v>
      </c>
      <c r="C47" s="110">
        <v>9.43</v>
      </c>
    </row>
    <row r="48" spans="1:3" x14ac:dyDescent="0.25">
      <c r="A48" s="109">
        <v>38</v>
      </c>
      <c r="B48" s="110">
        <v>9.76</v>
      </c>
      <c r="C48" s="110">
        <v>9.76</v>
      </c>
    </row>
    <row r="49" spans="1:3" x14ac:dyDescent="0.25">
      <c r="A49" s="109">
        <v>39</v>
      </c>
      <c r="B49" s="110">
        <v>10.11</v>
      </c>
      <c r="C49" s="110">
        <v>10.11</v>
      </c>
    </row>
    <row r="50" spans="1:3" x14ac:dyDescent="0.25">
      <c r="A50" s="109">
        <v>40</v>
      </c>
      <c r="B50" s="110">
        <v>10.46</v>
      </c>
      <c r="C50" s="110">
        <v>10.46</v>
      </c>
    </row>
    <row r="51" spans="1:3" x14ac:dyDescent="0.25">
      <c r="A51" s="109">
        <v>41</v>
      </c>
      <c r="B51" s="110">
        <v>10.83</v>
      </c>
      <c r="C51" s="110">
        <v>10.83</v>
      </c>
    </row>
    <row r="52" spans="1:3" x14ac:dyDescent="0.25">
      <c r="A52" s="109">
        <v>42</v>
      </c>
      <c r="B52" s="110">
        <v>11.22</v>
      </c>
      <c r="C52" s="110">
        <v>11.22</v>
      </c>
    </row>
    <row r="53" spans="1:3" x14ac:dyDescent="0.25">
      <c r="A53" s="109">
        <v>43</v>
      </c>
      <c r="B53" s="110">
        <v>11.61</v>
      </c>
      <c r="C53" s="110">
        <v>11.61</v>
      </c>
    </row>
    <row r="54" spans="1:3" x14ac:dyDescent="0.25">
      <c r="A54" s="109">
        <v>44</v>
      </c>
      <c r="B54" s="110">
        <v>12.02</v>
      </c>
      <c r="C54" s="110">
        <v>12.02</v>
      </c>
    </row>
    <row r="55" spans="1:3" x14ac:dyDescent="0.25">
      <c r="A55" s="109">
        <v>45</v>
      </c>
      <c r="B55" s="110">
        <v>12.45</v>
      </c>
      <c r="C55" s="110">
        <v>12.45</v>
      </c>
    </row>
    <row r="56" spans="1:3" x14ac:dyDescent="0.25">
      <c r="A56" s="109">
        <v>46</v>
      </c>
      <c r="B56" s="110">
        <v>12.9</v>
      </c>
      <c r="C56" s="110">
        <v>12.9</v>
      </c>
    </row>
    <row r="57" spans="1:3" x14ac:dyDescent="0.25">
      <c r="A57" s="109">
        <v>47</v>
      </c>
      <c r="B57" s="110">
        <v>13.36</v>
      </c>
      <c r="C57" s="110">
        <v>13.36</v>
      </c>
    </row>
    <row r="58" spans="1:3" x14ac:dyDescent="0.25">
      <c r="A58" s="109">
        <v>48</v>
      </c>
      <c r="B58" s="110">
        <v>13.84</v>
      </c>
      <c r="C58" s="110">
        <v>13.84</v>
      </c>
    </row>
    <row r="59" spans="1:3" x14ac:dyDescent="0.25">
      <c r="A59" s="109">
        <v>49</v>
      </c>
      <c r="B59" s="110">
        <v>14.34</v>
      </c>
      <c r="C59" s="110">
        <v>14.34</v>
      </c>
    </row>
    <row r="60" spans="1:3" x14ac:dyDescent="0.25">
      <c r="A60" s="109">
        <v>50</v>
      </c>
      <c r="B60" s="110">
        <v>14.86</v>
      </c>
      <c r="C60" s="110">
        <v>14.86</v>
      </c>
    </row>
    <row r="61" spans="1:3" x14ac:dyDescent="0.25">
      <c r="A61" s="109">
        <v>51</v>
      </c>
      <c r="B61" s="110">
        <v>15.4</v>
      </c>
      <c r="C61" s="110">
        <v>15.4</v>
      </c>
    </row>
    <row r="62" spans="1:3" x14ac:dyDescent="0.25">
      <c r="A62" s="109">
        <v>52</v>
      </c>
      <c r="B62" s="110">
        <v>15.96</v>
      </c>
      <c r="C62" s="110">
        <v>15.96</v>
      </c>
    </row>
    <row r="63" spans="1:3" x14ac:dyDescent="0.25">
      <c r="A63" s="109">
        <v>53</v>
      </c>
      <c r="B63" s="110">
        <v>16.54</v>
      </c>
      <c r="C63" s="110">
        <v>16.54</v>
      </c>
    </row>
    <row r="64" spans="1:3" x14ac:dyDescent="0.25">
      <c r="A64" s="109">
        <v>54</v>
      </c>
      <c r="B64" s="110">
        <v>17.149999999999999</v>
      </c>
      <c r="C64" s="110">
        <v>17.149999999999999</v>
      </c>
    </row>
    <row r="65" spans="1:3" x14ac:dyDescent="0.25">
      <c r="A65" s="109">
        <v>55</v>
      </c>
      <c r="B65" s="110">
        <v>17.79</v>
      </c>
      <c r="C65" s="110">
        <v>17.79</v>
      </c>
    </row>
    <row r="66" spans="1:3" x14ac:dyDescent="0.25">
      <c r="A66" s="109">
        <v>56</v>
      </c>
      <c r="B66" s="110">
        <v>18.46</v>
      </c>
      <c r="C66" s="110">
        <v>18.46</v>
      </c>
    </row>
    <row r="67" spans="1:3" x14ac:dyDescent="0.25">
      <c r="A67" s="109">
        <v>57</v>
      </c>
      <c r="B67" s="110">
        <v>19.149999999999999</v>
      </c>
      <c r="C67" s="110">
        <v>19.149999999999999</v>
      </c>
    </row>
    <row r="68" spans="1:3" x14ac:dyDescent="0.25">
      <c r="A68" s="109">
        <v>58</v>
      </c>
      <c r="B68" s="110">
        <v>19.88</v>
      </c>
      <c r="C68" s="110">
        <v>19.88</v>
      </c>
    </row>
    <row r="69" spans="1:3" x14ac:dyDescent="0.25">
      <c r="A69" s="109">
        <v>59</v>
      </c>
      <c r="B69" s="110">
        <v>20.65</v>
      </c>
      <c r="C69" s="110">
        <v>20.65</v>
      </c>
    </row>
    <row r="70" spans="1:3" x14ac:dyDescent="0.25">
      <c r="A70" s="109">
        <v>60</v>
      </c>
      <c r="B70" s="110">
        <v>20.73</v>
      </c>
      <c r="C70" s="110">
        <v>20.73</v>
      </c>
    </row>
    <row r="71" spans="1:3" x14ac:dyDescent="0.25">
      <c r="A71" s="109">
        <v>61</v>
      </c>
      <c r="B71" s="110">
        <v>20.09</v>
      </c>
      <c r="C71" s="110">
        <v>20.09</v>
      </c>
    </row>
    <row r="72" spans="1:3" x14ac:dyDescent="0.25">
      <c r="A72" s="109">
        <v>62</v>
      </c>
      <c r="B72" s="110">
        <v>19.46</v>
      </c>
      <c r="C72" s="110">
        <v>19.46</v>
      </c>
    </row>
    <row r="73" spans="1:3" x14ac:dyDescent="0.25">
      <c r="A73" s="109">
        <v>63</v>
      </c>
      <c r="B73" s="110">
        <v>18.82</v>
      </c>
      <c r="C73" s="110">
        <v>18.82</v>
      </c>
    </row>
    <row r="74" spans="1:3" x14ac:dyDescent="0.25">
      <c r="A74" s="109">
        <v>64</v>
      </c>
      <c r="B74" s="110">
        <v>18.190000000000001</v>
      </c>
      <c r="C74" s="110">
        <v>18.190000000000001</v>
      </c>
    </row>
    <row r="75" spans="1:3" x14ac:dyDescent="0.25">
      <c r="A75" s="109">
        <v>65</v>
      </c>
      <c r="B75" s="110">
        <v>17.559999999999999</v>
      </c>
      <c r="C75" s="110">
        <v>17.559999999999999</v>
      </c>
    </row>
    <row r="76" spans="1:3" x14ac:dyDescent="0.25">
      <c r="A76" s="109">
        <v>66</v>
      </c>
      <c r="B76" s="110">
        <v>16.940000000000001</v>
      </c>
      <c r="C76" s="110">
        <v>16.940000000000001</v>
      </c>
    </row>
    <row r="77" spans="1:3" x14ac:dyDescent="0.25">
      <c r="A77" s="109">
        <v>67</v>
      </c>
      <c r="B77" s="110">
        <v>16.309999999999999</v>
      </c>
      <c r="C77" s="110">
        <v>16.309999999999999</v>
      </c>
    </row>
    <row r="78" spans="1:3" x14ac:dyDescent="0.25">
      <c r="A78" s="109">
        <v>68</v>
      </c>
      <c r="B78" s="110">
        <v>15.68</v>
      </c>
      <c r="C78" s="110">
        <v>15.68</v>
      </c>
    </row>
    <row r="79" spans="1:3" x14ac:dyDescent="0.25">
      <c r="A79" s="109">
        <v>69</v>
      </c>
      <c r="B79" s="110">
        <v>15.05</v>
      </c>
      <c r="C79" s="110">
        <v>15.05</v>
      </c>
    </row>
    <row r="80" spans="1:3" x14ac:dyDescent="0.25">
      <c r="A80" s="109">
        <v>70</v>
      </c>
      <c r="B80" s="110">
        <v>14.43</v>
      </c>
      <c r="C80" s="110">
        <v>14.43</v>
      </c>
    </row>
    <row r="81" spans="1:3" x14ac:dyDescent="0.25">
      <c r="A81" s="109">
        <v>71</v>
      </c>
      <c r="B81" s="110">
        <v>13.8</v>
      </c>
      <c r="C81" s="110">
        <v>13.8</v>
      </c>
    </row>
    <row r="82" spans="1:3" x14ac:dyDescent="0.25">
      <c r="A82" s="109">
        <v>72</v>
      </c>
      <c r="B82" s="110">
        <v>13.18</v>
      </c>
      <c r="C82" s="110">
        <v>13.18</v>
      </c>
    </row>
    <row r="83" spans="1:3" x14ac:dyDescent="0.25">
      <c r="A83" s="109">
        <v>73</v>
      </c>
      <c r="B83" s="110">
        <v>12.57</v>
      </c>
      <c r="C83" s="110">
        <v>12.57</v>
      </c>
    </row>
    <row r="84" spans="1:3" x14ac:dyDescent="0.25">
      <c r="A84" s="109">
        <v>74</v>
      </c>
      <c r="B84" s="110">
        <v>11.96</v>
      </c>
      <c r="C84" s="110">
        <v>11.96</v>
      </c>
    </row>
    <row r="85" spans="1:3" x14ac:dyDescent="0.25">
      <c r="A85" s="109">
        <v>75</v>
      </c>
      <c r="B85" s="110">
        <v>11.37</v>
      </c>
      <c r="C85" s="110">
        <v>11.37</v>
      </c>
    </row>
    <row r="86" spans="1:3" x14ac:dyDescent="0.25">
      <c r="A86" s="109">
        <v>76</v>
      </c>
      <c r="B86" s="110">
        <v>10.78</v>
      </c>
      <c r="C86" s="110">
        <v>10.78</v>
      </c>
    </row>
    <row r="87" spans="1:3" x14ac:dyDescent="0.25">
      <c r="A87" s="109">
        <v>77</v>
      </c>
      <c r="B87" s="110">
        <v>10.199999999999999</v>
      </c>
      <c r="C87" s="110">
        <v>10.199999999999999</v>
      </c>
    </row>
    <row r="88" spans="1:3" x14ac:dyDescent="0.25">
      <c r="A88" s="109">
        <v>78</v>
      </c>
      <c r="B88" s="110">
        <v>9.6300000000000008</v>
      </c>
      <c r="C88" s="110">
        <v>9.6300000000000008</v>
      </c>
    </row>
    <row r="89" spans="1:3" x14ac:dyDescent="0.25">
      <c r="A89" s="109">
        <v>79</v>
      </c>
      <c r="B89" s="110">
        <v>9.08</v>
      </c>
      <c r="C89" s="110">
        <v>9.08</v>
      </c>
    </row>
    <row r="90" spans="1:3" x14ac:dyDescent="0.25">
      <c r="A90" s="109">
        <v>80</v>
      </c>
      <c r="B90" s="110">
        <v>8.5500000000000007</v>
      </c>
      <c r="C90" s="110">
        <v>8.5500000000000007</v>
      </c>
    </row>
    <row r="91" spans="1:3" x14ac:dyDescent="0.25">
      <c r="A91" s="109">
        <v>81</v>
      </c>
      <c r="B91" s="110">
        <v>8.0299999999999994</v>
      </c>
      <c r="C91" s="110">
        <v>8.0299999999999994</v>
      </c>
    </row>
    <row r="92" spans="1:3" x14ac:dyDescent="0.25">
      <c r="A92" s="109">
        <v>82</v>
      </c>
      <c r="B92" s="110">
        <v>7.53</v>
      </c>
      <c r="C92" s="110">
        <v>7.53</v>
      </c>
    </row>
    <row r="93" spans="1:3" x14ac:dyDescent="0.25">
      <c r="A93" s="109">
        <v>83</v>
      </c>
      <c r="B93" s="110">
        <v>7.05</v>
      </c>
      <c r="C93" s="110">
        <v>7.05</v>
      </c>
    </row>
    <row r="94" spans="1:3" x14ac:dyDescent="0.25">
      <c r="A94" s="109">
        <v>84</v>
      </c>
      <c r="B94" s="110">
        <v>6.59</v>
      </c>
      <c r="C94" s="110">
        <v>6.59</v>
      </c>
    </row>
    <row r="95" spans="1:3" x14ac:dyDescent="0.25">
      <c r="A95" s="109">
        <v>85</v>
      </c>
      <c r="B95" s="110">
        <v>6.15</v>
      </c>
      <c r="C95" s="110">
        <v>6.15</v>
      </c>
    </row>
    <row r="96" spans="1:3" x14ac:dyDescent="0.25">
      <c r="A96" s="109">
        <v>86</v>
      </c>
      <c r="B96" s="110">
        <v>5.73</v>
      </c>
      <c r="C96" s="110">
        <v>5.73</v>
      </c>
    </row>
    <row r="97" spans="1:3" x14ac:dyDescent="0.25">
      <c r="A97" s="109">
        <v>87</v>
      </c>
      <c r="B97" s="110">
        <v>5.33</v>
      </c>
      <c r="C97" s="110">
        <v>5.33</v>
      </c>
    </row>
    <row r="98" spans="1:3" x14ac:dyDescent="0.25">
      <c r="A98" s="109">
        <v>88</v>
      </c>
      <c r="B98" s="110">
        <v>4.95</v>
      </c>
      <c r="C98" s="110">
        <v>4.95</v>
      </c>
    </row>
    <row r="99" spans="1:3" x14ac:dyDescent="0.25">
      <c r="A99" s="109">
        <v>89</v>
      </c>
      <c r="B99" s="110">
        <v>4.59</v>
      </c>
      <c r="C99" s="110">
        <v>4.59</v>
      </c>
    </row>
    <row r="100" spans="1:3" x14ac:dyDescent="0.25">
      <c r="A100" s="109">
        <v>90</v>
      </c>
      <c r="B100" s="110">
        <v>4.26</v>
      </c>
      <c r="C100" s="110">
        <v>4.26</v>
      </c>
    </row>
    <row r="101" spans="1:3" x14ac:dyDescent="0.25">
      <c r="A101" s="109">
        <v>91</v>
      </c>
      <c r="B101" s="110">
        <v>3.94</v>
      </c>
      <c r="C101" s="110">
        <v>3.94</v>
      </c>
    </row>
    <row r="102" spans="1:3" x14ac:dyDescent="0.25">
      <c r="A102" s="109">
        <v>92</v>
      </c>
      <c r="B102" s="110">
        <v>3.65</v>
      </c>
      <c r="C102" s="110">
        <v>3.65</v>
      </c>
    </row>
    <row r="103" spans="1:3" x14ac:dyDescent="0.25">
      <c r="A103" s="109">
        <v>93</v>
      </c>
      <c r="B103" s="110">
        <v>3.39</v>
      </c>
      <c r="C103" s="110">
        <v>3.39</v>
      </c>
    </row>
    <row r="104" spans="1:3" x14ac:dyDescent="0.25">
      <c r="A104" s="109">
        <v>94</v>
      </c>
      <c r="B104" s="110">
        <v>3.15</v>
      </c>
      <c r="C104" s="110">
        <v>3.15</v>
      </c>
    </row>
    <row r="105" spans="1:3" x14ac:dyDescent="0.25">
      <c r="A105" s="109">
        <v>95</v>
      </c>
      <c r="B105" s="110">
        <v>2.93</v>
      </c>
      <c r="C105" s="110">
        <v>2.93</v>
      </c>
    </row>
    <row r="106" spans="1:3" x14ac:dyDescent="0.25">
      <c r="A106" s="109">
        <v>96</v>
      </c>
      <c r="B106" s="110">
        <v>2.73</v>
      </c>
      <c r="C106" s="110">
        <v>2.73</v>
      </c>
    </row>
    <row r="107" spans="1:3" x14ac:dyDescent="0.25">
      <c r="A107" s="109">
        <v>97</v>
      </c>
      <c r="B107" s="110">
        <v>2.56</v>
      </c>
      <c r="C107" s="110">
        <v>2.56</v>
      </c>
    </row>
    <row r="108" spans="1:3" x14ac:dyDescent="0.25">
      <c r="A108" s="109">
        <v>98</v>
      </c>
      <c r="B108" s="110">
        <v>2.41</v>
      </c>
      <c r="C108" s="110">
        <v>2.41</v>
      </c>
    </row>
  </sheetData>
  <conditionalFormatting sqref="A6:A21">
    <cfRule type="expression" dxfId="899" priority="3" stopIfTrue="1">
      <formula>MOD(ROW(),2)=0</formula>
    </cfRule>
    <cfRule type="expression" dxfId="898" priority="4" stopIfTrue="1">
      <formula>MOD(ROW(),2)&lt;&gt;0</formula>
    </cfRule>
  </conditionalFormatting>
  <conditionalFormatting sqref="A26:A108">
    <cfRule type="expression" dxfId="897" priority="19" stopIfTrue="1">
      <formula>MOD(ROW(),2)=0</formula>
    </cfRule>
    <cfRule type="expression" dxfId="896" priority="20" stopIfTrue="1">
      <formula>MOD(ROW(),2)&lt;&gt;0</formula>
    </cfRule>
  </conditionalFormatting>
  <conditionalFormatting sqref="B17">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fRule type="expression" priority="17" stopIfTrue="1">
      <formula>MOD(ROW(),2)=0</formula>
    </cfRule>
    <cfRule type="expression" priority="18" stopIfTrue="1">
      <formula>MOD(ROW(),2)&lt;&gt;0</formula>
    </cfRule>
  </conditionalFormatting>
  <conditionalFormatting sqref="B17:B21">
    <cfRule type="expression" dxfId="895" priority="1" stopIfTrue="1">
      <formula>MOD(ROW(),2)=0</formula>
    </cfRule>
    <cfRule type="expression" dxfId="894" priority="2" stopIfTrue="1">
      <formula>MOD(ROW(),2)&lt;&gt;0</formula>
    </cfRule>
  </conditionalFormatting>
  <conditionalFormatting sqref="B6:C6 C7 B8:C16 C17:C21">
    <cfRule type="expression" dxfId="893" priority="41" stopIfTrue="1">
      <formula>MOD(ROW(),2)=0</formula>
    </cfRule>
    <cfRule type="expression" dxfId="892" priority="42" stopIfTrue="1">
      <formula>MOD(ROW(),2)&lt;&gt;0</formula>
    </cfRule>
  </conditionalFormatting>
  <conditionalFormatting sqref="B6:C21">
    <cfRule type="expression" dxfId="891" priority="33" stopIfTrue="1">
      <formula>MOD(ROW(),2)=0</formula>
    </cfRule>
    <cfRule type="expression" dxfId="890" priority="34" stopIfTrue="1">
      <formula>MOD(ROW(),2)&lt;&gt;0</formula>
    </cfRule>
  </conditionalFormatting>
  <conditionalFormatting sqref="B26:C108">
    <cfRule type="expression" dxfId="889" priority="21" stopIfTrue="1">
      <formula>MOD(ROW(),2)=0</formula>
    </cfRule>
    <cfRule type="expression" dxfId="888" priority="22" stopIfTrue="1">
      <formula>MOD(ROW(),2)&lt;&gt;0</formula>
    </cfRule>
  </conditionalFormatting>
  <hyperlinks>
    <hyperlink ref="B24" location="Assumptions!A1" display="Assumptions" xr:uid="{6A2D3FD1-FCF3-4A6F-B508-05BE3D92D06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4"/>
  <dimension ref="A1:M65"/>
  <sheetViews>
    <sheetView workbookViewId="0"/>
  </sheetViews>
  <sheetFormatPr defaultColWidth="10" defaultRowHeight="12.5" x14ac:dyDescent="0.25"/>
  <cols>
    <col min="1" max="1" width="31.54296875" style="28" customWidth="1"/>
    <col min="2" max="13" width="22.54296875" style="28" customWidth="1"/>
    <col min="14" max="16384" width="10" style="28"/>
  </cols>
  <sheetData>
    <row r="1" spans="1:13" ht="20" x14ac:dyDescent="0.4">
      <c r="A1" s="53" t="s">
        <v>0</v>
      </c>
      <c r="B1" s="54"/>
      <c r="C1" s="54"/>
      <c r="D1" s="54"/>
      <c r="E1" s="54"/>
      <c r="F1" s="54"/>
      <c r="G1" s="54"/>
      <c r="H1" s="54"/>
      <c r="I1" s="54"/>
    </row>
    <row r="2" spans="1:13"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3" ht="15.5" x14ac:dyDescent="0.35">
      <c r="A3" s="57" t="str">
        <f>TABLE_FACTOR_TYPE_1&amp;" - x-"&amp;TABLE_SERIES_NUMBER_1</f>
        <v>ERF - x-401</v>
      </c>
      <c r="B3" s="56"/>
      <c r="C3" s="56"/>
      <c r="D3" s="56"/>
      <c r="E3" s="56"/>
      <c r="F3" s="56"/>
      <c r="G3" s="56"/>
      <c r="H3" s="56"/>
      <c r="I3" s="56"/>
    </row>
    <row r="4" spans="1:13" x14ac:dyDescent="0.25">
      <c r="A4" s="58"/>
    </row>
    <row r="6" spans="1:13" ht="13" x14ac:dyDescent="0.3">
      <c r="A6" s="86" t="s">
        <v>716</v>
      </c>
      <c r="B6" s="111" t="s">
        <v>717</v>
      </c>
      <c r="C6" s="111"/>
      <c r="D6" s="111"/>
      <c r="E6" s="111"/>
      <c r="F6" s="111"/>
      <c r="G6" s="111"/>
      <c r="H6" s="111"/>
      <c r="I6" s="111"/>
      <c r="J6" s="111"/>
      <c r="K6" s="111"/>
      <c r="L6" s="111"/>
      <c r="M6" s="111"/>
    </row>
    <row r="7" spans="1:13" x14ac:dyDescent="0.25">
      <c r="A7" s="87" t="s">
        <v>797</v>
      </c>
      <c r="B7" s="111" t="s">
        <v>316</v>
      </c>
      <c r="C7" s="111"/>
      <c r="D7" s="111"/>
      <c r="E7" s="111"/>
      <c r="F7" s="111"/>
      <c r="G7" s="111"/>
      <c r="H7" s="111"/>
      <c r="I7" s="111"/>
      <c r="J7" s="111"/>
      <c r="K7" s="111"/>
      <c r="L7" s="111"/>
      <c r="M7" s="111"/>
    </row>
    <row r="8" spans="1:13" x14ac:dyDescent="0.25">
      <c r="A8" s="87" t="s">
        <v>798</v>
      </c>
      <c r="B8" s="111" t="s">
        <v>92</v>
      </c>
      <c r="C8" s="111"/>
      <c r="D8" s="111"/>
      <c r="E8" s="111"/>
      <c r="F8" s="111"/>
      <c r="G8" s="111"/>
      <c r="H8" s="111"/>
      <c r="I8" s="111"/>
      <c r="J8" s="111"/>
      <c r="K8" s="111"/>
      <c r="L8" s="111"/>
      <c r="M8" s="111"/>
    </row>
    <row r="9" spans="1:13" x14ac:dyDescent="0.25">
      <c r="A9" s="87" t="s">
        <v>300</v>
      </c>
      <c r="B9" s="111" t="s">
        <v>426</v>
      </c>
      <c r="C9" s="111"/>
      <c r="D9" s="111"/>
      <c r="E9" s="111"/>
      <c r="F9" s="111"/>
      <c r="G9" s="111"/>
      <c r="H9" s="111"/>
      <c r="I9" s="111"/>
      <c r="J9" s="111"/>
      <c r="K9" s="111"/>
      <c r="L9" s="111"/>
      <c r="M9" s="111"/>
    </row>
    <row r="10" spans="1:13" x14ac:dyDescent="0.25">
      <c r="A10" s="87" t="s">
        <v>6</v>
      </c>
      <c r="B10" s="111" t="s">
        <v>427</v>
      </c>
      <c r="C10" s="111"/>
      <c r="D10" s="111"/>
      <c r="E10" s="111"/>
      <c r="F10" s="111"/>
      <c r="G10" s="111"/>
      <c r="H10" s="111"/>
      <c r="I10" s="111"/>
      <c r="J10" s="111"/>
      <c r="K10" s="111"/>
      <c r="L10" s="111"/>
      <c r="M10" s="111"/>
    </row>
    <row r="11" spans="1:13" x14ac:dyDescent="0.25">
      <c r="A11" s="87" t="s">
        <v>301</v>
      </c>
      <c r="B11" s="111" t="s">
        <v>319</v>
      </c>
      <c r="C11" s="111"/>
      <c r="D11" s="111"/>
      <c r="E11" s="111"/>
      <c r="F11" s="111"/>
      <c r="G11" s="111"/>
      <c r="H11" s="111"/>
      <c r="I11" s="111"/>
      <c r="J11" s="111"/>
      <c r="K11" s="111"/>
      <c r="L11" s="111"/>
      <c r="M11" s="111"/>
    </row>
    <row r="12" spans="1:13" x14ac:dyDescent="0.25">
      <c r="A12" s="87" t="s">
        <v>302</v>
      </c>
      <c r="B12" s="111" t="s">
        <v>428</v>
      </c>
      <c r="C12" s="111"/>
      <c r="D12" s="111"/>
      <c r="E12" s="111"/>
      <c r="F12" s="111"/>
      <c r="G12" s="111"/>
      <c r="H12" s="111"/>
      <c r="I12" s="111"/>
      <c r="J12" s="111"/>
      <c r="K12" s="111"/>
      <c r="L12" s="111"/>
      <c r="M12" s="111"/>
    </row>
    <row r="13" spans="1:13" x14ac:dyDescent="0.25">
      <c r="A13" s="87" t="s">
        <v>813</v>
      </c>
      <c r="B13" s="111">
        <v>0</v>
      </c>
      <c r="C13" s="111"/>
      <c r="D13" s="111"/>
      <c r="E13" s="111"/>
      <c r="F13" s="111"/>
      <c r="G13" s="111"/>
      <c r="H13" s="111"/>
      <c r="I13" s="111"/>
      <c r="J13" s="111"/>
      <c r="K13" s="111"/>
      <c r="L13" s="111"/>
      <c r="M13" s="111"/>
    </row>
    <row r="14" spans="1:13" x14ac:dyDescent="0.25">
      <c r="A14" s="87" t="s">
        <v>304</v>
      </c>
      <c r="B14" s="111">
        <v>401</v>
      </c>
      <c r="C14" s="111"/>
      <c r="D14" s="111"/>
      <c r="E14" s="111"/>
      <c r="F14" s="111"/>
      <c r="G14" s="111"/>
      <c r="H14" s="111"/>
      <c r="I14" s="111"/>
      <c r="J14" s="111"/>
      <c r="K14" s="111"/>
      <c r="L14" s="111"/>
      <c r="M14" s="111"/>
    </row>
    <row r="15" spans="1:13" x14ac:dyDescent="0.25">
      <c r="A15" s="87" t="s">
        <v>727</v>
      </c>
      <c r="B15" s="111" t="s">
        <v>429</v>
      </c>
      <c r="C15" s="111"/>
      <c r="D15" s="111"/>
      <c r="E15" s="111"/>
      <c r="F15" s="111"/>
      <c r="G15" s="111"/>
      <c r="H15" s="111"/>
      <c r="I15" s="111"/>
      <c r="J15" s="111"/>
      <c r="K15" s="111"/>
      <c r="L15" s="111"/>
      <c r="M15" s="111"/>
    </row>
    <row r="16" spans="1:13" x14ac:dyDescent="0.25">
      <c r="A16" s="87" t="s">
        <v>306</v>
      </c>
      <c r="B16" s="111" t="s">
        <v>430</v>
      </c>
      <c r="C16" s="111"/>
      <c r="D16" s="111"/>
      <c r="E16" s="111"/>
      <c r="F16" s="111"/>
      <c r="G16" s="111"/>
      <c r="H16" s="111"/>
      <c r="I16" s="111"/>
      <c r="J16" s="111"/>
      <c r="K16" s="111"/>
      <c r="L16" s="111"/>
      <c r="M16" s="111"/>
    </row>
    <row r="17" spans="1:13" x14ac:dyDescent="0.25">
      <c r="A17" s="87" t="s">
        <v>800</v>
      </c>
      <c r="B17" s="111"/>
      <c r="C17" s="111"/>
      <c r="D17" s="111"/>
      <c r="E17" s="111"/>
      <c r="F17" s="111"/>
      <c r="G17" s="111"/>
      <c r="H17" s="111"/>
      <c r="I17" s="111"/>
      <c r="J17" s="111"/>
      <c r="K17" s="111"/>
      <c r="L17" s="111"/>
      <c r="M17" s="111"/>
    </row>
    <row r="18" spans="1:13" x14ac:dyDescent="0.25">
      <c r="A18" s="87" t="s">
        <v>308</v>
      </c>
      <c r="B18" s="122">
        <v>45106</v>
      </c>
      <c r="C18" s="111"/>
      <c r="D18" s="111"/>
      <c r="E18" s="111"/>
      <c r="F18" s="111"/>
      <c r="G18" s="111"/>
      <c r="H18" s="111"/>
      <c r="I18" s="111"/>
      <c r="J18" s="111"/>
      <c r="K18" s="111"/>
      <c r="L18" s="111"/>
      <c r="M18" s="111"/>
    </row>
    <row r="19" spans="1:13" x14ac:dyDescent="0.25">
      <c r="A19" s="87" t="s">
        <v>309</v>
      </c>
      <c r="B19" s="122">
        <v>45200</v>
      </c>
      <c r="C19" s="111"/>
      <c r="D19" s="111"/>
      <c r="E19" s="111"/>
      <c r="F19" s="111"/>
      <c r="G19" s="111"/>
      <c r="H19" s="111"/>
      <c r="I19" s="111"/>
      <c r="J19" s="111"/>
      <c r="K19" s="111"/>
      <c r="L19" s="111"/>
      <c r="M19" s="111"/>
    </row>
    <row r="20" spans="1:13" x14ac:dyDescent="0.25">
      <c r="A20" s="87" t="s">
        <v>310</v>
      </c>
      <c r="B20" s="111" t="s">
        <v>324</v>
      </c>
      <c r="C20" s="111"/>
      <c r="D20" s="111"/>
      <c r="E20" s="111"/>
      <c r="F20" s="111"/>
      <c r="G20" s="111"/>
      <c r="H20" s="111"/>
      <c r="I20" s="111"/>
      <c r="J20" s="111"/>
      <c r="K20" s="111"/>
      <c r="L20" s="111"/>
      <c r="M20" s="111"/>
    </row>
    <row r="21" spans="1:13" x14ac:dyDescent="0.25">
      <c r="A21" s="87" t="s">
        <v>311</v>
      </c>
      <c r="B21" s="111" t="s">
        <v>325</v>
      </c>
      <c r="C21" s="111"/>
      <c r="D21" s="111"/>
      <c r="E21" s="111"/>
      <c r="F21" s="111"/>
      <c r="G21" s="111"/>
      <c r="H21" s="111"/>
      <c r="I21" s="111"/>
      <c r="J21" s="111"/>
      <c r="K21" s="111"/>
      <c r="L21" s="111"/>
      <c r="M21" s="111"/>
    </row>
    <row r="23" spans="1:13" x14ac:dyDescent="0.25">
      <c r="B23" s="104" t="str">
        <f>HYPERLINK("#'Factor List'!A1","Back to Factor List")</f>
        <v>Back to Factor List</v>
      </c>
    </row>
    <row r="24" spans="1:13" x14ac:dyDescent="0.25">
      <c r="B24" s="104" t="s">
        <v>13</v>
      </c>
    </row>
    <row r="26" spans="1:13" ht="13" x14ac:dyDescent="0.25">
      <c r="A26" s="108" t="s">
        <v>839</v>
      </c>
      <c r="B26" s="108">
        <v>54</v>
      </c>
      <c r="C26" s="108">
        <v>55</v>
      </c>
      <c r="D26" s="108">
        <v>56</v>
      </c>
      <c r="E26" s="108">
        <v>57</v>
      </c>
      <c r="F26" s="108">
        <v>58</v>
      </c>
      <c r="G26" s="108">
        <v>59</v>
      </c>
      <c r="H26" s="108">
        <v>60</v>
      </c>
      <c r="I26" s="108">
        <v>61</v>
      </c>
      <c r="J26" s="108">
        <v>62</v>
      </c>
      <c r="K26" s="108">
        <v>63</v>
      </c>
      <c r="L26" s="108">
        <v>64</v>
      </c>
      <c r="M26" s="108">
        <v>65</v>
      </c>
    </row>
    <row r="27" spans="1:13" x14ac:dyDescent="0.25">
      <c r="A27" s="109">
        <v>0</v>
      </c>
      <c r="B27" s="126">
        <v>0.60199999999999998</v>
      </c>
      <c r="C27" s="126">
        <v>0.626</v>
      </c>
      <c r="D27" s="126">
        <v>0.65200000000000002</v>
      </c>
      <c r="E27" s="126">
        <v>0.68</v>
      </c>
      <c r="F27" s="126">
        <v>0.71</v>
      </c>
      <c r="G27" s="126">
        <v>0.74299999999999999</v>
      </c>
      <c r="H27" s="126">
        <v>0.77800000000000002</v>
      </c>
      <c r="I27" s="126">
        <v>0.81499999999999995</v>
      </c>
      <c r="J27" s="126">
        <v>0.85599999999999998</v>
      </c>
      <c r="K27" s="126">
        <v>0.90100000000000002</v>
      </c>
      <c r="L27" s="126">
        <v>0.94899999999999995</v>
      </c>
      <c r="M27" s="126">
        <v>1</v>
      </c>
    </row>
    <row r="28" spans="1:13" x14ac:dyDescent="0.25">
      <c r="A28" s="109">
        <v>1</v>
      </c>
      <c r="B28" s="126">
        <v>0.60399999999999998</v>
      </c>
      <c r="C28" s="126">
        <v>0.628</v>
      </c>
      <c r="D28" s="126">
        <v>0.65500000000000003</v>
      </c>
      <c r="E28" s="126">
        <v>0.68300000000000005</v>
      </c>
      <c r="F28" s="126">
        <v>0.71299999999999997</v>
      </c>
      <c r="G28" s="126">
        <v>0.746</v>
      </c>
      <c r="H28" s="126">
        <v>0.78100000000000003</v>
      </c>
      <c r="I28" s="126">
        <v>0.81899999999999995</v>
      </c>
      <c r="J28" s="126">
        <v>0.86</v>
      </c>
      <c r="K28" s="126">
        <v>0.90500000000000003</v>
      </c>
      <c r="L28" s="126">
        <v>0.95399999999999996</v>
      </c>
      <c r="M28" s="126"/>
    </row>
    <row r="29" spans="1:13" x14ac:dyDescent="0.25">
      <c r="A29" s="109">
        <v>2</v>
      </c>
      <c r="B29" s="126">
        <v>0.60599999999999998</v>
      </c>
      <c r="C29" s="126">
        <v>0.63100000000000001</v>
      </c>
      <c r="D29" s="126">
        <v>0.65700000000000003</v>
      </c>
      <c r="E29" s="126">
        <v>0.68500000000000005</v>
      </c>
      <c r="F29" s="126">
        <v>0.71599999999999997</v>
      </c>
      <c r="G29" s="126">
        <v>0.749</v>
      </c>
      <c r="H29" s="126">
        <v>0.78400000000000003</v>
      </c>
      <c r="I29" s="126">
        <v>0.82199999999999995</v>
      </c>
      <c r="J29" s="126">
        <v>0.86399999999999999</v>
      </c>
      <c r="K29" s="126">
        <v>0.90900000000000003</v>
      </c>
      <c r="L29" s="126">
        <v>0.95799999999999996</v>
      </c>
      <c r="M29" s="126"/>
    </row>
    <row r="30" spans="1:13" x14ac:dyDescent="0.25">
      <c r="A30" s="109">
        <v>3</v>
      </c>
      <c r="B30" s="126">
        <v>0.60799999999999998</v>
      </c>
      <c r="C30" s="126">
        <v>0.63300000000000001</v>
      </c>
      <c r="D30" s="126">
        <v>0.65900000000000003</v>
      </c>
      <c r="E30" s="126">
        <v>0.68799999999999994</v>
      </c>
      <c r="F30" s="126">
        <v>0.71799999999999997</v>
      </c>
      <c r="G30" s="126">
        <v>0.751</v>
      </c>
      <c r="H30" s="126">
        <v>0.78700000000000003</v>
      </c>
      <c r="I30" s="126">
        <v>0.82599999999999996</v>
      </c>
      <c r="J30" s="126">
        <v>0.86699999999999999</v>
      </c>
      <c r="K30" s="126">
        <v>0.91300000000000003</v>
      </c>
      <c r="L30" s="126">
        <v>0.96299999999999997</v>
      </c>
      <c r="M30" s="126"/>
    </row>
    <row r="31" spans="1:13" x14ac:dyDescent="0.25">
      <c r="A31" s="109">
        <v>4</v>
      </c>
      <c r="B31" s="126">
        <v>0.61</v>
      </c>
      <c r="C31" s="126">
        <v>0.63500000000000001</v>
      </c>
      <c r="D31" s="126">
        <v>0.66200000000000003</v>
      </c>
      <c r="E31" s="126">
        <v>0.69</v>
      </c>
      <c r="F31" s="126">
        <v>0.72099999999999997</v>
      </c>
      <c r="G31" s="126">
        <v>0.754</v>
      </c>
      <c r="H31" s="126">
        <v>0.79</v>
      </c>
      <c r="I31" s="126">
        <v>0.82899999999999996</v>
      </c>
      <c r="J31" s="126">
        <v>0.871</v>
      </c>
      <c r="K31" s="126">
        <v>0.91700000000000004</v>
      </c>
      <c r="L31" s="126">
        <v>0.96699999999999997</v>
      </c>
      <c r="M31" s="126"/>
    </row>
    <row r="32" spans="1:13" x14ac:dyDescent="0.25">
      <c r="A32" s="109">
        <v>5</v>
      </c>
      <c r="B32" s="126">
        <v>0.61199999999999999</v>
      </c>
      <c r="C32" s="126">
        <v>0.63700000000000001</v>
      </c>
      <c r="D32" s="126">
        <v>0.66400000000000003</v>
      </c>
      <c r="E32" s="126">
        <v>0.69299999999999995</v>
      </c>
      <c r="F32" s="126">
        <v>0.72399999999999998</v>
      </c>
      <c r="G32" s="126">
        <v>0.75700000000000001</v>
      </c>
      <c r="H32" s="126">
        <v>0.79300000000000004</v>
      </c>
      <c r="I32" s="126">
        <v>0.83199999999999996</v>
      </c>
      <c r="J32" s="126">
        <v>0.875</v>
      </c>
      <c r="K32" s="126">
        <v>0.92100000000000004</v>
      </c>
      <c r="L32" s="126">
        <v>0.97099999999999997</v>
      </c>
      <c r="M32" s="126"/>
    </row>
    <row r="33" spans="1:13" x14ac:dyDescent="0.25">
      <c r="A33" s="109">
        <v>6</v>
      </c>
      <c r="B33" s="126">
        <v>0.61399999999999999</v>
      </c>
      <c r="C33" s="126">
        <v>0.63900000000000001</v>
      </c>
      <c r="D33" s="126">
        <v>0.66600000000000004</v>
      </c>
      <c r="E33" s="126">
        <v>0.69499999999999995</v>
      </c>
      <c r="F33" s="126">
        <v>0.72699999999999998</v>
      </c>
      <c r="G33" s="126">
        <v>0.76</v>
      </c>
      <c r="H33" s="126">
        <v>0.79600000000000004</v>
      </c>
      <c r="I33" s="126">
        <v>0.83599999999999997</v>
      </c>
      <c r="J33" s="126">
        <v>0.879</v>
      </c>
      <c r="K33" s="126">
        <v>0.92500000000000004</v>
      </c>
      <c r="L33" s="126">
        <v>0.97599999999999998</v>
      </c>
      <c r="M33" s="126"/>
    </row>
    <row r="34" spans="1:13" x14ac:dyDescent="0.25">
      <c r="A34" s="109">
        <v>7</v>
      </c>
      <c r="B34" s="126">
        <v>0.61599999999999999</v>
      </c>
      <c r="C34" s="126">
        <v>0.64100000000000001</v>
      </c>
      <c r="D34" s="126">
        <v>0.66900000000000004</v>
      </c>
      <c r="E34" s="126">
        <v>0.69799999999999995</v>
      </c>
      <c r="F34" s="126">
        <v>0.72899999999999998</v>
      </c>
      <c r="G34" s="126">
        <v>0.76300000000000001</v>
      </c>
      <c r="H34" s="126">
        <v>0.8</v>
      </c>
      <c r="I34" s="126">
        <v>0.83899999999999997</v>
      </c>
      <c r="J34" s="126">
        <v>0.88200000000000001</v>
      </c>
      <c r="K34" s="126">
        <v>0.92900000000000005</v>
      </c>
      <c r="L34" s="126">
        <v>0.98</v>
      </c>
      <c r="M34" s="126"/>
    </row>
    <row r="35" spans="1:13" x14ac:dyDescent="0.25">
      <c r="A35" s="109">
        <v>8</v>
      </c>
      <c r="B35" s="126">
        <v>0.61799999999999999</v>
      </c>
      <c r="C35" s="126">
        <v>0.64400000000000002</v>
      </c>
      <c r="D35" s="126">
        <v>0.67100000000000004</v>
      </c>
      <c r="E35" s="126">
        <v>0.7</v>
      </c>
      <c r="F35" s="126">
        <v>0.73199999999999998</v>
      </c>
      <c r="G35" s="126">
        <v>0.76600000000000001</v>
      </c>
      <c r="H35" s="126">
        <v>0.80300000000000005</v>
      </c>
      <c r="I35" s="126">
        <v>0.84299999999999997</v>
      </c>
      <c r="J35" s="126">
        <v>0.88600000000000001</v>
      </c>
      <c r="K35" s="126">
        <v>0.93300000000000005</v>
      </c>
      <c r="L35" s="126">
        <v>0.98499999999999999</v>
      </c>
      <c r="M35" s="126"/>
    </row>
    <row r="36" spans="1:13" x14ac:dyDescent="0.25">
      <c r="A36" s="109">
        <v>9</v>
      </c>
      <c r="B36" s="126">
        <v>0.62</v>
      </c>
      <c r="C36" s="126">
        <v>0.64600000000000002</v>
      </c>
      <c r="D36" s="126">
        <v>0.67300000000000004</v>
      </c>
      <c r="E36" s="126">
        <v>0.70299999999999996</v>
      </c>
      <c r="F36" s="126">
        <v>0.73499999999999999</v>
      </c>
      <c r="G36" s="126">
        <v>0.76900000000000002</v>
      </c>
      <c r="H36" s="126">
        <v>0.80600000000000005</v>
      </c>
      <c r="I36" s="126">
        <v>0.84599999999999997</v>
      </c>
      <c r="J36" s="126">
        <v>0.89</v>
      </c>
      <c r="K36" s="126">
        <v>0.93700000000000006</v>
      </c>
      <c r="L36" s="126">
        <v>0.98899999999999999</v>
      </c>
      <c r="M36" s="126"/>
    </row>
    <row r="37" spans="1:13" x14ac:dyDescent="0.25">
      <c r="A37" s="109">
        <v>10</v>
      </c>
      <c r="B37" s="126">
        <v>0.622</v>
      </c>
      <c r="C37" s="126">
        <v>0.64800000000000002</v>
      </c>
      <c r="D37" s="126">
        <v>0.67600000000000005</v>
      </c>
      <c r="E37" s="126">
        <v>0.70499999999999996</v>
      </c>
      <c r="F37" s="126">
        <v>0.73699999999999999</v>
      </c>
      <c r="G37" s="126">
        <v>0.77200000000000002</v>
      </c>
      <c r="H37" s="126">
        <v>0.80900000000000005</v>
      </c>
      <c r="I37" s="126">
        <v>0.84899999999999998</v>
      </c>
      <c r="J37" s="126">
        <v>0.89300000000000002</v>
      </c>
      <c r="K37" s="126">
        <v>0.94099999999999995</v>
      </c>
      <c r="L37" s="126">
        <v>0.99299999999999999</v>
      </c>
      <c r="M37" s="126"/>
    </row>
    <row r="38" spans="1:13" x14ac:dyDescent="0.25">
      <c r="A38" s="109">
        <v>11</v>
      </c>
      <c r="B38" s="126">
        <v>0.624</v>
      </c>
      <c r="C38" s="126">
        <v>0.65</v>
      </c>
      <c r="D38" s="126">
        <v>0.67800000000000005</v>
      </c>
      <c r="E38" s="126">
        <v>0.70799999999999996</v>
      </c>
      <c r="F38" s="126">
        <v>0.74</v>
      </c>
      <c r="G38" s="126">
        <v>0.77500000000000002</v>
      </c>
      <c r="H38" s="126">
        <v>0.81200000000000006</v>
      </c>
      <c r="I38" s="126">
        <v>0.85299999999999998</v>
      </c>
      <c r="J38" s="126">
        <v>0.89700000000000002</v>
      </c>
      <c r="K38" s="126">
        <v>0.94499999999999995</v>
      </c>
      <c r="L38" s="126">
        <v>0.998</v>
      </c>
      <c r="M38" s="126"/>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5" customHeight="1" x14ac:dyDescent="0.25">
      <c r="A44"/>
      <c r="B44"/>
    </row>
    <row r="45" spans="1:13" x14ac:dyDescent="0.25">
      <c r="A45"/>
      <c r="B45"/>
    </row>
    <row r="46" spans="1:13" ht="27.65"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887" priority="1" stopIfTrue="1">
      <formula>MOD(ROW(),2)=0</formula>
    </cfRule>
    <cfRule type="expression" dxfId="886" priority="2" stopIfTrue="1">
      <formula>MOD(ROW(),2)&lt;&gt;0</formula>
    </cfRule>
  </conditionalFormatting>
  <conditionalFormatting sqref="A26:A38">
    <cfRule type="expression" dxfId="885" priority="5" stopIfTrue="1">
      <formula>MOD(ROW(),2)=0</formula>
    </cfRule>
    <cfRule type="expression" dxfId="884" priority="6" stopIfTrue="1">
      <formula>MOD(ROW(),2)&lt;&gt;0</formula>
    </cfRule>
  </conditionalFormatting>
  <conditionalFormatting sqref="B18:B21">
    <cfRule type="expression" dxfId="883" priority="9" stopIfTrue="1">
      <formula>MOD(ROW(),2)=0</formula>
    </cfRule>
    <cfRule type="expression" dxfId="882" priority="10" stopIfTrue="1">
      <formula>MOD(ROW(),2)&lt;&gt;0</formula>
    </cfRule>
  </conditionalFormatting>
  <conditionalFormatting sqref="B6:M21">
    <cfRule type="expression" dxfId="881" priority="19" stopIfTrue="1">
      <formula>MOD(ROW(),2)=0</formula>
    </cfRule>
    <cfRule type="expression" dxfId="880" priority="20" stopIfTrue="1">
      <formula>MOD(ROW(),2)&lt;&gt;0</formula>
    </cfRule>
  </conditionalFormatting>
  <conditionalFormatting sqref="B26:M38">
    <cfRule type="expression" dxfId="879" priority="7" stopIfTrue="1">
      <formula>MOD(ROW(),2)=0</formula>
    </cfRule>
    <cfRule type="expression" dxfId="878" priority="8" stopIfTrue="1">
      <formula>MOD(ROW(),2)&lt;&gt;0</formula>
    </cfRule>
  </conditionalFormatting>
  <hyperlinks>
    <hyperlink ref="B24" location="Assumptions!A1" display="Assumptions" xr:uid="{2B6DCAA5-6D70-4DEA-A73A-77EC97F8186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5"/>
  <dimension ref="A1:N65"/>
  <sheetViews>
    <sheetView workbookViewId="0"/>
  </sheetViews>
  <sheetFormatPr defaultColWidth="10" defaultRowHeight="12.5" x14ac:dyDescent="0.25"/>
  <cols>
    <col min="1" max="1" width="31.54296875" style="28" customWidth="1"/>
    <col min="2" max="14" width="22.54296875" style="28" customWidth="1"/>
    <col min="15" max="16384" width="10" style="28"/>
  </cols>
  <sheetData>
    <row r="1" spans="1:14" ht="20" x14ac:dyDescent="0.4">
      <c r="A1" s="53" t="s">
        <v>0</v>
      </c>
      <c r="B1" s="54"/>
      <c r="C1" s="54"/>
      <c r="D1" s="54"/>
      <c r="E1" s="54"/>
      <c r="F1" s="54"/>
      <c r="G1" s="54"/>
      <c r="H1" s="54"/>
      <c r="I1" s="54"/>
    </row>
    <row r="2" spans="1:14"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4" ht="15.5" x14ac:dyDescent="0.35">
      <c r="A3" s="57" t="str">
        <f>TABLE_FACTOR_TYPE_1&amp;" - x-"&amp;TABLE_SERIES_NUMBER_1</f>
        <v>ERF - x-402</v>
      </c>
      <c r="B3" s="56"/>
      <c r="C3" s="56"/>
      <c r="D3" s="56"/>
      <c r="E3" s="56"/>
      <c r="F3" s="56"/>
      <c r="G3" s="56"/>
      <c r="H3" s="56"/>
      <c r="I3" s="56"/>
    </row>
    <row r="4" spans="1:14" x14ac:dyDescent="0.25">
      <c r="A4" s="58"/>
    </row>
    <row r="6" spans="1:14" ht="13" x14ac:dyDescent="0.3">
      <c r="A6" s="86" t="s">
        <v>716</v>
      </c>
      <c r="B6" s="111" t="s">
        <v>717</v>
      </c>
      <c r="C6" s="111"/>
      <c r="D6" s="111"/>
      <c r="E6" s="111"/>
      <c r="F6" s="111"/>
      <c r="G6" s="111"/>
      <c r="H6" s="111"/>
      <c r="I6" s="111"/>
      <c r="J6" s="111"/>
      <c r="K6" s="111"/>
      <c r="L6" s="111"/>
      <c r="M6" s="111"/>
      <c r="N6" s="111"/>
    </row>
    <row r="7" spans="1:14" x14ac:dyDescent="0.25">
      <c r="A7" s="87" t="s">
        <v>797</v>
      </c>
      <c r="B7" s="111" t="s">
        <v>316</v>
      </c>
      <c r="C7" s="111"/>
      <c r="D7" s="111"/>
      <c r="E7" s="111"/>
      <c r="F7" s="111"/>
      <c r="G7" s="111"/>
      <c r="H7" s="111"/>
      <c r="I7" s="111"/>
      <c r="J7" s="111"/>
      <c r="K7" s="111"/>
      <c r="L7" s="111"/>
      <c r="M7" s="111"/>
      <c r="N7" s="111"/>
    </row>
    <row r="8" spans="1:14" x14ac:dyDescent="0.25">
      <c r="A8" s="87" t="s">
        <v>798</v>
      </c>
      <c r="B8" s="111" t="s">
        <v>92</v>
      </c>
      <c r="C8" s="111"/>
      <c r="D8" s="111"/>
      <c r="E8" s="111"/>
      <c r="F8" s="111"/>
      <c r="G8" s="111"/>
      <c r="H8" s="111"/>
      <c r="I8" s="111"/>
      <c r="J8" s="111"/>
      <c r="K8" s="111"/>
      <c r="L8" s="111"/>
      <c r="M8" s="111"/>
      <c r="N8" s="111"/>
    </row>
    <row r="9" spans="1:14" x14ac:dyDescent="0.25">
      <c r="A9" s="87" t="s">
        <v>300</v>
      </c>
      <c r="B9" s="111" t="s">
        <v>426</v>
      </c>
      <c r="C9" s="111"/>
      <c r="D9" s="111"/>
      <c r="E9" s="111"/>
      <c r="F9" s="111"/>
      <c r="G9" s="111"/>
      <c r="H9" s="111"/>
      <c r="I9" s="111"/>
      <c r="J9" s="111"/>
      <c r="K9" s="111"/>
      <c r="L9" s="111"/>
      <c r="M9" s="111"/>
      <c r="N9" s="111"/>
    </row>
    <row r="10" spans="1:14" x14ac:dyDescent="0.25">
      <c r="A10" s="87" t="s">
        <v>6</v>
      </c>
      <c r="B10" s="111" t="s">
        <v>432</v>
      </c>
      <c r="C10" s="111"/>
      <c r="D10" s="111"/>
      <c r="E10" s="111"/>
      <c r="F10" s="111"/>
      <c r="G10" s="111"/>
      <c r="H10" s="111"/>
      <c r="I10" s="111"/>
      <c r="J10" s="111"/>
      <c r="K10" s="111"/>
      <c r="L10" s="111"/>
      <c r="M10" s="111"/>
      <c r="N10" s="111"/>
    </row>
    <row r="11" spans="1:14" x14ac:dyDescent="0.25">
      <c r="A11" s="87" t="s">
        <v>301</v>
      </c>
      <c r="B11" s="111" t="s">
        <v>319</v>
      </c>
      <c r="C11" s="111"/>
      <c r="D11" s="111"/>
      <c r="E11" s="111"/>
      <c r="F11" s="111"/>
      <c r="G11" s="111"/>
      <c r="H11" s="111"/>
      <c r="I11" s="111"/>
      <c r="J11" s="111"/>
      <c r="K11" s="111"/>
      <c r="L11" s="111"/>
      <c r="M11" s="111"/>
      <c r="N11" s="111"/>
    </row>
    <row r="12" spans="1:14" x14ac:dyDescent="0.25">
      <c r="A12" s="87" t="s">
        <v>302</v>
      </c>
      <c r="B12" s="111" t="s">
        <v>428</v>
      </c>
      <c r="C12" s="111"/>
      <c r="D12" s="111"/>
      <c r="E12" s="111"/>
      <c r="F12" s="111"/>
      <c r="G12" s="111"/>
      <c r="H12" s="111"/>
      <c r="I12" s="111"/>
      <c r="J12" s="111"/>
      <c r="K12" s="111"/>
      <c r="L12" s="111"/>
      <c r="M12" s="111"/>
      <c r="N12" s="111"/>
    </row>
    <row r="13" spans="1:14" x14ac:dyDescent="0.25">
      <c r="A13" s="87" t="s">
        <v>813</v>
      </c>
      <c r="B13" s="111">
        <v>0</v>
      </c>
      <c r="C13" s="111"/>
      <c r="D13" s="111"/>
      <c r="E13" s="111"/>
      <c r="F13" s="111"/>
      <c r="G13" s="111"/>
      <c r="H13" s="111"/>
      <c r="I13" s="111"/>
      <c r="J13" s="111"/>
      <c r="K13" s="111"/>
      <c r="L13" s="111"/>
      <c r="M13" s="111"/>
      <c r="N13" s="111"/>
    </row>
    <row r="14" spans="1:14" x14ac:dyDescent="0.25">
      <c r="A14" s="87" t="s">
        <v>304</v>
      </c>
      <c r="B14" s="111">
        <v>402</v>
      </c>
      <c r="C14" s="111"/>
      <c r="D14" s="111"/>
      <c r="E14" s="111"/>
      <c r="F14" s="111"/>
      <c r="G14" s="111"/>
      <c r="H14" s="111"/>
      <c r="I14" s="111"/>
      <c r="J14" s="111"/>
      <c r="K14" s="111"/>
      <c r="L14" s="111"/>
      <c r="M14" s="111"/>
      <c r="N14" s="111"/>
    </row>
    <row r="15" spans="1:14" x14ac:dyDescent="0.25">
      <c r="A15" s="87" t="s">
        <v>727</v>
      </c>
      <c r="B15" s="111" t="s">
        <v>433</v>
      </c>
      <c r="C15" s="111"/>
      <c r="D15" s="111"/>
      <c r="E15" s="111"/>
      <c r="F15" s="111"/>
      <c r="G15" s="111"/>
      <c r="H15" s="111"/>
      <c r="I15" s="111"/>
      <c r="J15" s="111"/>
      <c r="K15" s="111"/>
      <c r="L15" s="111"/>
      <c r="M15" s="111"/>
      <c r="N15" s="111"/>
    </row>
    <row r="16" spans="1:14" x14ac:dyDescent="0.25">
      <c r="A16" s="87" t="s">
        <v>306</v>
      </c>
      <c r="B16" s="111" t="s">
        <v>434</v>
      </c>
      <c r="C16" s="111"/>
      <c r="D16" s="111"/>
      <c r="E16" s="111"/>
      <c r="F16" s="111"/>
      <c r="G16" s="111"/>
      <c r="H16" s="111"/>
      <c r="I16" s="111"/>
      <c r="J16" s="111"/>
      <c r="K16" s="111"/>
      <c r="L16" s="111"/>
      <c r="M16" s="111"/>
      <c r="N16" s="111"/>
    </row>
    <row r="17" spans="1:14" x14ac:dyDescent="0.25">
      <c r="A17" s="87" t="s">
        <v>800</v>
      </c>
      <c r="B17" s="111"/>
      <c r="C17" s="111"/>
      <c r="D17" s="111"/>
      <c r="E17" s="111"/>
      <c r="F17" s="111"/>
      <c r="G17" s="111"/>
      <c r="H17" s="111"/>
      <c r="I17" s="111"/>
      <c r="J17" s="111"/>
      <c r="K17" s="111"/>
      <c r="L17" s="111"/>
      <c r="M17" s="111"/>
      <c r="N17" s="111"/>
    </row>
    <row r="18" spans="1:14" x14ac:dyDescent="0.25">
      <c r="A18" s="87" t="s">
        <v>308</v>
      </c>
      <c r="B18" s="122">
        <v>45106</v>
      </c>
      <c r="C18" s="111"/>
      <c r="D18" s="111"/>
      <c r="E18" s="111"/>
      <c r="F18" s="111"/>
      <c r="G18" s="111"/>
      <c r="H18" s="111"/>
      <c r="I18" s="111"/>
      <c r="J18" s="111"/>
      <c r="K18" s="111"/>
      <c r="L18" s="111"/>
      <c r="M18" s="111"/>
      <c r="N18" s="111"/>
    </row>
    <row r="19" spans="1:14" x14ac:dyDescent="0.25">
      <c r="A19" s="87" t="s">
        <v>309</v>
      </c>
      <c r="B19" s="122">
        <v>45200</v>
      </c>
      <c r="C19" s="111"/>
      <c r="D19" s="111"/>
      <c r="E19" s="111"/>
      <c r="F19" s="111"/>
      <c r="G19" s="111"/>
      <c r="H19" s="111"/>
      <c r="I19" s="111"/>
      <c r="J19" s="111"/>
      <c r="K19" s="111"/>
      <c r="L19" s="111"/>
      <c r="M19" s="111"/>
      <c r="N19" s="111"/>
    </row>
    <row r="20" spans="1:14" x14ac:dyDescent="0.25">
      <c r="A20" s="87" t="s">
        <v>310</v>
      </c>
      <c r="B20" s="111" t="s">
        <v>324</v>
      </c>
      <c r="C20" s="111"/>
      <c r="D20" s="111"/>
      <c r="E20" s="111"/>
      <c r="F20" s="111"/>
      <c r="G20" s="111"/>
      <c r="H20" s="111"/>
      <c r="I20" s="111"/>
      <c r="J20" s="111"/>
      <c r="K20" s="111"/>
      <c r="L20" s="111"/>
      <c r="M20" s="111"/>
      <c r="N20" s="111"/>
    </row>
    <row r="21" spans="1:14" x14ac:dyDescent="0.25">
      <c r="A21" s="87" t="s">
        <v>311</v>
      </c>
      <c r="B21" s="111" t="s">
        <v>325</v>
      </c>
      <c r="C21" s="111"/>
      <c r="D21" s="111"/>
      <c r="E21" s="111"/>
      <c r="F21" s="111"/>
      <c r="G21" s="111"/>
      <c r="H21" s="111"/>
      <c r="I21" s="111"/>
      <c r="J21" s="111"/>
      <c r="K21" s="111"/>
      <c r="L21" s="111"/>
      <c r="M21" s="111"/>
      <c r="N21" s="111"/>
    </row>
    <row r="23" spans="1:14" x14ac:dyDescent="0.25">
      <c r="B23" s="104" t="str">
        <f>HYPERLINK("#'Factor List'!A1","Back to Factor List")</f>
        <v>Back to Factor List</v>
      </c>
    </row>
    <row r="24" spans="1:14" x14ac:dyDescent="0.25">
      <c r="B24" s="104" t="s">
        <v>13</v>
      </c>
    </row>
    <row r="26" spans="1:14" ht="13" x14ac:dyDescent="0.25">
      <c r="A26" s="108" t="s">
        <v>839</v>
      </c>
      <c r="B26" s="108">
        <v>54</v>
      </c>
      <c r="C26" s="108">
        <v>55</v>
      </c>
      <c r="D26" s="108">
        <v>56</v>
      </c>
      <c r="E26" s="108">
        <v>57</v>
      </c>
      <c r="F26" s="108">
        <v>58</v>
      </c>
      <c r="G26" s="108">
        <v>59</v>
      </c>
      <c r="H26" s="108">
        <v>60</v>
      </c>
      <c r="I26" s="108">
        <v>61</v>
      </c>
      <c r="J26" s="108">
        <v>62</v>
      </c>
      <c r="K26" s="108">
        <v>63</v>
      </c>
      <c r="L26" s="108">
        <v>64</v>
      </c>
      <c r="M26" s="108">
        <v>65</v>
      </c>
      <c r="N26" s="108">
        <v>66</v>
      </c>
    </row>
    <row r="27" spans="1:14" x14ac:dyDescent="0.25">
      <c r="A27" s="109">
        <v>0</v>
      </c>
      <c r="B27" s="126">
        <v>0.56999999999999995</v>
      </c>
      <c r="C27" s="126">
        <v>0.59299999999999997</v>
      </c>
      <c r="D27" s="126">
        <v>0.61799999999999999</v>
      </c>
      <c r="E27" s="126">
        <v>0.64400000000000002</v>
      </c>
      <c r="F27" s="126">
        <v>0.67200000000000004</v>
      </c>
      <c r="G27" s="126">
        <v>0.70299999999999996</v>
      </c>
      <c r="H27" s="126">
        <v>0.73599999999999999</v>
      </c>
      <c r="I27" s="126">
        <v>0.77100000000000002</v>
      </c>
      <c r="J27" s="126">
        <v>0.81</v>
      </c>
      <c r="K27" s="126">
        <v>0.85199999999999998</v>
      </c>
      <c r="L27" s="126">
        <v>0.89800000000000002</v>
      </c>
      <c r="M27" s="126">
        <v>0.94799999999999995</v>
      </c>
      <c r="N27" s="126">
        <v>1</v>
      </c>
    </row>
    <row r="28" spans="1:14" x14ac:dyDescent="0.25">
      <c r="A28" s="109">
        <v>1</v>
      </c>
      <c r="B28" s="126">
        <v>0.57199999999999995</v>
      </c>
      <c r="C28" s="126">
        <v>0.59499999999999997</v>
      </c>
      <c r="D28" s="126">
        <v>0.62</v>
      </c>
      <c r="E28" s="126">
        <v>0.64600000000000002</v>
      </c>
      <c r="F28" s="126">
        <v>0.67500000000000004</v>
      </c>
      <c r="G28" s="126">
        <v>0.70599999999999996</v>
      </c>
      <c r="H28" s="126">
        <v>0.73899999999999999</v>
      </c>
      <c r="I28" s="126">
        <v>0.77500000000000002</v>
      </c>
      <c r="J28" s="126">
        <v>0.81399999999999995</v>
      </c>
      <c r="K28" s="126">
        <v>0.85599999999999998</v>
      </c>
      <c r="L28" s="126">
        <v>0.90200000000000002</v>
      </c>
      <c r="M28" s="126">
        <v>0.95199999999999996</v>
      </c>
      <c r="N28" s="126"/>
    </row>
    <row r="29" spans="1:14" x14ac:dyDescent="0.25">
      <c r="A29" s="109">
        <v>2</v>
      </c>
      <c r="B29" s="126">
        <v>0.57399999999999995</v>
      </c>
      <c r="C29" s="126">
        <v>0.59699999999999998</v>
      </c>
      <c r="D29" s="126">
        <v>0.622</v>
      </c>
      <c r="E29" s="126">
        <v>0.64900000000000002</v>
      </c>
      <c r="F29" s="126">
        <v>0.67700000000000005</v>
      </c>
      <c r="G29" s="126">
        <v>0.70799999999999996</v>
      </c>
      <c r="H29" s="126">
        <v>0.74199999999999999</v>
      </c>
      <c r="I29" s="126">
        <v>0.77800000000000002</v>
      </c>
      <c r="J29" s="126">
        <v>0.81699999999999995</v>
      </c>
      <c r="K29" s="126">
        <v>0.86</v>
      </c>
      <c r="L29" s="126">
        <v>0.90600000000000003</v>
      </c>
      <c r="M29" s="126">
        <v>0.95699999999999996</v>
      </c>
      <c r="N29" s="126"/>
    </row>
    <row r="30" spans="1:14" x14ac:dyDescent="0.25">
      <c r="A30" s="109">
        <v>3</v>
      </c>
      <c r="B30" s="126">
        <v>0.57599999999999996</v>
      </c>
      <c r="C30" s="126">
        <v>0.59899999999999998</v>
      </c>
      <c r="D30" s="126">
        <v>0.624</v>
      </c>
      <c r="E30" s="126">
        <v>0.65100000000000002</v>
      </c>
      <c r="F30" s="126">
        <v>0.68</v>
      </c>
      <c r="G30" s="126">
        <v>0.71099999999999997</v>
      </c>
      <c r="H30" s="126">
        <v>0.745</v>
      </c>
      <c r="I30" s="126">
        <v>0.78100000000000003</v>
      </c>
      <c r="J30" s="126">
        <v>0.82</v>
      </c>
      <c r="K30" s="126">
        <v>0.86299999999999999</v>
      </c>
      <c r="L30" s="126">
        <v>0.91</v>
      </c>
      <c r="M30" s="126">
        <v>0.96099999999999997</v>
      </c>
      <c r="N30" s="126"/>
    </row>
    <row r="31" spans="1:14" x14ac:dyDescent="0.25">
      <c r="A31" s="109">
        <v>4</v>
      </c>
      <c r="B31" s="126">
        <v>0.57799999999999996</v>
      </c>
      <c r="C31" s="126">
        <v>0.60099999999999998</v>
      </c>
      <c r="D31" s="126">
        <v>0.626</v>
      </c>
      <c r="E31" s="126">
        <v>0.65300000000000002</v>
      </c>
      <c r="F31" s="126">
        <v>0.68300000000000005</v>
      </c>
      <c r="G31" s="126">
        <v>0.71399999999999997</v>
      </c>
      <c r="H31" s="126">
        <v>0.748</v>
      </c>
      <c r="I31" s="126">
        <v>0.78400000000000003</v>
      </c>
      <c r="J31" s="126">
        <v>0.82399999999999995</v>
      </c>
      <c r="K31" s="126">
        <v>0.86699999999999999</v>
      </c>
      <c r="L31" s="126">
        <v>0.91400000000000003</v>
      </c>
      <c r="M31" s="126">
        <v>0.96599999999999997</v>
      </c>
      <c r="N31" s="126"/>
    </row>
    <row r="32" spans="1:14" x14ac:dyDescent="0.25">
      <c r="A32" s="109">
        <v>5</v>
      </c>
      <c r="B32" s="126">
        <v>0.57999999999999996</v>
      </c>
      <c r="C32" s="126">
        <v>0.60299999999999998</v>
      </c>
      <c r="D32" s="126">
        <v>0.629</v>
      </c>
      <c r="E32" s="126">
        <v>0.65600000000000003</v>
      </c>
      <c r="F32" s="126">
        <v>0.68500000000000005</v>
      </c>
      <c r="G32" s="126">
        <v>0.71699999999999997</v>
      </c>
      <c r="H32" s="126">
        <v>0.751</v>
      </c>
      <c r="I32" s="126">
        <v>0.78700000000000003</v>
      </c>
      <c r="J32" s="126">
        <v>0.82699999999999996</v>
      </c>
      <c r="K32" s="126">
        <v>0.871</v>
      </c>
      <c r="L32" s="126">
        <v>0.91800000000000004</v>
      </c>
      <c r="M32" s="126">
        <v>0.97</v>
      </c>
      <c r="N32" s="126"/>
    </row>
    <row r="33" spans="1:14" x14ac:dyDescent="0.25">
      <c r="A33" s="109">
        <v>6</v>
      </c>
      <c r="B33" s="126">
        <v>0.58199999999999996</v>
      </c>
      <c r="C33" s="126">
        <v>0.60499999999999998</v>
      </c>
      <c r="D33" s="126">
        <v>0.63100000000000001</v>
      </c>
      <c r="E33" s="126">
        <v>0.65800000000000003</v>
      </c>
      <c r="F33" s="126">
        <v>0.68799999999999994</v>
      </c>
      <c r="G33" s="126">
        <v>0.71899999999999997</v>
      </c>
      <c r="H33" s="126">
        <v>0.754</v>
      </c>
      <c r="I33" s="126">
        <v>0.79100000000000004</v>
      </c>
      <c r="J33" s="126">
        <v>0.83099999999999996</v>
      </c>
      <c r="K33" s="126">
        <v>0.875</v>
      </c>
      <c r="L33" s="126">
        <v>0.92300000000000004</v>
      </c>
      <c r="M33" s="126">
        <v>0.97499999999999998</v>
      </c>
      <c r="N33" s="126"/>
    </row>
    <row r="34" spans="1:14" x14ac:dyDescent="0.25">
      <c r="A34" s="109">
        <v>7</v>
      </c>
      <c r="B34" s="126">
        <v>0.58299999999999996</v>
      </c>
      <c r="C34" s="126">
        <v>0.60699999999999998</v>
      </c>
      <c r="D34" s="126">
        <v>0.63300000000000001</v>
      </c>
      <c r="E34" s="126">
        <v>0.66100000000000003</v>
      </c>
      <c r="F34" s="126">
        <v>0.69</v>
      </c>
      <c r="G34" s="126">
        <v>0.72199999999999998</v>
      </c>
      <c r="H34" s="126">
        <v>0.75700000000000001</v>
      </c>
      <c r="I34" s="126">
        <v>0.79400000000000004</v>
      </c>
      <c r="J34" s="126">
        <v>0.83399999999999996</v>
      </c>
      <c r="K34" s="126">
        <v>0.879</v>
      </c>
      <c r="L34" s="126">
        <v>0.92700000000000005</v>
      </c>
      <c r="M34" s="126">
        <v>0.98</v>
      </c>
      <c r="N34" s="126"/>
    </row>
    <row r="35" spans="1:14" x14ac:dyDescent="0.25">
      <c r="A35" s="109">
        <v>8</v>
      </c>
      <c r="B35" s="126">
        <v>0.58499999999999996</v>
      </c>
      <c r="C35" s="126">
        <v>0.60899999999999999</v>
      </c>
      <c r="D35" s="126">
        <v>0.63500000000000001</v>
      </c>
      <c r="E35" s="126">
        <v>0.66300000000000003</v>
      </c>
      <c r="F35" s="126">
        <v>0.69299999999999995</v>
      </c>
      <c r="G35" s="126">
        <v>0.72499999999999998</v>
      </c>
      <c r="H35" s="126">
        <v>0.75900000000000001</v>
      </c>
      <c r="I35" s="126">
        <v>0.79700000000000004</v>
      </c>
      <c r="J35" s="126">
        <v>0.83799999999999997</v>
      </c>
      <c r="K35" s="126">
        <v>0.88200000000000001</v>
      </c>
      <c r="L35" s="126">
        <v>0.93100000000000005</v>
      </c>
      <c r="M35" s="126">
        <v>0.98399999999999999</v>
      </c>
      <c r="N35" s="126"/>
    </row>
    <row r="36" spans="1:14" x14ac:dyDescent="0.25">
      <c r="A36" s="109">
        <v>9</v>
      </c>
      <c r="B36" s="126">
        <v>0.58699999999999997</v>
      </c>
      <c r="C36" s="126">
        <v>0.61099999999999999</v>
      </c>
      <c r="D36" s="126">
        <v>0.63700000000000001</v>
      </c>
      <c r="E36" s="126">
        <v>0.66500000000000004</v>
      </c>
      <c r="F36" s="126">
        <v>0.69499999999999995</v>
      </c>
      <c r="G36" s="126">
        <v>0.72799999999999998</v>
      </c>
      <c r="H36" s="126">
        <v>0.76200000000000001</v>
      </c>
      <c r="I36" s="126">
        <v>0.8</v>
      </c>
      <c r="J36" s="126">
        <v>0.84099999999999997</v>
      </c>
      <c r="K36" s="126">
        <v>0.88600000000000001</v>
      </c>
      <c r="L36" s="126">
        <v>0.93500000000000005</v>
      </c>
      <c r="M36" s="126">
        <v>0.98899999999999999</v>
      </c>
      <c r="N36" s="126"/>
    </row>
    <row r="37" spans="1:14" x14ac:dyDescent="0.25">
      <c r="A37" s="109">
        <v>10</v>
      </c>
      <c r="B37" s="126">
        <v>0.58899999999999997</v>
      </c>
      <c r="C37" s="126">
        <v>0.61299999999999999</v>
      </c>
      <c r="D37" s="126">
        <v>0.64</v>
      </c>
      <c r="E37" s="126">
        <v>0.66800000000000004</v>
      </c>
      <c r="F37" s="126">
        <v>0.69799999999999995</v>
      </c>
      <c r="G37" s="126">
        <v>0.73</v>
      </c>
      <c r="H37" s="126">
        <v>0.76500000000000001</v>
      </c>
      <c r="I37" s="126">
        <v>0.80300000000000005</v>
      </c>
      <c r="J37" s="126">
        <v>0.84499999999999997</v>
      </c>
      <c r="K37" s="126">
        <v>0.89</v>
      </c>
      <c r="L37" s="126">
        <v>0.93899999999999995</v>
      </c>
      <c r="M37" s="126">
        <v>0.99299999999999999</v>
      </c>
      <c r="N37" s="126"/>
    </row>
    <row r="38" spans="1:14" x14ac:dyDescent="0.25">
      <c r="A38" s="109">
        <v>11</v>
      </c>
      <c r="B38" s="126">
        <v>0.59099999999999997</v>
      </c>
      <c r="C38" s="126">
        <v>0.61599999999999999</v>
      </c>
      <c r="D38" s="126">
        <v>0.64200000000000002</v>
      </c>
      <c r="E38" s="126">
        <v>0.67</v>
      </c>
      <c r="F38" s="126">
        <v>0.7</v>
      </c>
      <c r="G38" s="126">
        <v>0.73299999999999998</v>
      </c>
      <c r="H38" s="126">
        <v>0.76800000000000002</v>
      </c>
      <c r="I38" s="126">
        <v>0.80700000000000005</v>
      </c>
      <c r="J38" s="126">
        <v>0.84799999999999998</v>
      </c>
      <c r="K38" s="126">
        <v>0.89400000000000002</v>
      </c>
      <c r="L38" s="126">
        <v>0.94299999999999995</v>
      </c>
      <c r="M38" s="126">
        <v>0.998</v>
      </c>
      <c r="N38" s="126"/>
    </row>
    <row r="39" spans="1:14" x14ac:dyDescent="0.25">
      <c r="A39"/>
      <c r="B39"/>
    </row>
    <row r="40" spans="1:14" x14ac:dyDescent="0.25">
      <c r="A40"/>
      <c r="B40"/>
    </row>
    <row r="41" spans="1:14" x14ac:dyDescent="0.25">
      <c r="A41"/>
      <c r="B41"/>
    </row>
    <row r="42" spans="1:14" x14ac:dyDescent="0.25">
      <c r="A42"/>
      <c r="B42"/>
    </row>
    <row r="43" spans="1:14" x14ac:dyDescent="0.25">
      <c r="A43"/>
      <c r="B43"/>
    </row>
    <row r="44" spans="1:14" ht="39.65" customHeight="1" x14ac:dyDescent="0.25">
      <c r="A44"/>
      <c r="B44"/>
    </row>
    <row r="45" spans="1:14" x14ac:dyDescent="0.25">
      <c r="A45"/>
      <c r="B45"/>
    </row>
    <row r="46" spans="1:14" ht="27.65" customHeight="1"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877" priority="3" stopIfTrue="1">
      <formula>MOD(ROW(),2)=0</formula>
    </cfRule>
    <cfRule type="expression" dxfId="876" priority="4" stopIfTrue="1">
      <formula>MOD(ROW(),2)&lt;&gt;0</formula>
    </cfRule>
  </conditionalFormatting>
  <conditionalFormatting sqref="A26:A38">
    <cfRule type="expression" dxfId="875" priority="7" stopIfTrue="1">
      <formula>MOD(ROW(),2)=0</formula>
    </cfRule>
    <cfRule type="expression" dxfId="874" priority="8" stopIfTrue="1">
      <formula>MOD(ROW(),2)&lt;&gt;0</formula>
    </cfRule>
  </conditionalFormatting>
  <conditionalFormatting sqref="B18:B21">
    <cfRule type="expression" dxfId="873" priority="1" stopIfTrue="1">
      <formula>MOD(ROW(),2)=0</formula>
    </cfRule>
    <cfRule type="expression" dxfId="872" priority="2" stopIfTrue="1">
      <formula>MOD(ROW(),2)&lt;&gt;0</formula>
    </cfRule>
  </conditionalFormatting>
  <conditionalFormatting sqref="B6:N21">
    <cfRule type="expression" dxfId="871" priority="21" stopIfTrue="1">
      <formula>MOD(ROW(),2)=0</formula>
    </cfRule>
    <cfRule type="expression" dxfId="870" priority="22" stopIfTrue="1">
      <formula>MOD(ROW(),2)&lt;&gt;0</formula>
    </cfRule>
  </conditionalFormatting>
  <conditionalFormatting sqref="B26:N38">
    <cfRule type="expression" dxfId="869" priority="9" stopIfTrue="1">
      <formula>MOD(ROW(),2)=0</formula>
    </cfRule>
    <cfRule type="expression" dxfId="868" priority="10" stopIfTrue="1">
      <formula>MOD(ROW(),2)&lt;&gt;0</formula>
    </cfRule>
  </conditionalFormatting>
  <hyperlinks>
    <hyperlink ref="B24" location="Assumptions!A1" display="Assumptions" xr:uid="{1109F3C1-EC92-48CB-9821-B29B6B1559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6"/>
  <dimension ref="A1:O65"/>
  <sheetViews>
    <sheetView workbookViewId="0"/>
  </sheetViews>
  <sheetFormatPr defaultColWidth="10" defaultRowHeight="12.5" x14ac:dyDescent="0.25"/>
  <cols>
    <col min="1" max="1" width="31.54296875" style="28" customWidth="1"/>
    <col min="2" max="15" width="22.54296875" style="28" customWidth="1"/>
    <col min="16" max="16384" width="10" style="28"/>
  </cols>
  <sheetData>
    <row r="1" spans="1:15" ht="20" x14ac:dyDescent="0.4">
      <c r="A1" s="53" t="s">
        <v>0</v>
      </c>
      <c r="B1" s="54"/>
      <c r="C1" s="54"/>
      <c r="D1" s="54"/>
      <c r="E1" s="54"/>
      <c r="F1" s="54"/>
      <c r="G1" s="54"/>
      <c r="H1" s="54"/>
      <c r="I1" s="54"/>
    </row>
    <row r="2" spans="1:15"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5" ht="15.5" x14ac:dyDescent="0.35">
      <c r="A3" s="57" t="str">
        <f>TABLE_FACTOR_TYPE_1&amp;" - x-"&amp;TABLE_SERIES_NUMBER_1</f>
        <v>ERF - x-403</v>
      </c>
      <c r="B3" s="56"/>
      <c r="C3" s="56"/>
      <c r="D3" s="56"/>
      <c r="E3" s="56"/>
      <c r="F3" s="56"/>
      <c r="G3" s="56"/>
      <c r="H3" s="56"/>
      <c r="I3" s="56"/>
    </row>
    <row r="4" spans="1:15" x14ac:dyDescent="0.25">
      <c r="A4" s="58"/>
    </row>
    <row r="6" spans="1:15" ht="13" x14ac:dyDescent="0.3">
      <c r="A6" s="86" t="s">
        <v>716</v>
      </c>
      <c r="B6" s="111" t="s">
        <v>717</v>
      </c>
      <c r="C6" s="111"/>
      <c r="D6" s="111"/>
      <c r="E6" s="111"/>
      <c r="F6" s="111"/>
      <c r="G6" s="111"/>
      <c r="H6" s="111"/>
      <c r="I6" s="111"/>
      <c r="J6" s="111"/>
      <c r="K6" s="111"/>
      <c r="L6" s="111"/>
      <c r="M6" s="111"/>
      <c r="N6" s="111"/>
      <c r="O6" s="111"/>
    </row>
    <row r="7" spans="1:15" x14ac:dyDescent="0.25">
      <c r="A7" s="87" t="s">
        <v>797</v>
      </c>
      <c r="B7" s="111" t="s">
        <v>316</v>
      </c>
      <c r="C7" s="111"/>
      <c r="D7" s="111"/>
      <c r="E7" s="111"/>
      <c r="F7" s="111"/>
      <c r="G7" s="111"/>
      <c r="H7" s="111"/>
      <c r="I7" s="111"/>
      <c r="J7" s="111"/>
      <c r="K7" s="111"/>
      <c r="L7" s="111"/>
      <c r="M7" s="111"/>
      <c r="N7" s="111"/>
      <c r="O7" s="111"/>
    </row>
    <row r="8" spans="1:15" x14ac:dyDescent="0.25">
      <c r="A8" s="87" t="s">
        <v>798</v>
      </c>
      <c r="B8" s="111" t="s">
        <v>92</v>
      </c>
      <c r="C8" s="111"/>
      <c r="D8" s="111"/>
      <c r="E8" s="111"/>
      <c r="F8" s="111"/>
      <c r="G8" s="111"/>
      <c r="H8" s="111"/>
      <c r="I8" s="111"/>
      <c r="J8" s="111"/>
      <c r="K8" s="111"/>
      <c r="L8" s="111"/>
      <c r="M8" s="111"/>
      <c r="N8" s="111"/>
      <c r="O8" s="111"/>
    </row>
    <row r="9" spans="1:15" x14ac:dyDescent="0.25">
      <c r="A9" s="87" t="s">
        <v>300</v>
      </c>
      <c r="B9" s="111" t="s">
        <v>426</v>
      </c>
      <c r="C9" s="111"/>
      <c r="D9" s="111"/>
      <c r="E9" s="111"/>
      <c r="F9" s="111"/>
      <c r="G9" s="111"/>
      <c r="H9" s="111"/>
      <c r="I9" s="111"/>
      <c r="J9" s="111"/>
      <c r="K9" s="111"/>
      <c r="L9" s="111"/>
      <c r="M9" s="111"/>
      <c r="N9" s="111"/>
      <c r="O9" s="111"/>
    </row>
    <row r="10" spans="1:15" x14ac:dyDescent="0.25">
      <c r="A10" s="87" t="s">
        <v>6</v>
      </c>
      <c r="B10" s="111" t="s">
        <v>436</v>
      </c>
      <c r="C10" s="111"/>
      <c r="D10" s="111"/>
      <c r="E10" s="111"/>
      <c r="F10" s="111"/>
      <c r="G10" s="111"/>
      <c r="H10" s="111"/>
      <c r="I10" s="111"/>
      <c r="J10" s="111"/>
      <c r="K10" s="111"/>
      <c r="L10" s="111"/>
      <c r="M10" s="111"/>
      <c r="N10" s="111"/>
      <c r="O10" s="111"/>
    </row>
    <row r="11" spans="1:15" x14ac:dyDescent="0.25">
      <c r="A11" s="87" t="s">
        <v>301</v>
      </c>
      <c r="B11" s="111" t="s">
        <v>319</v>
      </c>
      <c r="C11" s="111"/>
      <c r="D11" s="111"/>
      <c r="E11" s="111"/>
      <c r="F11" s="111"/>
      <c r="G11" s="111"/>
      <c r="H11" s="111"/>
      <c r="I11" s="111"/>
      <c r="J11" s="111"/>
      <c r="K11" s="111"/>
      <c r="L11" s="111"/>
      <c r="M11" s="111"/>
      <c r="N11" s="111"/>
      <c r="O11" s="111"/>
    </row>
    <row r="12" spans="1:15" x14ac:dyDescent="0.25">
      <c r="A12" s="87" t="s">
        <v>302</v>
      </c>
      <c r="B12" s="111" t="s">
        <v>428</v>
      </c>
      <c r="C12" s="111"/>
      <c r="D12" s="111"/>
      <c r="E12" s="111"/>
      <c r="F12" s="111"/>
      <c r="G12" s="111"/>
      <c r="H12" s="111"/>
      <c r="I12" s="111"/>
      <c r="J12" s="111"/>
      <c r="K12" s="111"/>
      <c r="L12" s="111"/>
      <c r="M12" s="111"/>
      <c r="N12" s="111"/>
      <c r="O12" s="111"/>
    </row>
    <row r="13" spans="1:15" x14ac:dyDescent="0.25">
      <c r="A13" s="87" t="s">
        <v>813</v>
      </c>
      <c r="B13" s="111">
        <v>0</v>
      </c>
      <c r="C13" s="111"/>
      <c r="D13" s="111"/>
      <c r="E13" s="111"/>
      <c r="F13" s="111"/>
      <c r="G13" s="111"/>
      <c r="H13" s="111"/>
      <c r="I13" s="111"/>
      <c r="J13" s="111"/>
      <c r="K13" s="111"/>
      <c r="L13" s="111"/>
      <c r="M13" s="111"/>
      <c r="N13" s="111"/>
      <c r="O13" s="111"/>
    </row>
    <row r="14" spans="1:15" x14ac:dyDescent="0.25">
      <c r="A14" s="87" t="s">
        <v>304</v>
      </c>
      <c r="B14" s="111">
        <v>403</v>
      </c>
      <c r="C14" s="111"/>
      <c r="D14" s="111"/>
      <c r="E14" s="111"/>
      <c r="F14" s="111"/>
      <c r="G14" s="111"/>
      <c r="H14" s="111"/>
      <c r="I14" s="111"/>
      <c r="J14" s="111"/>
      <c r="K14" s="111"/>
      <c r="L14" s="111"/>
      <c r="M14" s="111"/>
      <c r="N14" s="111"/>
      <c r="O14" s="111"/>
    </row>
    <row r="15" spans="1:15" x14ac:dyDescent="0.25">
      <c r="A15" s="87" t="s">
        <v>727</v>
      </c>
      <c r="B15" s="111" t="s">
        <v>437</v>
      </c>
      <c r="C15" s="111"/>
      <c r="D15" s="111"/>
      <c r="E15" s="111"/>
      <c r="F15" s="111"/>
      <c r="G15" s="111"/>
      <c r="H15" s="111"/>
      <c r="I15" s="111"/>
      <c r="J15" s="111"/>
      <c r="K15" s="111"/>
      <c r="L15" s="111"/>
      <c r="M15" s="111"/>
      <c r="N15" s="111"/>
      <c r="O15" s="111"/>
    </row>
    <row r="16" spans="1:15" x14ac:dyDescent="0.25">
      <c r="A16" s="87" t="s">
        <v>306</v>
      </c>
      <c r="B16" s="111" t="s">
        <v>438</v>
      </c>
      <c r="C16" s="111"/>
      <c r="D16" s="111"/>
      <c r="E16" s="111"/>
      <c r="F16" s="111"/>
      <c r="G16" s="111"/>
      <c r="H16" s="111"/>
      <c r="I16" s="111"/>
      <c r="J16" s="111"/>
      <c r="K16" s="111"/>
      <c r="L16" s="111"/>
      <c r="M16" s="111"/>
      <c r="N16" s="111"/>
      <c r="O16" s="111"/>
    </row>
    <row r="17" spans="1:15" x14ac:dyDescent="0.25">
      <c r="A17" s="87" t="s">
        <v>800</v>
      </c>
      <c r="B17" s="111"/>
      <c r="C17" s="111"/>
      <c r="D17" s="111"/>
      <c r="E17" s="111"/>
      <c r="F17" s="111"/>
      <c r="G17" s="111"/>
      <c r="H17" s="111"/>
      <c r="I17" s="111"/>
      <c r="J17" s="111"/>
      <c r="K17" s="111"/>
      <c r="L17" s="111"/>
      <c r="M17" s="111"/>
      <c r="N17" s="111"/>
      <c r="O17" s="111"/>
    </row>
    <row r="18" spans="1:15" x14ac:dyDescent="0.25">
      <c r="A18" s="87" t="s">
        <v>308</v>
      </c>
      <c r="B18" s="122">
        <v>45106</v>
      </c>
      <c r="C18" s="111"/>
      <c r="D18" s="111"/>
      <c r="E18" s="111"/>
      <c r="F18" s="111"/>
      <c r="G18" s="111"/>
      <c r="H18" s="111"/>
      <c r="I18" s="111"/>
      <c r="J18" s="111"/>
      <c r="K18" s="111"/>
      <c r="L18" s="111"/>
      <c r="M18" s="111"/>
      <c r="N18" s="111"/>
      <c r="O18" s="111"/>
    </row>
    <row r="19" spans="1:15" x14ac:dyDescent="0.25">
      <c r="A19" s="87" t="s">
        <v>309</v>
      </c>
      <c r="B19" s="122">
        <v>45200</v>
      </c>
      <c r="C19" s="111"/>
      <c r="D19" s="111"/>
      <c r="E19" s="111"/>
      <c r="F19" s="111"/>
      <c r="G19" s="111"/>
      <c r="H19" s="111"/>
      <c r="I19" s="111"/>
      <c r="J19" s="111"/>
      <c r="K19" s="111"/>
      <c r="L19" s="111"/>
      <c r="M19" s="111"/>
      <c r="N19" s="111"/>
      <c r="O19" s="111"/>
    </row>
    <row r="20" spans="1:15" x14ac:dyDescent="0.25">
      <c r="A20" s="87" t="s">
        <v>310</v>
      </c>
      <c r="B20" s="111" t="s">
        <v>324</v>
      </c>
      <c r="C20" s="111"/>
      <c r="D20" s="111"/>
      <c r="E20" s="111"/>
      <c r="F20" s="111"/>
      <c r="G20" s="111"/>
      <c r="H20" s="111"/>
      <c r="I20" s="111"/>
      <c r="J20" s="111"/>
      <c r="K20" s="111"/>
      <c r="L20" s="111"/>
      <c r="M20" s="111"/>
      <c r="N20" s="111"/>
      <c r="O20" s="111"/>
    </row>
    <row r="21" spans="1:15" x14ac:dyDescent="0.25">
      <c r="A21" s="87" t="s">
        <v>311</v>
      </c>
      <c r="B21" s="111" t="s">
        <v>325</v>
      </c>
      <c r="C21" s="111"/>
      <c r="D21" s="111"/>
      <c r="E21" s="111"/>
      <c r="F21" s="111"/>
      <c r="G21" s="111"/>
      <c r="H21" s="111"/>
      <c r="I21" s="111"/>
      <c r="J21" s="111"/>
      <c r="K21" s="111"/>
      <c r="L21" s="111"/>
      <c r="M21" s="111"/>
      <c r="N21" s="111"/>
      <c r="O21" s="111"/>
    </row>
    <row r="23" spans="1:15" x14ac:dyDescent="0.25">
      <c r="B23" s="104" t="str">
        <f>HYPERLINK("#'Factor List'!A1","Back to Factor List")</f>
        <v>Back to Factor List</v>
      </c>
    </row>
    <row r="24" spans="1:15" x14ac:dyDescent="0.25">
      <c r="B24" s="104" t="s">
        <v>13</v>
      </c>
    </row>
    <row r="26" spans="1:15" ht="13" x14ac:dyDescent="0.25">
      <c r="A26" s="108" t="s">
        <v>839</v>
      </c>
      <c r="B26" s="108">
        <v>54</v>
      </c>
      <c r="C26" s="108">
        <v>55</v>
      </c>
      <c r="D26" s="108">
        <v>56</v>
      </c>
      <c r="E26" s="108">
        <v>57</v>
      </c>
      <c r="F26" s="108">
        <v>58</v>
      </c>
      <c r="G26" s="108">
        <v>59</v>
      </c>
      <c r="H26" s="108">
        <v>60</v>
      </c>
      <c r="I26" s="108">
        <v>61</v>
      </c>
      <c r="J26" s="108">
        <v>62</v>
      </c>
      <c r="K26" s="108">
        <v>63</v>
      </c>
      <c r="L26" s="108">
        <v>64</v>
      </c>
      <c r="M26" s="108">
        <v>65</v>
      </c>
      <c r="N26" s="108">
        <v>66</v>
      </c>
      <c r="O26" s="108">
        <v>67</v>
      </c>
    </row>
    <row r="27" spans="1:15" x14ac:dyDescent="0.25">
      <c r="A27" s="109">
        <v>0</v>
      </c>
      <c r="B27" s="126">
        <v>0.53900000000000003</v>
      </c>
      <c r="C27" s="126">
        <v>0.56100000000000005</v>
      </c>
      <c r="D27" s="126">
        <v>0.58399999999999996</v>
      </c>
      <c r="E27" s="126">
        <v>0.60899999999999999</v>
      </c>
      <c r="F27" s="126">
        <v>0.63500000000000001</v>
      </c>
      <c r="G27" s="126">
        <v>0.66400000000000003</v>
      </c>
      <c r="H27" s="126">
        <v>0.69499999999999995</v>
      </c>
      <c r="I27" s="126">
        <v>0.72899999999999998</v>
      </c>
      <c r="J27" s="126">
        <v>0.76500000000000001</v>
      </c>
      <c r="K27" s="126">
        <v>0.80400000000000005</v>
      </c>
      <c r="L27" s="126">
        <v>0.84699999999999998</v>
      </c>
      <c r="M27" s="126">
        <v>0.89400000000000002</v>
      </c>
      <c r="N27" s="126">
        <v>0.94599999999999995</v>
      </c>
      <c r="O27" s="126">
        <v>1</v>
      </c>
    </row>
    <row r="28" spans="1:15" x14ac:dyDescent="0.25">
      <c r="A28" s="109">
        <v>1</v>
      </c>
      <c r="B28" s="126">
        <v>0.54100000000000004</v>
      </c>
      <c r="C28" s="126">
        <v>0.56299999999999994</v>
      </c>
      <c r="D28" s="126">
        <v>0.58599999999999997</v>
      </c>
      <c r="E28" s="126">
        <v>0.61099999999999999</v>
      </c>
      <c r="F28" s="126">
        <v>0.63800000000000001</v>
      </c>
      <c r="G28" s="126">
        <v>0.66700000000000004</v>
      </c>
      <c r="H28" s="126">
        <v>0.69799999999999995</v>
      </c>
      <c r="I28" s="126">
        <v>0.73199999999999998</v>
      </c>
      <c r="J28" s="126">
        <v>0.76800000000000002</v>
      </c>
      <c r="K28" s="126">
        <v>0.80800000000000005</v>
      </c>
      <c r="L28" s="126">
        <v>0.85099999999999998</v>
      </c>
      <c r="M28" s="126">
        <v>0.89900000000000002</v>
      </c>
      <c r="N28" s="126">
        <v>0.95099999999999996</v>
      </c>
      <c r="O28" s="126"/>
    </row>
    <row r="29" spans="1:15" x14ac:dyDescent="0.25">
      <c r="A29" s="109">
        <v>2</v>
      </c>
      <c r="B29" s="126">
        <v>0.54300000000000004</v>
      </c>
      <c r="C29" s="126">
        <v>0.56399999999999995</v>
      </c>
      <c r="D29" s="126">
        <v>0.58799999999999997</v>
      </c>
      <c r="E29" s="126">
        <v>0.61299999999999999</v>
      </c>
      <c r="F29" s="126">
        <v>0.64</v>
      </c>
      <c r="G29" s="126">
        <v>0.66900000000000004</v>
      </c>
      <c r="H29" s="126">
        <v>0.70099999999999996</v>
      </c>
      <c r="I29" s="126">
        <v>0.73499999999999999</v>
      </c>
      <c r="J29" s="126">
        <v>0.77100000000000002</v>
      </c>
      <c r="K29" s="126">
        <v>0.81100000000000005</v>
      </c>
      <c r="L29" s="126">
        <v>0.85499999999999998</v>
      </c>
      <c r="M29" s="126">
        <v>0.90300000000000002</v>
      </c>
      <c r="N29" s="126">
        <v>0.95499999999999996</v>
      </c>
      <c r="O29" s="126"/>
    </row>
    <row r="30" spans="1:15" x14ac:dyDescent="0.25">
      <c r="A30" s="109">
        <v>3</v>
      </c>
      <c r="B30" s="126">
        <v>0.54400000000000004</v>
      </c>
      <c r="C30" s="126">
        <v>0.56599999999999995</v>
      </c>
      <c r="D30" s="126">
        <v>0.59</v>
      </c>
      <c r="E30" s="126">
        <v>0.61499999999999999</v>
      </c>
      <c r="F30" s="126">
        <v>0.64200000000000002</v>
      </c>
      <c r="G30" s="126">
        <v>0.67200000000000004</v>
      </c>
      <c r="H30" s="126">
        <v>0.70299999999999996</v>
      </c>
      <c r="I30" s="126">
        <v>0.73799999999999999</v>
      </c>
      <c r="J30" s="126">
        <v>0.77500000000000002</v>
      </c>
      <c r="K30" s="126">
        <v>0.81499999999999995</v>
      </c>
      <c r="L30" s="126">
        <v>0.85899999999999999</v>
      </c>
      <c r="M30" s="126">
        <v>0.90700000000000003</v>
      </c>
      <c r="N30" s="126">
        <v>0.96</v>
      </c>
      <c r="O30" s="126"/>
    </row>
    <row r="31" spans="1:15" x14ac:dyDescent="0.25">
      <c r="A31" s="109">
        <v>4</v>
      </c>
      <c r="B31" s="126">
        <v>0.54600000000000004</v>
      </c>
      <c r="C31" s="126">
        <v>0.56799999999999995</v>
      </c>
      <c r="D31" s="126">
        <v>0.59199999999999997</v>
      </c>
      <c r="E31" s="126">
        <v>0.61799999999999999</v>
      </c>
      <c r="F31" s="126">
        <v>0.64500000000000002</v>
      </c>
      <c r="G31" s="126">
        <v>0.67400000000000004</v>
      </c>
      <c r="H31" s="126">
        <v>0.70599999999999996</v>
      </c>
      <c r="I31" s="126">
        <v>0.74099999999999999</v>
      </c>
      <c r="J31" s="126">
        <v>0.77800000000000002</v>
      </c>
      <c r="K31" s="126">
        <v>0.81899999999999995</v>
      </c>
      <c r="L31" s="126">
        <v>0.86299999999999999</v>
      </c>
      <c r="M31" s="126">
        <v>0.91100000000000003</v>
      </c>
      <c r="N31" s="126">
        <v>0.96499999999999997</v>
      </c>
      <c r="O31" s="126"/>
    </row>
    <row r="32" spans="1:15" x14ac:dyDescent="0.25">
      <c r="A32" s="109">
        <v>5</v>
      </c>
      <c r="B32" s="126">
        <v>0.54800000000000004</v>
      </c>
      <c r="C32" s="126">
        <v>0.56999999999999995</v>
      </c>
      <c r="D32" s="126">
        <v>0.59399999999999997</v>
      </c>
      <c r="E32" s="126">
        <v>0.62</v>
      </c>
      <c r="F32" s="126">
        <v>0.64700000000000002</v>
      </c>
      <c r="G32" s="126">
        <v>0.67700000000000005</v>
      </c>
      <c r="H32" s="126">
        <v>0.70899999999999996</v>
      </c>
      <c r="I32" s="126">
        <v>0.74399999999999999</v>
      </c>
      <c r="J32" s="126">
        <v>0.78100000000000003</v>
      </c>
      <c r="K32" s="126">
        <v>0.82199999999999995</v>
      </c>
      <c r="L32" s="126">
        <v>0.86699999999999999</v>
      </c>
      <c r="M32" s="126">
        <v>0.91600000000000004</v>
      </c>
      <c r="N32" s="126">
        <v>0.96899999999999997</v>
      </c>
      <c r="O32" s="126"/>
    </row>
    <row r="33" spans="1:15" x14ac:dyDescent="0.25">
      <c r="A33" s="109">
        <v>6</v>
      </c>
      <c r="B33" s="126">
        <v>0.55000000000000004</v>
      </c>
      <c r="C33" s="126">
        <v>0.57199999999999995</v>
      </c>
      <c r="D33" s="126">
        <v>0.59599999999999997</v>
      </c>
      <c r="E33" s="126">
        <v>0.622</v>
      </c>
      <c r="F33" s="126">
        <v>0.65</v>
      </c>
      <c r="G33" s="126">
        <v>0.67900000000000005</v>
      </c>
      <c r="H33" s="126">
        <v>0.71199999999999997</v>
      </c>
      <c r="I33" s="126">
        <v>0.747</v>
      </c>
      <c r="J33" s="126">
        <v>0.78400000000000003</v>
      </c>
      <c r="K33" s="126">
        <v>0.82599999999999996</v>
      </c>
      <c r="L33" s="126">
        <v>0.871</v>
      </c>
      <c r="M33" s="126">
        <v>0.92</v>
      </c>
      <c r="N33" s="126">
        <v>0.97399999999999998</v>
      </c>
      <c r="O33" s="126"/>
    </row>
    <row r="34" spans="1:15" x14ac:dyDescent="0.25">
      <c r="A34" s="109">
        <v>7</v>
      </c>
      <c r="B34" s="126">
        <v>0.55200000000000005</v>
      </c>
      <c r="C34" s="126">
        <v>0.57399999999999995</v>
      </c>
      <c r="D34" s="126">
        <v>0.59799999999999998</v>
      </c>
      <c r="E34" s="126">
        <v>0.624</v>
      </c>
      <c r="F34" s="126">
        <v>0.65200000000000002</v>
      </c>
      <c r="G34" s="126">
        <v>0.68200000000000005</v>
      </c>
      <c r="H34" s="126">
        <v>0.71499999999999997</v>
      </c>
      <c r="I34" s="126">
        <v>0.75</v>
      </c>
      <c r="J34" s="126">
        <v>0.78800000000000003</v>
      </c>
      <c r="K34" s="126">
        <v>0.82899999999999996</v>
      </c>
      <c r="L34" s="126">
        <v>0.875</v>
      </c>
      <c r="M34" s="126">
        <v>0.92400000000000004</v>
      </c>
      <c r="N34" s="126">
        <v>0.97899999999999998</v>
      </c>
      <c r="O34" s="126"/>
    </row>
    <row r="35" spans="1:15" x14ac:dyDescent="0.25">
      <c r="A35" s="109">
        <v>8</v>
      </c>
      <c r="B35" s="126">
        <v>0.55300000000000005</v>
      </c>
      <c r="C35" s="126">
        <v>0.57599999999999996</v>
      </c>
      <c r="D35" s="126">
        <v>0.6</v>
      </c>
      <c r="E35" s="126">
        <v>0.626</v>
      </c>
      <c r="F35" s="126">
        <v>0.65400000000000003</v>
      </c>
      <c r="G35" s="126">
        <v>0.68500000000000005</v>
      </c>
      <c r="H35" s="126">
        <v>0.71699999999999997</v>
      </c>
      <c r="I35" s="126">
        <v>0.753</v>
      </c>
      <c r="J35" s="126">
        <v>0.79100000000000004</v>
      </c>
      <c r="K35" s="126">
        <v>0.83299999999999996</v>
      </c>
      <c r="L35" s="126">
        <v>0.879</v>
      </c>
      <c r="M35" s="126">
        <v>0.92900000000000005</v>
      </c>
      <c r="N35" s="126">
        <v>0.98399999999999999</v>
      </c>
      <c r="O35" s="126"/>
    </row>
    <row r="36" spans="1:15" x14ac:dyDescent="0.25">
      <c r="A36" s="109">
        <v>9</v>
      </c>
      <c r="B36" s="126">
        <v>0.55500000000000005</v>
      </c>
      <c r="C36" s="126">
        <v>0.57799999999999996</v>
      </c>
      <c r="D36" s="126">
        <v>0.60199999999999998</v>
      </c>
      <c r="E36" s="126">
        <v>0.629</v>
      </c>
      <c r="F36" s="126">
        <v>0.65700000000000003</v>
      </c>
      <c r="G36" s="126">
        <v>0.68700000000000006</v>
      </c>
      <c r="H36" s="126">
        <v>0.72</v>
      </c>
      <c r="I36" s="126">
        <v>0.75600000000000001</v>
      </c>
      <c r="J36" s="126">
        <v>0.79400000000000004</v>
      </c>
      <c r="K36" s="126">
        <v>0.83599999999999997</v>
      </c>
      <c r="L36" s="126">
        <v>0.88200000000000001</v>
      </c>
      <c r="M36" s="126">
        <v>0.93300000000000005</v>
      </c>
      <c r="N36" s="126">
        <v>0.98799999999999999</v>
      </c>
      <c r="O36" s="126"/>
    </row>
    <row r="37" spans="1:15" x14ac:dyDescent="0.25">
      <c r="A37" s="109">
        <v>10</v>
      </c>
      <c r="B37" s="126">
        <v>0.55700000000000005</v>
      </c>
      <c r="C37" s="126">
        <v>0.57999999999999996</v>
      </c>
      <c r="D37" s="126">
        <v>0.60399999999999998</v>
      </c>
      <c r="E37" s="126">
        <v>0.63100000000000001</v>
      </c>
      <c r="F37" s="126">
        <v>0.65900000000000003</v>
      </c>
      <c r="G37" s="126">
        <v>0.69</v>
      </c>
      <c r="H37" s="126">
        <v>0.72299999999999998</v>
      </c>
      <c r="I37" s="126">
        <v>0.75900000000000001</v>
      </c>
      <c r="J37" s="126">
        <v>0.79800000000000004</v>
      </c>
      <c r="K37" s="126">
        <v>0.84</v>
      </c>
      <c r="L37" s="126">
        <v>0.88600000000000001</v>
      </c>
      <c r="M37" s="126">
        <v>0.93700000000000006</v>
      </c>
      <c r="N37" s="126">
        <v>0.99299999999999999</v>
      </c>
      <c r="O37" s="126"/>
    </row>
    <row r="38" spans="1:15" x14ac:dyDescent="0.25">
      <c r="A38" s="109">
        <v>11</v>
      </c>
      <c r="B38" s="126">
        <v>0.55900000000000005</v>
      </c>
      <c r="C38" s="126">
        <v>0.58199999999999996</v>
      </c>
      <c r="D38" s="126">
        <v>0.60699999999999998</v>
      </c>
      <c r="E38" s="126">
        <v>0.63300000000000001</v>
      </c>
      <c r="F38" s="126">
        <v>0.66200000000000003</v>
      </c>
      <c r="G38" s="126">
        <v>0.69199999999999995</v>
      </c>
      <c r="H38" s="126">
        <v>0.72599999999999998</v>
      </c>
      <c r="I38" s="126">
        <v>0.76200000000000001</v>
      </c>
      <c r="J38" s="126">
        <v>0.80100000000000005</v>
      </c>
      <c r="K38" s="126">
        <v>0.84399999999999997</v>
      </c>
      <c r="L38" s="126">
        <v>0.89</v>
      </c>
      <c r="M38" s="126">
        <v>0.94099999999999995</v>
      </c>
      <c r="N38" s="126">
        <v>0.998</v>
      </c>
      <c r="O38" s="126"/>
    </row>
    <row r="39" spans="1:15" x14ac:dyDescent="0.25">
      <c r="A39"/>
      <c r="B39"/>
    </row>
    <row r="40" spans="1:15" x14ac:dyDescent="0.25">
      <c r="A40"/>
      <c r="B40"/>
    </row>
    <row r="41" spans="1:15" x14ac:dyDescent="0.25">
      <c r="A41"/>
      <c r="B41"/>
    </row>
    <row r="42" spans="1:15" x14ac:dyDescent="0.25">
      <c r="A42"/>
      <c r="B42"/>
    </row>
    <row r="43" spans="1:15" x14ac:dyDescent="0.25">
      <c r="A43"/>
      <c r="B43"/>
    </row>
    <row r="44" spans="1:15" ht="39.65" customHeight="1" x14ac:dyDescent="0.25">
      <c r="A44"/>
      <c r="B44"/>
    </row>
    <row r="45" spans="1:15" x14ac:dyDescent="0.25">
      <c r="A45"/>
      <c r="B45"/>
    </row>
    <row r="46" spans="1:15" ht="27.65" customHeight="1" x14ac:dyDescent="0.25">
      <c r="A46"/>
      <c r="B46"/>
    </row>
    <row r="47" spans="1:15" x14ac:dyDescent="0.25">
      <c r="A47"/>
      <c r="B47"/>
    </row>
    <row r="48" spans="1: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867" priority="3" stopIfTrue="1">
      <formula>MOD(ROW(),2)=0</formula>
    </cfRule>
    <cfRule type="expression" dxfId="866" priority="4" stopIfTrue="1">
      <formula>MOD(ROW(),2)&lt;&gt;0</formula>
    </cfRule>
  </conditionalFormatting>
  <conditionalFormatting sqref="A26:A38">
    <cfRule type="expression" dxfId="865" priority="7" stopIfTrue="1">
      <formula>MOD(ROW(),2)=0</formula>
    </cfRule>
    <cfRule type="expression" dxfId="864" priority="8" stopIfTrue="1">
      <formula>MOD(ROW(),2)&lt;&gt;0</formula>
    </cfRule>
  </conditionalFormatting>
  <conditionalFormatting sqref="B18:B21">
    <cfRule type="expression" dxfId="863" priority="1" stopIfTrue="1">
      <formula>MOD(ROW(),2)=0</formula>
    </cfRule>
    <cfRule type="expression" dxfId="862" priority="2" stopIfTrue="1">
      <formula>MOD(ROW(),2)&lt;&gt;0</formula>
    </cfRule>
  </conditionalFormatting>
  <conditionalFormatting sqref="B6:O21">
    <cfRule type="expression" dxfId="861" priority="21" stopIfTrue="1">
      <formula>MOD(ROW(),2)=0</formula>
    </cfRule>
    <cfRule type="expression" dxfId="860" priority="22" stopIfTrue="1">
      <formula>MOD(ROW(),2)&lt;&gt;0</formula>
    </cfRule>
  </conditionalFormatting>
  <conditionalFormatting sqref="B26:O38">
    <cfRule type="expression" dxfId="859" priority="9" stopIfTrue="1">
      <formula>MOD(ROW(),2)=0</formula>
    </cfRule>
    <cfRule type="expression" dxfId="858" priority="10" stopIfTrue="1">
      <formula>MOD(ROW(),2)&lt;&gt;0</formula>
    </cfRule>
  </conditionalFormatting>
  <hyperlinks>
    <hyperlink ref="B24" location="Assumptions!A1" display="Assumptions" xr:uid="{8A5187F3-A4B8-4901-B818-62EED5F43E2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7"/>
  <dimension ref="A1:P65"/>
  <sheetViews>
    <sheetView workbookViewId="0"/>
  </sheetViews>
  <sheetFormatPr defaultColWidth="10" defaultRowHeight="12.5" x14ac:dyDescent="0.25"/>
  <cols>
    <col min="1" max="1" width="31.54296875" style="28" customWidth="1"/>
    <col min="2" max="16" width="22.54296875" style="28" customWidth="1"/>
    <col min="17" max="16384" width="10" style="28"/>
  </cols>
  <sheetData>
    <row r="1" spans="1:16" ht="20" x14ac:dyDescent="0.4">
      <c r="A1" s="53" t="s">
        <v>0</v>
      </c>
      <c r="B1" s="54"/>
      <c r="C1" s="54"/>
      <c r="D1" s="54"/>
      <c r="E1" s="54"/>
      <c r="F1" s="54"/>
      <c r="G1" s="54"/>
      <c r="H1" s="54"/>
      <c r="I1" s="54"/>
    </row>
    <row r="2" spans="1:16"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6" ht="15.5" x14ac:dyDescent="0.35">
      <c r="A3" s="57" t="str">
        <f>TABLE_FACTOR_TYPE_1&amp;" - x-"&amp;TABLE_SERIES_NUMBER_1</f>
        <v>ERF - x-404</v>
      </c>
      <c r="B3" s="56"/>
      <c r="C3" s="56"/>
      <c r="D3" s="56"/>
      <c r="E3" s="56"/>
      <c r="F3" s="56"/>
      <c r="G3" s="56"/>
      <c r="H3" s="56"/>
      <c r="I3" s="56"/>
    </row>
    <row r="4" spans="1:16" x14ac:dyDescent="0.25">
      <c r="A4" s="58"/>
    </row>
    <row r="6" spans="1:16" ht="13" x14ac:dyDescent="0.3">
      <c r="A6" s="86" t="s">
        <v>716</v>
      </c>
      <c r="B6" s="111" t="s">
        <v>717</v>
      </c>
      <c r="C6" s="111"/>
      <c r="D6" s="111"/>
      <c r="E6" s="111"/>
      <c r="F6" s="111"/>
      <c r="G6" s="111"/>
      <c r="H6" s="111"/>
      <c r="I6" s="111"/>
      <c r="J6" s="111"/>
      <c r="K6" s="111"/>
      <c r="L6" s="111"/>
      <c r="M6" s="111"/>
      <c r="N6" s="111"/>
      <c r="O6" s="111"/>
      <c r="P6" s="111"/>
    </row>
    <row r="7" spans="1:16" x14ac:dyDescent="0.25">
      <c r="A7" s="87" t="s">
        <v>797</v>
      </c>
      <c r="B7" s="111" t="s">
        <v>316</v>
      </c>
      <c r="C7" s="111"/>
      <c r="D7" s="111"/>
      <c r="E7" s="111"/>
      <c r="F7" s="111"/>
      <c r="G7" s="111"/>
      <c r="H7" s="111"/>
      <c r="I7" s="111"/>
      <c r="J7" s="111"/>
      <c r="K7" s="111"/>
      <c r="L7" s="111"/>
      <c r="M7" s="111"/>
      <c r="N7" s="111"/>
      <c r="O7" s="111"/>
      <c r="P7" s="111"/>
    </row>
    <row r="8" spans="1:16" x14ac:dyDescent="0.25">
      <c r="A8" s="87" t="s">
        <v>798</v>
      </c>
      <c r="B8" s="111" t="s">
        <v>92</v>
      </c>
      <c r="C8" s="111"/>
      <c r="D8" s="111"/>
      <c r="E8" s="111"/>
      <c r="F8" s="111"/>
      <c r="G8" s="111"/>
      <c r="H8" s="111"/>
      <c r="I8" s="111"/>
      <c r="J8" s="111"/>
      <c r="K8" s="111"/>
      <c r="L8" s="111"/>
      <c r="M8" s="111"/>
      <c r="N8" s="111"/>
      <c r="O8" s="111"/>
      <c r="P8" s="111"/>
    </row>
    <row r="9" spans="1:16" x14ac:dyDescent="0.25">
      <c r="A9" s="87" t="s">
        <v>300</v>
      </c>
      <c r="B9" s="111" t="s">
        <v>426</v>
      </c>
      <c r="C9" s="111"/>
      <c r="D9" s="111"/>
      <c r="E9" s="111"/>
      <c r="F9" s="111"/>
      <c r="G9" s="111"/>
      <c r="H9" s="111"/>
      <c r="I9" s="111"/>
      <c r="J9" s="111"/>
      <c r="K9" s="111"/>
      <c r="L9" s="111"/>
      <c r="M9" s="111"/>
      <c r="N9" s="111"/>
      <c r="O9" s="111"/>
      <c r="P9" s="111"/>
    </row>
    <row r="10" spans="1:16" x14ac:dyDescent="0.25">
      <c r="A10" s="87" t="s">
        <v>6</v>
      </c>
      <c r="B10" s="111" t="s">
        <v>440</v>
      </c>
      <c r="C10" s="111"/>
      <c r="D10" s="111"/>
      <c r="E10" s="111"/>
      <c r="F10" s="111"/>
      <c r="G10" s="111"/>
      <c r="H10" s="111"/>
      <c r="I10" s="111"/>
      <c r="J10" s="111"/>
      <c r="K10" s="111"/>
      <c r="L10" s="111"/>
      <c r="M10" s="111"/>
      <c r="N10" s="111"/>
      <c r="O10" s="111"/>
      <c r="P10" s="111"/>
    </row>
    <row r="11" spans="1:16" x14ac:dyDescent="0.25">
      <c r="A11" s="87" t="s">
        <v>301</v>
      </c>
      <c r="B11" s="111" t="s">
        <v>319</v>
      </c>
      <c r="C11" s="111"/>
      <c r="D11" s="111"/>
      <c r="E11" s="111"/>
      <c r="F11" s="111"/>
      <c r="G11" s="111"/>
      <c r="H11" s="111"/>
      <c r="I11" s="111"/>
      <c r="J11" s="111"/>
      <c r="K11" s="111"/>
      <c r="L11" s="111"/>
      <c r="M11" s="111"/>
      <c r="N11" s="111"/>
      <c r="O11" s="111"/>
      <c r="P11" s="111"/>
    </row>
    <row r="12" spans="1:16" x14ac:dyDescent="0.25">
      <c r="A12" s="87" t="s">
        <v>302</v>
      </c>
      <c r="B12" s="111" t="s">
        <v>428</v>
      </c>
      <c r="C12" s="111"/>
      <c r="D12" s="111"/>
      <c r="E12" s="111"/>
      <c r="F12" s="111"/>
      <c r="G12" s="111"/>
      <c r="H12" s="111"/>
      <c r="I12" s="111"/>
      <c r="J12" s="111"/>
      <c r="K12" s="111"/>
      <c r="L12" s="111"/>
      <c r="M12" s="111"/>
      <c r="N12" s="111"/>
      <c r="O12" s="111"/>
      <c r="P12" s="111"/>
    </row>
    <row r="13" spans="1:16" x14ac:dyDescent="0.25">
      <c r="A13" s="87" t="s">
        <v>813</v>
      </c>
      <c r="B13" s="111">
        <v>0</v>
      </c>
      <c r="C13" s="111"/>
      <c r="D13" s="111"/>
      <c r="E13" s="111"/>
      <c r="F13" s="111"/>
      <c r="G13" s="111"/>
      <c r="H13" s="111"/>
      <c r="I13" s="111"/>
      <c r="J13" s="111"/>
      <c r="K13" s="111"/>
      <c r="L13" s="111"/>
      <c r="M13" s="111"/>
      <c r="N13" s="111"/>
      <c r="O13" s="111"/>
      <c r="P13" s="111"/>
    </row>
    <row r="14" spans="1:16" x14ac:dyDescent="0.25">
      <c r="A14" s="87" t="s">
        <v>304</v>
      </c>
      <c r="B14" s="111">
        <v>404</v>
      </c>
      <c r="C14" s="111"/>
      <c r="D14" s="111"/>
      <c r="E14" s="111"/>
      <c r="F14" s="111"/>
      <c r="G14" s="111"/>
      <c r="H14" s="111"/>
      <c r="I14" s="111"/>
      <c r="J14" s="111"/>
      <c r="K14" s="111"/>
      <c r="L14" s="111"/>
      <c r="M14" s="111"/>
      <c r="N14" s="111"/>
      <c r="O14" s="111"/>
      <c r="P14" s="111"/>
    </row>
    <row r="15" spans="1:16" x14ac:dyDescent="0.25">
      <c r="A15" s="87" t="s">
        <v>727</v>
      </c>
      <c r="B15" s="111" t="s">
        <v>441</v>
      </c>
      <c r="C15" s="111"/>
      <c r="D15" s="111"/>
      <c r="E15" s="111"/>
      <c r="F15" s="111"/>
      <c r="G15" s="111"/>
      <c r="H15" s="111"/>
      <c r="I15" s="111"/>
      <c r="J15" s="111"/>
      <c r="K15" s="111"/>
      <c r="L15" s="111"/>
      <c r="M15" s="111"/>
      <c r="N15" s="111"/>
      <c r="O15" s="111"/>
      <c r="P15" s="111"/>
    </row>
    <row r="16" spans="1:16" x14ac:dyDescent="0.25">
      <c r="A16" s="87" t="s">
        <v>306</v>
      </c>
      <c r="B16" s="111" t="s">
        <v>442</v>
      </c>
      <c r="C16" s="111"/>
      <c r="D16" s="111"/>
      <c r="E16" s="111"/>
      <c r="F16" s="111"/>
      <c r="G16" s="111"/>
      <c r="H16" s="111"/>
      <c r="I16" s="111"/>
      <c r="J16" s="111"/>
      <c r="K16" s="111"/>
      <c r="L16" s="111"/>
      <c r="M16" s="111"/>
      <c r="N16" s="111"/>
      <c r="O16" s="111"/>
      <c r="P16" s="111"/>
    </row>
    <row r="17" spans="1:16" x14ac:dyDescent="0.25">
      <c r="A17" s="87" t="s">
        <v>800</v>
      </c>
      <c r="B17" s="111"/>
      <c r="C17" s="111"/>
      <c r="D17" s="111"/>
      <c r="E17" s="111"/>
      <c r="F17" s="111"/>
      <c r="G17" s="111"/>
      <c r="H17" s="111"/>
      <c r="I17" s="111"/>
      <c r="J17" s="111"/>
      <c r="K17" s="111"/>
      <c r="L17" s="111"/>
      <c r="M17" s="111"/>
      <c r="N17" s="111"/>
      <c r="O17" s="111"/>
      <c r="P17" s="111"/>
    </row>
    <row r="18" spans="1:16" x14ac:dyDescent="0.25">
      <c r="A18" s="87" t="s">
        <v>308</v>
      </c>
      <c r="B18" s="122">
        <v>45106</v>
      </c>
      <c r="C18" s="111"/>
      <c r="D18" s="111"/>
      <c r="E18" s="111"/>
      <c r="F18" s="111"/>
      <c r="G18" s="111"/>
      <c r="H18" s="111"/>
      <c r="I18" s="111"/>
      <c r="J18" s="111"/>
      <c r="K18" s="111"/>
      <c r="L18" s="111"/>
      <c r="M18" s="111"/>
      <c r="N18" s="111"/>
      <c r="O18" s="111"/>
      <c r="P18" s="111"/>
    </row>
    <row r="19" spans="1:16" x14ac:dyDescent="0.25">
      <c r="A19" s="87" t="s">
        <v>309</v>
      </c>
      <c r="B19" s="122">
        <v>45200</v>
      </c>
      <c r="C19" s="111"/>
      <c r="D19" s="111"/>
      <c r="E19" s="111"/>
      <c r="F19" s="111"/>
      <c r="G19" s="111"/>
      <c r="H19" s="111"/>
      <c r="I19" s="111"/>
      <c r="J19" s="111"/>
      <c r="K19" s="111"/>
      <c r="L19" s="111"/>
      <c r="M19" s="111"/>
      <c r="N19" s="111"/>
      <c r="O19" s="111"/>
      <c r="P19" s="111"/>
    </row>
    <row r="20" spans="1:16" x14ac:dyDescent="0.25">
      <c r="A20" s="87" t="s">
        <v>310</v>
      </c>
      <c r="B20" s="111" t="s">
        <v>324</v>
      </c>
      <c r="C20" s="111"/>
      <c r="D20" s="111"/>
      <c r="E20" s="111"/>
      <c r="F20" s="111"/>
      <c r="G20" s="111"/>
      <c r="H20" s="111"/>
      <c r="I20" s="111"/>
      <c r="J20" s="111"/>
      <c r="K20" s="111"/>
      <c r="L20" s="111"/>
      <c r="M20" s="111"/>
      <c r="N20" s="111"/>
      <c r="O20" s="111"/>
      <c r="P20" s="111"/>
    </row>
    <row r="21" spans="1:16" x14ac:dyDescent="0.25">
      <c r="A21" s="87" t="s">
        <v>311</v>
      </c>
      <c r="B21" s="111" t="s">
        <v>325</v>
      </c>
      <c r="C21" s="111"/>
      <c r="D21" s="111"/>
      <c r="E21" s="111"/>
      <c r="F21" s="111"/>
      <c r="G21" s="111"/>
      <c r="H21" s="111"/>
      <c r="I21" s="111"/>
      <c r="J21" s="111"/>
      <c r="K21" s="111"/>
      <c r="L21" s="111"/>
      <c r="M21" s="111"/>
      <c r="N21" s="111"/>
      <c r="O21" s="111"/>
      <c r="P21" s="111"/>
    </row>
    <row r="23" spans="1:16" x14ac:dyDescent="0.25">
      <c r="B23" s="104" t="str">
        <f>HYPERLINK("#'Factor List'!A1","Back to Factor List")</f>
        <v>Back to Factor List</v>
      </c>
    </row>
    <row r="24" spans="1:16" x14ac:dyDescent="0.25">
      <c r="B24" s="104" t="s">
        <v>13</v>
      </c>
    </row>
    <row r="26" spans="1:16" ht="13" x14ac:dyDescent="0.25">
      <c r="A26" s="108" t="s">
        <v>839</v>
      </c>
      <c r="B26" s="108">
        <v>54</v>
      </c>
      <c r="C26" s="108">
        <v>55</v>
      </c>
      <c r="D26" s="108">
        <v>56</v>
      </c>
      <c r="E26" s="108">
        <v>57</v>
      </c>
      <c r="F26" s="108">
        <v>58</v>
      </c>
      <c r="G26" s="108">
        <v>59</v>
      </c>
      <c r="H26" s="108">
        <v>60</v>
      </c>
      <c r="I26" s="108">
        <v>61</v>
      </c>
      <c r="J26" s="108">
        <v>62</v>
      </c>
      <c r="K26" s="108">
        <v>63</v>
      </c>
      <c r="L26" s="108">
        <v>64</v>
      </c>
      <c r="M26" s="108">
        <v>65</v>
      </c>
      <c r="N26" s="108">
        <v>66</v>
      </c>
      <c r="O26" s="108">
        <v>67</v>
      </c>
      <c r="P26" s="108">
        <v>68</v>
      </c>
    </row>
    <row r="27" spans="1:16" x14ac:dyDescent="0.25">
      <c r="A27" s="109">
        <v>0</v>
      </c>
      <c r="B27" s="126">
        <v>0.50900000000000001</v>
      </c>
      <c r="C27" s="126">
        <v>0.52900000000000003</v>
      </c>
      <c r="D27" s="126">
        <v>0.55100000000000005</v>
      </c>
      <c r="E27" s="126">
        <v>0.57399999999999995</v>
      </c>
      <c r="F27" s="126">
        <v>0.59899999999999998</v>
      </c>
      <c r="G27" s="126">
        <v>0.626</v>
      </c>
      <c r="H27" s="126">
        <v>0.65500000000000003</v>
      </c>
      <c r="I27" s="126">
        <v>0.68700000000000006</v>
      </c>
      <c r="J27" s="126">
        <v>0.72099999999999997</v>
      </c>
      <c r="K27" s="126">
        <v>0.75800000000000001</v>
      </c>
      <c r="L27" s="126">
        <v>0.79800000000000004</v>
      </c>
      <c r="M27" s="126">
        <v>0.84199999999999997</v>
      </c>
      <c r="N27" s="126">
        <v>0.89100000000000001</v>
      </c>
      <c r="O27" s="126">
        <v>0.94399999999999995</v>
      </c>
      <c r="P27" s="126">
        <v>1</v>
      </c>
    </row>
    <row r="28" spans="1:16" x14ac:dyDescent="0.25">
      <c r="A28" s="109">
        <v>1</v>
      </c>
      <c r="B28" s="126">
        <v>0.51100000000000001</v>
      </c>
      <c r="C28" s="126">
        <v>0.53100000000000003</v>
      </c>
      <c r="D28" s="126">
        <v>0.55300000000000005</v>
      </c>
      <c r="E28" s="126">
        <v>0.57599999999999996</v>
      </c>
      <c r="F28" s="126">
        <v>0.60099999999999998</v>
      </c>
      <c r="G28" s="126">
        <v>0.629</v>
      </c>
      <c r="H28" s="126">
        <v>0.65800000000000003</v>
      </c>
      <c r="I28" s="126">
        <v>0.69</v>
      </c>
      <c r="J28" s="126">
        <v>0.72399999999999998</v>
      </c>
      <c r="K28" s="126">
        <v>0.76100000000000001</v>
      </c>
      <c r="L28" s="126">
        <v>0.80200000000000005</v>
      </c>
      <c r="M28" s="126">
        <v>0.84599999999999997</v>
      </c>
      <c r="N28" s="126">
        <v>0.89500000000000002</v>
      </c>
      <c r="O28" s="126">
        <v>0.94899999999999995</v>
      </c>
      <c r="P28" s="126"/>
    </row>
    <row r="29" spans="1:16" x14ac:dyDescent="0.25">
      <c r="A29" s="109">
        <v>2</v>
      </c>
      <c r="B29" s="126">
        <v>0.51200000000000001</v>
      </c>
      <c r="C29" s="126">
        <v>0.53300000000000003</v>
      </c>
      <c r="D29" s="126">
        <v>0.55500000000000005</v>
      </c>
      <c r="E29" s="126">
        <v>0.57799999999999996</v>
      </c>
      <c r="F29" s="126">
        <v>0.60399999999999998</v>
      </c>
      <c r="G29" s="126">
        <v>0.63100000000000001</v>
      </c>
      <c r="H29" s="126">
        <v>0.66</v>
      </c>
      <c r="I29" s="126">
        <v>0.69199999999999995</v>
      </c>
      <c r="J29" s="126">
        <v>0.72699999999999998</v>
      </c>
      <c r="K29" s="126">
        <v>0.76500000000000001</v>
      </c>
      <c r="L29" s="126">
        <v>0.80600000000000005</v>
      </c>
      <c r="M29" s="126">
        <v>0.85</v>
      </c>
      <c r="N29" s="126">
        <v>0.9</v>
      </c>
      <c r="O29" s="126">
        <v>0.95399999999999996</v>
      </c>
      <c r="P29" s="126"/>
    </row>
    <row r="30" spans="1:16" x14ac:dyDescent="0.25">
      <c r="A30" s="109">
        <v>3</v>
      </c>
      <c r="B30" s="126">
        <v>0.51400000000000001</v>
      </c>
      <c r="C30" s="126">
        <v>0.53400000000000003</v>
      </c>
      <c r="D30" s="126">
        <v>0.55700000000000005</v>
      </c>
      <c r="E30" s="126">
        <v>0.57999999999999996</v>
      </c>
      <c r="F30" s="126">
        <v>0.60599999999999998</v>
      </c>
      <c r="G30" s="126">
        <v>0.63300000000000001</v>
      </c>
      <c r="H30" s="126">
        <v>0.66300000000000003</v>
      </c>
      <c r="I30" s="126">
        <v>0.69499999999999995</v>
      </c>
      <c r="J30" s="126">
        <v>0.73</v>
      </c>
      <c r="K30" s="126">
        <v>0.76800000000000002</v>
      </c>
      <c r="L30" s="126">
        <v>0.80900000000000005</v>
      </c>
      <c r="M30" s="126">
        <v>0.85399999999999998</v>
      </c>
      <c r="N30" s="126">
        <v>0.90400000000000003</v>
      </c>
      <c r="O30" s="126">
        <v>0.95899999999999996</v>
      </c>
      <c r="P30" s="126"/>
    </row>
    <row r="31" spans="1:16" x14ac:dyDescent="0.25">
      <c r="A31" s="109">
        <v>4</v>
      </c>
      <c r="B31" s="126">
        <v>0.51600000000000001</v>
      </c>
      <c r="C31" s="126">
        <v>0.53600000000000003</v>
      </c>
      <c r="D31" s="126">
        <v>0.55900000000000005</v>
      </c>
      <c r="E31" s="126">
        <v>0.58199999999999996</v>
      </c>
      <c r="F31" s="126">
        <v>0.60799999999999998</v>
      </c>
      <c r="G31" s="126">
        <v>0.63600000000000001</v>
      </c>
      <c r="H31" s="126">
        <v>0.66600000000000004</v>
      </c>
      <c r="I31" s="126">
        <v>0.69799999999999995</v>
      </c>
      <c r="J31" s="126">
        <v>0.73299999999999998</v>
      </c>
      <c r="K31" s="126">
        <v>0.77100000000000002</v>
      </c>
      <c r="L31" s="126">
        <v>0.81299999999999994</v>
      </c>
      <c r="M31" s="126">
        <v>0.85799999999999998</v>
      </c>
      <c r="N31" s="126">
        <v>0.90800000000000003</v>
      </c>
      <c r="O31" s="126">
        <v>0.96299999999999997</v>
      </c>
      <c r="P31" s="126"/>
    </row>
    <row r="32" spans="1:16" x14ac:dyDescent="0.25">
      <c r="A32" s="109">
        <v>5</v>
      </c>
      <c r="B32" s="126">
        <v>0.51700000000000002</v>
      </c>
      <c r="C32" s="126">
        <v>0.53800000000000003</v>
      </c>
      <c r="D32" s="126">
        <v>0.56100000000000005</v>
      </c>
      <c r="E32" s="126">
        <v>0.58499999999999996</v>
      </c>
      <c r="F32" s="126">
        <v>0.61</v>
      </c>
      <c r="G32" s="126">
        <v>0.63800000000000001</v>
      </c>
      <c r="H32" s="126">
        <v>0.66800000000000004</v>
      </c>
      <c r="I32" s="126">
        <v>0.70099999999999996</v>
      </c>
      <c r="J32" s="126">
        <v>0.73599999999999999</v>
      </c>
      <c r="K32" s="126">
        <v>0.77500000000000002</v>
      </c>
      <c r="L32" s="126">
        <v>0.81699999999999995</v>
      </c>
      <c r="M32" s="126">
        <v>0.86199999999999999</v>
      </c>
      <c r="N32" s="126">
        <v>0.91300000000000003</v>
      </c>
      <c r="O32" s="126">
        <v>0.96799999999999997</v>
      </c>
      <c r="P32" s="126"/>
    </row>
    <row r="33" spans="1:16" x14ac:dyDescent="0.25">
      <c r="A33" s="109">
        <v>6</v>
      </c>
      <c r="B33" s="126">
        <v>0.51900000000000002</v>
      </c>
      <c r="C33" s="126">
        <v>0.54</v>
      </c>
      <c r="D33" s="126">
        <v>0.56200000000000006</v>
      </c>
      <c r="E33" s="126">
        <v>0.58699999999999997</v>
      </c>
      <c r="F33" s="126">
        <v>0.61299999999999999</v>
      </c>
      <c r="G33" s="126">
        <v>0.64100000000000001</v>
      </c>
      <c r="H33" s="126">
        <v>0.67100000000000004</v>
      </c>
      <c r="I33" s="126">
        <v>0.70399999999999996</v>
      </c>
      <c r="J33" s="126">
        <v>0.73899999999999999</v>
      </c>
      <c r="K33" s="126">
        <v>0.77800000000000002</v>
      </c>
      <c r="L33" s="126">
        <v>0.82</v>
      </c>
      <c r="M33" s="126">
        <v>0.86599999999999999</v>
      </c>
      <c r="N33" s="126">
        <v>0.91700000000000004</v>
      </c>
      <c r="O33" s="126">
        <v>0.97299999999999998</v>
      </c>
      <c r="P33" s="126"/>
    </row>
    <row r="34" spans="1:16" x14ac:dyDescent="0.25">
      <c r="A34" s="109">
        <v>7</v>
      </c>
      <c r="B34" s="126">
        <v>0.52100000000000002</v>
      </c>
      <c r="C34" s="126">
        <v>0.54200000000000004</v>
      </c>
      <c r="D34" s="126">
        <v>0.56399999999999995</v>
      </c>
      <c r="E34" s="126">
        <v>0.58899999999999997</v>
      </c>
      <c r="F34" s="126">
        <v>0.61499999999999999</v>
      </c>
      <c r="G34" s="126">
        <v>0.64300000000000002</v>
      </c>
      <c r="H34" s="126">
        <v>0.67400000000000004</v>
      </c>
      <c r="I34" s="126">
        <v>0.70699999999999996</v>
      </c>
      <c r="J34" s="126">
        <v>0.74199999999999999</v>
      </c>
      <c r="K34" s="126">
        <v>0.78100000000000003</v>
      </c>
      <c r="L34" s="126">
        <v>0.82399999999999995</v>
      </c>
      <c r="M34" s="126">
        <v>0.87</v>
      </c>
      <c r="N34" s="126">
        <v>0.92200000000000004</v>
      </c>
      <c r="O34" s="126">
        <v>0.97799999999999998</v>
      </c>
      <c r="P34" s="126"/>
    </row>
    <row r="35" spans="1:16" x14ac:dyDescent="0.25">
      <c r="A35" s="109">
        <v>8</v>
      </c>
      <c r="B35" s="126">
        <v>0.52200000000000002</v>
      </c>
      <c r="C35" s="126">
        <v>0.54400000000000004</v>
      </c>
      <c r="D35" s="126">
        <v>0.56599999999999995</v>
      </c>
      <c r="E35" s="126">
        <v>0.59099999999999997</v>
      </c>
      <c r="F35" s="126">
        <v>0.61699999999999999</v>
      </c>
      <c r="G35" s="126">
        <v>0.64600000000000002</v>
      </c>
      <c r="H35" s="126">
        <v>0.67600000000000005</v>
      </c>
      <c r="I35" s="126">
        <v>0.70899999999999996</v>
      </c>
      <c r="J35" s="126">
        <v>0.745</v>
      </c>
      <c r="K35" s="126">
        <v>0.78500000000000003</v>
      </c>
      <c r="L35" s="126">
        <v>0.82699999999999996</v>
      </c>
      <c r="M35" s="126">
        <v>0.874</v>
      </c>
      <c r="N35" s="126">
        <v>0.92600000000000005</v>
      </c>
      <c r="O35" s="126">
        <v>0.98299999999999998</v>
      </c>
      <c r="P35" s="126"/>
    </row>
    <row r="36" spans="1:16" x14ac:dyDescent="0.25">
      <c r="A36" s="109">
        <v>9</v>
      </c>
      <c r="B36" s="126">
        <v>0.52400000000000002</v>
      </c>
      <c r="C36" s="126">
        <v>0.54500000000000004</v>
      </c>
      <c r="D36" s="126">
        <v>0.56799999999999995</v>
      </c>
      <c r="E36" s="126">
        <v>0.59299999999999997</v>
      </c>
      <c r="F36" s="126">
        <v>0.61899999999999999</v>
      </c>
      <c r="G36" s="126">
        <v>0.64800000000000002</v>
      </c>
      <c r="H36" s="126">
        <v>0.67900000000000005</v>
      </c>
      <c r="I36" s="126">
        <v>0.71199999999999997</v>
      </c>
      <c r="J36" s="126">
        <v>0.748</v>
      </c>
      <c r="K36" s="126">
        <v>0.78800000000000003</v>
      </c>
      <c r="L36" s="126">
        <v>0.83099999999999996</v>
      </c>
      <c r="M36" s="126">
        <v>0.878</v>
      </c>
      <c r="N36" s="126">
        <v>0.93</v>
      </c>
      <c r="O36" s="126">
        <v>0.98799999999999999</v>
      </c>
      <c r="P36" s="126"/>
    </row>
    <row r="37" spans="1:16" x14ac:dyDescent="0.25">
      <c r="A37" s="109">
        <v>10</v>
      </c>
      <c r="B37" s="126">
        <v>0.52600000000000002</v>
      </c>
      <c r="C37" s="126">
        <v>0.54700000000000004</v>
      </c>
      <c r="D37" s="126">
        <v>0.56999999999999995</v>
      </c>
      <c r="E37" s="126">
        <v>0.59499999999999997</v>
      </c>
      <c r="F37" s="126">
        <v>0.622</v>
      </c>
      <c r="G37" s="126">
        <v>0.65</v>
      </c>
      <c r="H37" s="126">
        <v>0.68100000000000005</v>
      </c>
      <c r="I37" s="126">
        <v>0.71499999999999997</v>
      </c>
      <c r="J37" s="126">
        <v>0.752</v>
      </c>
      <c r="K37" s="126">
        <v>0.79100000000000004</v>
      </c>
      <c r="L37" s="126">
        <v>0.83499999999999996</v>
      </c>
      <c r="M37" s="126">
        <v>0.88200000000000001</v>
      </c>
      <c r="N37" s="126">
        <v>0.93500000000000005</v>
      </c>
      <c r="O37" s="126">
        <v>0.99299999999999999</v>
      </c>
      <c r="P37" s="126"/>
    </row>
    <row r="38" spans="1:16" x14ac:dyDescent="0.25">
      <c r="A38" s="109">
        <v>11</v>
      </c>
      <c r="B38" s="126">
        <v>0.52700000000000002</v>
      </c>
      <c r="C38" s="126">
        <v>0.54900000000000004</v>
      </c>
      <c r="D38" s="126">
        <v>0.57199999999999995</v>
      </c>
      <c r="E38" s="126">
        <v>0.59699999999999998</v>
      </c>
      <c r="F38" s="126">
        <v>0.624</v>
      </c>
      <c r="G38" s="126">
        <v>0.65300000000000002</v>
      </c>
      <c r="H38" s="126">
        <v>0.68400000000000005</v>
      </c>
      <c r="I38" s="126">
        <v>0.71799999999999997</v>
      </c>
      <c r="J38" s="126">
        <v>0.755</v>
      </c>
      <c r="K38" s="126">
        <v>0.79500000000000004</v>
      </c>
      <c r="L38" s="126">
        <v>0.83799999999999997</v>
      </c>
      <c r="M38" s="126">
        <v>0.88700000000000001</v>
      </c>
      <c r="N38" s="126">
        <v>0.93899999999999995</v>
      </c>
      <c r="O38" s="126">
        <v>0.998</v>
      </c>
      <c r="P38" s="126"/>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5" customHeight="1" x14ac:dyDescent="0.25">
      <c r="A44"/>
      <c r="B44"/>
    </row>
    <row r="45" spans="1:16" x14ac:dyDescent="0.25">
      <c r="A45"/>
      <c r="B45"/>
    </row>
    <row r="46" spans="1:16" ht="27.65"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857" priority="3" stopIfTrue="1">
      <formula>MOD(ROW(),2)=0</formula>
    </cfRule>
    <cfRule type="expression" dxfId="856" priority="4" stopIfTrue="1">
      <formula>MOD(ROW(),2)&lt;&gt;0</formula>
    </cfRule>
  </conditionalFormatting>
  <conditionalFormatting sqref="A26:A38">
    <cfRule type="expression" dxfId="855" priority="7" stopIfTrue="1">
      <formula>MOD(ROW(),2)=0</formula>
    </cfRule>
    <cfRule type="expression" dxfId="854" priority="8" stopIfTrue="1">
      <formula>MOD(ROW(),2)&lt;&gt;0</formula>
    </cfRule>
  </conditionalFormatting>
  <conditionalFormatting sqref="B18:B21">
    <cfRule type="expression" dxfId="853" priority="1" stopIfTrue="1">
      <formula>MOD(ROW(),2)=0</formula>
    </cfRule>
    <cfRule type="expression" dxfId="852" priority="2" stopIfTrue="1">
      <formula>MOD(ROW(),2)&lt;&gt;0</formula>
    </cfRule>
  </conditionalFormatting>
  <conditionalFormatting sqref="B6:P21">
    <cfRule type="expression" dxfId="851" priority="21" stopIfTrue="1">
      <formula>MOD(ROW(),2)=0</formula>
    </cfRule>
    <cfRule type="expression" dxfId="850" priority="22" stopIfTrue="1">
      <formula>MOD(ROW(),2)&lt;&gt;0</formula>
    </cfRule>
  </conditionalFormatting>
  <conditionalFormatting sqref="B26:P38">
    <cfRule type="expression" dxfId="849" priority="9" stopIfTrue="1">
      <formula>MOD(ROW(),2)=0</formula>
    </cfRule>
    <cfRule type="expression" dxfId="848" priority="10" stopIfTrue="1">
      <formula>MOD(ROW(),2)&lt;&gt;0</formula>
    </cfRule>
  </conditionalFormatting>
  <hyperlinks>
    <hyperlink ref="B24" location="Assumptions!A1" display="Assumptions" xr:uid="{73E2ABDB-7370-43BD-8AD6-0F6239335FF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8"/>
  <dimension ref="A1:L65"/>
  <sheetViews>
    <sheetView workbookViewId="0"/>
  </sheetViews>
  <sheetFormatPr defaultColWidth="10" defaultRowHeight="12.5" x14ac:dyDescent="0.25"/>
  <cols>
    <col min="1" max="1" width="31.54296875" style="28" customWidth="1"/>
    <col min="2" max="12" width="22.54296875" style="28" customWidth="1"/>
    <col min="13" max="16384" width="10" style="28"/>
  </cols>
  <sheetData>
    <row r="1" spans="1:12" ht="20" x14ac:dyDescent="0.4">
      <c r="A1" s="53" t="s">
        <v>0</v>
      </c>
      <c r="B1" s="54"/>
      <c r="C1" s="54"/>
      <c r="D1" s="54"/>
      <c r="E1" s="54"/>
      <c r="F1" s="54"/>
      <c r="G1" s="54"/>
      <c r="H1" s="54"/>
      <c r="I1" s="54"/>
    </row>
    <row r="2" spans="1:12"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2" ht="15.5" x14ac:dyDescent="0.35">
      <c r="A3" s="57" t="str">
        <f>TABLE_FACTOR_TYPE_1&amp;" - x-"&amp;TABLE_SERIES_NUMBER_1</f>
        <v>ERF - x-405</v>
      </c>
      <c r="B3" s="56"/>
      <c r="C3" s="56"/>
      <c r="D3" s="56"/>
      <c r="E3" s="56"/>
      <c r="F3" s="56"/>
      <c r="G3" s="56"/>
      <c r="H3" s="56"/>
      <c r="I3" s="56"/>
    </row>
    <row r="4" spans="1:12" x14ac:dyDescent="0.25">
      <c r="A4" s="58"/>
    </row>
    <row r="6" spans="1:12" ht="13" x14ac:dyDescent="0.3">
      <c r="A6" s="86" t="s">
        <v>716</v>
      </c>
      <c r="B6" s="111" t="s">
        <v>717</v>
      </c>
      <c r="C6" s="111"/>
      <c r="D6" s="111"/>
      <c r="E6" s="111"/>
      <c r="F6" s="111"/>
      <c r="G6" s="111"/>
      <c r="H6" s="111"/>
      <c r="I6" s="111"/>
      <c r="J6" s="111"/>
      <c r="K6" s="111"/>
      <c r="L6" s="111"/>
    </row>
    <row r="7" spans="1:12" x14ac:dyDescent="0.25">
      <c r="A7" s="87" t="s">
        <v>797</v>
      </c>
      <c r="B7" s="111" t="s">
        <v>326</v>
      </c>
      <c r="C7" s="111"/>
      <c r="D7" s="111"/>
      <c r="E7" s="111"/>
      <c r="F7" s="111"/>
      <c r="G7" s="111"/>
      <c r="H7" s="111"/>
      <c r="I7" s="111"/>
      <c r="J7" s="111"/>
      <c r="K7" s="111"/>
      <c r="L7" s="111"/>
    </row>
    <row r="8" spans="1:12" x14ac:dyDescent="0.25">
      <c r="A8" s="87" t="s">
        <v>798</v>
      </c>
      <c r="B8" s="111" t="s">
        <v>444</v>
      </c>
      <c r="C8" s="111"/>
      <c r="D8" s="111"/>
      <c r="E8" s="111"/>
      <c r="F8" s="111"/>
      <c r="G8" s="111"/>
      <c r="H8" s="111"/>
      <c r="I8" s="111"/>
      <c r="J8" s="111"/>
      <c r="K8" s="111"/>
      <c r="L8" s="111"/>
    </row>
    <row r="9" spans="1:12" x14ac:dyDescent="0.25">
      <c r="A9" s="87" t="s">
        <v>300</v>
      </c>
      <c r="B9" s="111" t="s">
        <v>426</v>
      </c>
      <c r="C9" s="111"/>
      <c r="D9" s="111"/>
      <c r="E9" s="111"/>
      <c r="F9" s="111"/>
      <c r="G9" s="111"/>
      <c r="H9" s="111"/>
      <c r="I9" s="111"/>
      <c r="J9" s="111"/>
      <c r="K9" s="111"/>
      <c r="L9" s="111"/>
    </row>
    <row r="10" spans="1:12" x14ac:dyDescent="0.25">
      <c r="A10" s="87" t="s">
        <v>6</v>
      </c>
      <c r="B10" s="111" t="s">
        <v>445</v>
      </c>
      <c r="C10" s="111"/>
      <c r="D10" s="111"/>
      <c r="E10" s="111"/>
      <c r="F10" s="111"/>
      <c r="G10" s="111"/>
      <c r="H10" s="111"/>
      <c r="I10" s="111"/>
      <c r="J10" s="111"/>
      <c r="K10" s="111"/>
      <c r="L10" s="111"/>
    </row>
    <row r="11" spans="1:12" x14ac:dyDescent="0.25">
      <c r="A11" s="87" t="s">
        <v>301</v>
      </c>
      <c r="B11" s="111" t="s">
        <v>319</v>
      </c>
      <c r="C11" s="111"/>
      <c r="D11" s="111"/>
      <c r="E11" s="111"/>
      <c r="F11" s="111"/>
      <c r="G11" s="111"/>
      <c r="H11" s="111"/>
      <c r="I11" s="111"/>
      <c r="J11" s="111"/>
      <c r="K11" s="111"/>
      <c r="L11" s="111"/>
    </row>
    <row r="12" spans="1:12" x14ac:dyDescent="0.25">
      <c r="A12" s="87" t="s">
        <v>302</v>
      </c>
      <c r="B12" s="111" t="s">
        <v>446</v>
      </c>
      <c r="C12" s="111"/>
      <c r="D12" s="111"/>
      <c r="E12" s="111"/>
      <c r="F12" s="111"/>
      <c r="G12" s="111"/>
      <c r="H12" s="111"/>
      <c r="I12" s="111"/>
      <c r="J12" s="111"/>
      <c r="K12" s="111"/>
      <c r="L12" s="111"/>
    </row>
    <row r="13" spans="1:12" x14ac:dyDescent="0.25">
      <c r="A13" s="87" t="s">
        <v>813</v>
      </c>
      <c r="B13" s="111">
        <v>1</v>
      </c>
      <c r="C13" s="111"/>
      <c r="D13" s="111"/>
      <c r="E13" s="111"/>
      <c r="F13" s="111"/>
      <c r="G13" s="111"/>
      <c r="H13" s="111"/>
      <c r="I13" s="111"/>
      <c r="J13" s="111"/>
      <c r="K13" s="111"/>
      <c r="L13" s="111"/>
    </row>
    <row r="14" spans="1:12" x14ac:dyDescent="0.25">
      <c r="A14" s="87" t="s">
        <v>304</v>
      </c>
      <c r="B14" s="111">
        <v>405</v>
      </c>
      <c r="C14" s="111"/>
      <c r="D14" s="111"/>
      <c r="E14" s="111"/>
      <c r="F14" s="111"/>
      <c r="G14" s="111"/>
      <c r="H14" s="111"/>
      <c r="I14" s="111"/>
      <c r="J14" s="111"/>
      <c r="K14" s="111"/>
      <c r="L14" s="111"/>
    </row>
    <row r="15" spans="1:12" x14ac:dyDescent="0.25">
      <c r="A15" s="87" t="s">
        <v>727</v>
      </c>
      <c r="B15" s="111" t="s">
        <v>447</v>
      </c>
      <c r="C15" s="111"/>
      <c r="D15" s="111"/>
      <c r="E15" s="111"/>
      <c r="F15" s="111"/>
      <c r="G15" s="111"/>
      <c r="H15" s="111"/>
      <c r="I15" s="111"/>
      <c r="J15" s="111"/>
      <c r="K15" s="111"/>
      <c r="L15" s="111"/>
    </row>
    <row r="16" spans="1:12" x14ac:dyDescent="0.25">
      <c r="A16" s="87" t="s">
        <v>306</v>
      </c>
      <c r="B16" s="111" t="s">
        <v>448</v>
      </c>
      <c r="C16" s="111"/>
      <c r="D16" s="111"/>
      <c r="E16" s="111"/>
      <c r="F16" s="111"/>
      <c r="G16" s="111"/>
      <c r="H16" s="111"/>
      <c r="I16" s="111"/>
      <c r="J16" s="111"/>
      <c r="K16" s="111"/>
      <c r="L16" s="111"/>
    </row>
    <row r="17" spans="1:12" x14ac:dyDescent="0.25">
      <c r="A17" s="87" t="s">
        <v>800</v>
      </c>
      <c r="B17" s="111"/>
      <c r="C17" s="111"/>
      <c r="D17" s="111"/>
      <c r="E17" s="111"/>
      <c r="F17" s="111"/>
      <c r="G17" s="111"/>
      <c r="H17" s="111"/>
      <c r="I17" s="111"/>
      <c r="J17" s="111"/>
      <c r="K17" s="111"/>
      <c r="L17" s="111"/>
    </row>
    <row r="18" spans="1:12" x14ac:dyDescent="0.25">
      <c r="A18" s="87" t="s">
        <v>308</v>
      </c>
      <c r="B18" s="122">
        <v>45106</v>
      </c>
      <c r="C18" s="111"/>
      <c r="D18" s="111"/>
      <c r="E18" s="111"/>
      <c r="F18" s="111"/>
      <c r="G18" s="111"/>
      <c r="H18" s="111"/>
      <c r="I18" s="111"/>
      <c r="J18" s="111"/>
      <c r="K18" s="111"/>
      <c r="L18" s="111"/>
    </row>
    <row r="19" spans="1:12" x14ac:dyDescent="0.25">
      <c r="A19" s="87" t="s">
        <v>309</v>
      </c>
      <c r="B19" s="122">
        <v>45200</v>
      </c>
      <c r="C19" s="111"/>
      <c r="D19" s="111"/>
      <c r="E19" s="111"/>
      <c r="F19" s="111"/>
      <c r="G19" s="111"/>
      <c r="H19" s="111"/>
      <c r="I19" s="111"/>
      <c r="J19" s="111"/>
      <c r="K19" s="111"/>
      <c r="L19" s="111"/>
    </row>
    <row r="20" spans="1:12" x14ac:dyDescent="0.25">
      <c r="A20" s="87" t="s">
        <v>310</v>
      </c>
      <c r="B20" s="111" t="s">
        <v>324</v>
      </c>
      <c r="C20" s="111"/>
      <c r="D20" s="111"/>
      <c r="E20" s="111"/>
      <c r="F20" s="111"/>
      <c r="G20" s="111"/>
      <c r="H20" s="111"/>
      <c r="I20" s="111"/>
      <c r="J20" s="111"/>
      <c r="K20" s="111"/>
      <c r="L20" s="111"/>
    </row>
    <row r="21" spans="1:12" x14ac:dyDescent="0.25">
      <c r="A21" s="87" t="s">
        <v>311</v>
      </c>
      <c r="B21" s="111" t="s">
        <v>325</v>
      </c>
      <c r="C21" s="111"/>
      <c r="D21" s="111"/>
      <c r="E21" s="111"/>
      <c r="F21" s="111"/>
      <c r="G21" s="111"/>
      <c r="H21" s="111"/>
      <c r="I21" s="111"/>
      <c r="J21" s="111"/>
      <c r="K21" s="111"/>
      <c r="L21" s="111"/>
    </row>
    <row r="23" spans="1:12" x14ac:dyDescent="0.25">
      <c r="B23" s="104" t="str">
        <f>HYPERLINK("#'Factor List'!A1","Back to Factor List")</f>
        <v>Back to Factor List</v>
      </c>
    </row>
    <row r="24" spans="1:12" x14ac:dyDescent="0.25">
      <c r="B24" s="104" t="s">
        <v>13</v>
      </c>
    </row>
    <row r="26" spans="1:12" ht="13" x14ac:dyDescent="0.25">
      <c r="A26" s="108" t="s">
        <v>839</v>
      </c>
      <c r="B26" s="108">
        <v>50</v>
      </c>
      <c r="C26" s="108">
        <v>51</v>
      </c>
      <c r="D26" s="108">
        <v>52</v>
      </c>
      <c r="E26" s="108">
        <v>53</v>
      </c>
      <c r="F26" s="108">
        <v>54</v>
      </c>
      <c r="G26" s="108">
        <v>55</v>
      </c>
      <c r="H26" s="108">
        <v>56</v>
      </c>
      <c r="I26" s="108">
        <v>57</v>
      </c>
      <c r="J26" s="108">
        <v>58</v>
      </c>
      <c r="K26" s="108">
        <v>59</v>
      </c>
      <c r="L26" s="108">
        <v>60</v>
      </c>
    </row>
    <row r="27" spans="1:12" x14ac:dyDescent="0.25">
      <c r="A27" s="109">
        <v>0</v>
      </c>
      <c r="B27" s="126">
        <v>0.66800000000000004</v>
      </c>
      <c r="C27" s="126">
        <v>0.69099999999999995</v>
      </c>
      <c r="D27" s="126">
        <v>0.71599999999999997</v>
      </c>
      <c r="E27" s="126">
        <v>0.74199999999999999</v>
      </c>
      <c r="F27" s="126">
        <v>0.77200000000000002</v>
      </c>
      <c r="G27" s="126">
        <v>0.80300000000000005</v>
      </c>
      <c r="H27" s="126">
        <v>0.83699999999999997</v>
      </c>
      <c r="I27" s="126">
        <v>0.874</v>
      </c>
      <c r="J27" s="126">
        <v>0.91400000000000003</v>
      </c>
      <c r="K27" s="126">
        <v>0.95599999999999996</v>
      </c>
      <c r="L27" s="126">
        <v>1</v>
      </c>
    </row>
    <row r="28" spans="1:12" x14ac:dyDescent="0.25">
      <c r="A28" s="109">
        <v>1</v>
      </c>
      <c r="B28" s="126">
        <v>0.67</v>
      </c>
      <c r="C28" s="126">
        <v>0.69299999999999995</v>
      </c>
      <c r="D28" s="126">
        <v>0.71799999999999997</v>
      </c>
      <c r="E28" s="126">
        <v>0.745</v>
      </c>
      <c r="F28" s="126">
        <v>0.77400000000000002</v>
      </c>
      <c r="G28" s="126">
        <v>0.80600000000000005</v>
      </c>
      <c r="H28" s="126">
        <v>0.84</v>
      </c>
      <c r="I28" s="126">
        <v>0.877</v>
      </c>
      <c r="J28" s="126">
        <v>0.91700000000000004</v>
      </c>
      <c r="K28" s="126">
        <v>0.96</v>
      </c>
      <c r="L28" s="126"/>
    </row>
    <row r="29" spans="1:12" x14ac:dyDescent="0.25">
      <c r="A29" s="109">
        <v>2</v>
      </c>
      <c r="B29" s="126">
        <v>0.67100000000000004</v>
      </c>
      <c r="C29" s="126">
        <v>0.69499999999999995</v>
      </c>
      <c r="D29" s="126">
        <v>0.72</v>
      </c>
      <c r="E29" s="126">
        <v>0.747</v>
      </c>
      <c r="F29" s="126">
        <v>0.77700000000000002</v>
      </c>
      <c r="G29" s="126">
        <v>0.80900000000000005</v>
      </c>
      <c r="H29" s="126">
        <v>0.84399999999999997</v>
      </c>
      <c r="I29" s="126">
        <v>0.88100000000000001</v>
      </c>
      <c r="J29" s="126">
        <v>0.92100000000000004</v>
      </c>
      <c r="K29" s="126">
        <v>0.96399999999999997</v>
      </c>
      <c r="L29" s="126"/>
    </row>
    <row r="30" spans="1:12" x14ac:dyDescent="0.25">
      <c r="A30" s="109">
        <v>3</v>
      </c>
      <c r="B30" s="126">
        <v>0.67300000000000004</v>
      </c>
      <c r="C30" s="126">
        <v>0.69699999999999995</v>
      </c>
      <c r="D30" s="126">
        <v>0.72199999999999998</v>
      </c>
      <c r="E30" s="126">
        <v>0.75</v>
      </c>
      <c r="F30" s="126">
        <v>0.77900000000000003</v>
      </c>
      <c r="G30" s="126">
        <v>0.81200000000000006</v>
      </c>
      <c r="H30" s="126">
        <v>0.84699999999999998</v>
      </c>
      <c r="I30" s="126">
        <v>0.88400000000000001</v>
      </c>
      <c r="J30" s="126">
        <v>0.92400000000000004</v>
      </c>
      <c r="K30" s="126">
        <v>0.96799999999999997</v>
      </c>
      <c r="L30" s="126"/>
    </row>
    <row r="31" spans="1:12" x14ac:dyDescent="0.25">
      <c r="A31" s="109">
        <v>4</v>
      </c>
      <c r="B31" s="126">
        <v>0.67500000000000004</v>
      </c>
      <c r="C31" s="126">
        <v>0.69899999999999995</v>
      </c>
      <c r="D31" s="126">
        <v>0.72399999999999998</v>
      </c>
      <c r="E31" s="126">
        <v>0.752</v>
      </c>
      <c r="F31" s="126">
        <v>0.78200000000000003</v>
      </c>
      <c r="G31" s="126">
        <v>0.81499999999999995</v>
      </c>
      <c r="H31" s="126">
        <v>0.85</v>
      </c>
      <c r="I31" s="126">
        <v>0.88700000000000001</v>
      </c>
      <c r="J31" s="126">
        <v>0.92800000000000005</v>
      </c>
      <c r="K31" s="126">
        <v>0.97099999999999997</v>
      </c>
      <c r="L31" s="126"/>
    </row>
    <row r="32" spans="1:12" x14ac:dyDescent="0.25">
      <c r="A32" s="109">
        <v>5</v>
      </c>
      <c r="B32" s="126">
        <v>0.67700000000000005</v>
      </c>
      <c r="C32" s="126">
        <v>0.70099999999999996</v>
      </c>
      <c r="D32" s="126">
        <v>0.72699999999999998</v>
      </c>
      <c r="E32" s="126">
        <v>0.754</v>
      </c>
      <c r="F32" s="126">
        <v>0.78500000000000003</v>
      </c>
      <c r="G32" s="126">
        <v>0.81699999999999995</v>
      </c>
      <c r="H32" s="126">
        <v>0.85299999999999998</v>
      </c>
      <c r="I32" s="126">
        <v>0.89100000000000001</v>
      </c>
      <c r="J32" s="126">
        <v>0.93100000000000005</v>
      </c>
      <c r="K32" s="126">
        <v>0.97499999999999998</v>
      </c>
      <c r="L32" s="126"/>
    </row>
    <row r="33" spans="1:12" x14ac:dyDescent="0.25">
      <c r="A33" s="109">
        <v>6</v>
      </c>
      <c r="B33" s="126">
        <v>0.67900000000000005</v>
      </c>
      <c r="C33" s="126">
        <v>0.70299999999999996</v>
      </c>
      <c r="D33" s="126">
        <v>0.72899999999999998</v>
      </c>
      <c r="E33" s="126">
        <v>0.75700000000000001</v>
      </c>
      <c r="F33" s="126">
        <v>0.78700000000000003</v>
      </c>
      <c r="G33" s="126">
        <v>0.82</v>
      </c>
      <c r="H33" s="126">
        <v>0.85599999999999998</v>
      </c>
      <c r="I33" s="126">
        <v>0.89400000000000002</v>
      </c>
      <c r="J33" s="126">
        <v>0.93500000000000005</v>
      </c>
      <c r="K33" s="126">
        <v>0.97899999999999998</v>
      </c>
      <c r="L33" s="126"/>
    </row>
    <row r="34" spans="1:12" x14ac:dyDescent="0.25">
      <c r="A34" s="109">
        <v>7</v>
      </c>
      <c r="B34" s="126">
        <v>0.68100000000000005</v>
      </c>
      <c r="C34" s="126">
        <v>0.70499999999999996</v>
      </c>
      <c r="D34" s="126">
        <v>0.73099999999999998</v>
      </c>
      <c r="E34" s="126">
        <v>0.75900000000000001</v>
      </c>
      <c r="F34" s="126">
        <v>0.79</v>
      </c>
      <c r="G34" s="126">
        <v>0.82299999999999995</v>
      </c>
      <c r="H34" s="126">
        <v>0.85899999999999999</v>
      </c>
      <c r="I34" s="126">
        <v>0.89700000000000002</v>
      </c>
      <c r="J34" s="126">
        <v>0.93799999999999994</v>
      </c>
      <c r="K34" s="126">
        <v>0.98299999999999998</v>
      </c>
      <c r="L34" s="126"/>
    </row>
    <row r="35" spans="1:12" x14ac:dyDescent="0.25">
      <c r="A35" s="109">
        <v>8</v>
      </c>
      <c r="B35" s="126">
        <v>0.68300000000000005</v>
      </c>
      <c r="C35" s="126">
        <v>0.70699999999999996</v>
      </c>
      <c r="D35" s="126">
        <v>0.73299999999999998</v>
      </c>
      <c r="E35" s="126">
        <v>0.76200000000000001</v>
      </c>
      <c r="F35" s="126">
        <v>0.79300000000000004</v>
      </c>
      <c r="G35" s="126">
        <v>0.82599999999999996</v>
      </c>
      <c r="H35" s="126">
        <v>0.86199999999999999</v>
      </c>
      <c r="I35" s="126">
        <v>0.9</v>
      </c>
      <c r="J35" s="126">
        <v>0.94199999999999995</v>
      </c>
      <c r="K35" s="126">
        <v>0.98699999999999999</v>
      </c>
      <c r="L35" s="126"/>
    </row>
    <row r="36" spans="1:12" x14ac:dyDescent="0.25">
      <c r="A36" s="109">
        <v>9</v>
      </c>
      <c r="B36" s="126">
        <v>0.68500000000000005</v>
      </c>
      <c r="C36" s="126">
        <v>0.70899999999999996</v>
      </c>
      <c r="D36" s="126">
        <v>0.73599999999999999</v>
      </c>
      <c r="E36" s="126">
        <v>0.76400000000000001</v>
      </c>
      <c r="F36" s="126">
        <v>0.79500000000000004</v>
      </c>
      <c r="G36" s="126">
        <v>0.82899999999999996</v>
      </c>
      <c r="H36" s="126">
        <v>0.86499999999999999</v>
      </c>
      <c r="I36" s="126">
        <v>0.90400000000000003</v>
      </c>
      <c r="J36" s="126">
        <v>0.94499999999999995</v>
      </c>
      <c r="K36" s="126">
        <v>0.99</v>
      </c>
      <c r="L36" s="126"/>
    </row>
    <row r="37" spans="1:12" x14ac:dyDescent="0.25">
      <c r="A37" s="109">
        <v>10</v>
      </c>
      <c r="B37" s="126">
        <v>0.68700000000000006</v>
      </c>
      <c r="C37" s="126">
        <v>0.71099999999999997</v>
      </c>
      <c r="D37" s="126">
        <v>0.73799999999999999</v>
      </c>
      <c r="E37" s="126">
        <v>0.76700000000000002</v>
      </c>
      <c r="F37" s="126">
        <v>0.79800000000000004</v>
      </c>
      <c r="G37" s="126">
        <v>0.83199999999999996</v>
      </c>
      <c r="H37" s="126">
        <v>0.86799999999999999</v>
      </c>
      <c r="I37" s="126">
        <v>0.90700000000000003</v>
      </c>
      <c r="J37" s="126">
        <v>0.94899999999999995</v>
      </c>
      <c r="K37" s="126">
        <v>0.99399999999999999</v>
      </c>
      <c r="L37" s="126"/>
    </row>
    <row r="38" spans="1:12" x14ac:dyDescent="0.25">
      <c r="A38" s="109">
        <v>11</v>
      </c>
      <c r="B38" s="126">
        <v>0.68899999999999995</v>
      </c>
      <c r="C38" s="126">
        <v>0.71299999999999997</v>
      </c>
      <c r="D38" s="126">
        <v>0.74</v>
      </c>
      <c r="E38" s="126">
        <v>0.76900000000000002</v>
      </c>
      <c r="F38" s="126">
        <v>0.8</v>
      </c>
      <c r="G38" s="126">
        <v>0.83399999999999996</v>
      </c>
      <c r="H38" s="126">
        <v>0.871</v>
      </c>
      <c r="I38" s="126">
        <v>0.91</v>
      </c>
      <c r="J38" s="126">
        <v>0.95199999999999996</v>
      </c>
      <c r="K38" s="126">
        <v>0.998</v>
      </c>
      <c r="L38" s="126"/>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5" customHeight="1" x14ac:dyDescent="0.25">
      <c r="A44"/>
      <c r="B44"/>
    </row>
    <row r="45" spans="1:12" x14ac:dyDescent="0.25">
      <c r="A45"/>
      <c r="B45"/>
    </row>
    <row r="46" spans="1:12" ht="27.65"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847" priority="3" stopIfTrue="1">
      <formula>MOD(ROW(),2)=0</formula>
    </cfRule>
    <cfRule type="expression" dxfId="846" priority="4" stopIfTrue="1">
      <formula>MOD(ROW(),2)&lt;&gt;0</formula>
    </cfRule>
  </conditionalFormatting>
  <conditionalFormatting sqref="A26:A38">
    <cfRule type="expression" dxfId="845" priority="7" stopIfTrue="1">
      <formula>MOD(ROW(),2)=0</formula>
    </cfRule>
    <cfRule type="expression" dxfId="844" priority="8" stopIfTrue="1">
      <formula>MOD(ROW(),2)&lt;&gt;0</formula>
    </cfRule>
  </conditionalFormatting>
  <conditionalFormatting sqref="B18 B20:B21">
    <cfRule type="expression" dxfId="843" priority="13" stopIfTrue="1">
      <formula>MOD(ROW(),2)=0</formula>
    </cfRule>
    <cfRule type="expression" dxfId="842" priority="14" stopIfTrue="1">
      <formula>MOD(ROW(),2)&lt;&gt;0</formula>
    </cfRule>
  </conditionalFormatting>
  <conditionalFormatting sqref="B19">
    <cfRule type="expression" dxfId="841" priority="1" stopIfTrue="1">
      <formula>MOD(ROW(),2)=0</formula>
    </cfRule>
    <cfRule type="expression" dxfId="840" priority="2" stopIfTrue="1">
      <formula>MOD(ROW(),2)&lt;&gt;0</formula>
    </cfRule>
  </conditionalFormatting>
  <conditionalFormatting sqref="B6:L6 C7:L7 B8:L17 C18:L21">
    <cfRule type="expression" dxfId="839" priority="23" stopIfTrue="1">
      <formula>MOD(ROW(),2)=0</formula>
    </cfRule>
    <cfRule type="expression" dxfId="838" priority="24" stopIfTrue="1">
      <formula>MOD(ROW(),2)&lt;&gt;0</formula>
    </cfRule>
  </conditionalFormatting>
  <conditionalFormatting sqref="B6:L21">
    <cfRule type="expression" dxfId="837" priority="11" stopIfTrue="1">
      <formula>MOD(ROW(),2)=0</formula>
    </cfRule>
    <cfRule type="expression" dxfId="836" priority="12" stopIfTrue="1">
      <formula>MOD(ROW(),2)&lt;&gt;0</formula>
    </cfRule>
  </conditionalFormatting>
  <conditionalFormatting sqref="B26:L38">
    <cfRule type="expression" dxfId="835" priority="9" stopIfTrue="1">
      <formula>MOD(ROW(),2)=0</formula>
    </cfRule>
    <cfRule type="expression" dxfId="834" priority="10" stopIfTrue="1">
      <formula>MOD(ROW(),2)&lt;&gt;0</formula>
    </cfRule>
  </conditionalFormatting>
  <hyperlinks>
    <hyperlink ref="B24" location="Assumptions!A1" display="Assumptions" xr:uid="{E1050749-9678-4303-9B8F-DAB0B14C168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9"/>
  <dimension ref="A1:L65"/>
  <sheetViews>
    <sheetView workbookViewId="0"/>
  </sheetViews>
  <sheetFormatPr defaultColWidth="10" defaultRowHeight="12.5" x14ac:dyDescent="0.25"/>
  <cols>
    <col min="1" max="1" width="31.54296875" style="28" customWidth="1"/>
    <col min="2" max="12" width="22.54296875" style="28" customWidth="1"/>
    <col min="13" max="16384" width="10" style="28"/>
  </cols>
  <sheetData>
    <row r="1" spans="1:12" ht="20" x14ac:dyDescent="0.4">
      <c r="A1" s="53" t="s">
        <v>0</v>
      </c>
      <c r="B1" s="54"/>
      <c r="C1" s="54"/>
      <c r="D1" s="54"/>
      <c r="E1" s="54"/>
      <c r="F1" s="54"/>
      <c r="G1" s="54"/>
      <c r="H1" s="54"/>
      <c r="I1" s="54"/>
    </row>
    <row r="2" spans="1:12"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2" ht="15.5" x14ac:dyDescent="0.35">
      <c r="A3" s="57" t="str">
        <f>TABLE_FACTOR_TYPE_1&amp;" - x-"&amp;TABLE_SERIES_NUMBER_1</f>
        <v>ERF - x-406</v>
      </c>
      <c r="B3" s="56"/>
      <c r="C3" s="56"/>
      <c r="D3" s="56"/>
      <c r="E3" s="56"/>
      <c r="F3" s="56"/>
      <c r="G3" s="56"/>
      <c r="H3" s="56"/>
      <c r="I3" s="56"/>
    </row>
    <row r="4" spans="1:12" x14ac:dyDescent="0.25">
      <c r="A4" s="58"/>
    </row>
    <row r="6" spans="1:12" ht="13" x14ac:dyDescent="0.3">
      <c r="A6" s="86" t="s">
        <v>716</v>
      </c>
      <c r="B6" s="111" t="s">
        <v>717</v>
      </c>
      <c r="C6" s="111"/>
      <c r="D6" s="111"/>
      <c r="E6" s="111"/>
      <c r="F6" s="111"/>
      <c r="G6" s="111"/>
      <c r="H6" s="111"/>
      <c r="I6" s="111"/>
      <c r="J6" s="111"/>
      <c r="K6" s="111"/>
      <c r="L6" s="111"/>
    </row>
    <row r="7" spans="1:12" x14ac:dyDescent="0.25">
      <c r="A7" s="87" t="s">
        <v>797</v>
      </c>
      <c r="B7" s="111" t="s">
        <v>326</v>
      </c>
      <c r="C7" s="111"/>
      <c r="D7" s="111"/>
      <c r="E7" s="111"/>
      <c r="F7" s="111"/>
      <c r="G7" s="111"/>
      <c r="H7" s="111"/>
      <c r="I7" s="111"/>
      <c r="J7" s="111"/>
      <c r="K7" s="111"/>
      <c r="L7" s="111"/>
    </row>
    <row r="8" spans="1:12" x14ac:dyDescent="0.25">
      <c r="A8" s="87" t="s">
        <v>798</v>
      </c>
      <c r="B8" s="111" t="s">
        <v>93</v>
      </c>
      <c r="C8" s="111"/>
      <c r="D8" s="111"/>
      <c r="E8" s="111"/>
      <c r="F8" s="111"/>
      <c r="G8" s="111"/>
      <c r="H8" s="111"/>
      <c r="I8" s="111"/>
      <c r="J8" s="111"/>
      <c r="K8" s="111"/>
      <c r="L8" s="111"/>
    </row>
    <row r="9" spans="1:12" x14ac:dyDescent="0.25">
      <c r="A9" s="87" t="s">
        <v>300</v>
      </c>
      <c r="B9" s="111" t="s">
        <v>426</v>
      </c>
      <c r="C9" s="111"/>
      <c r="D9" s="111"/>
      <c r="E9" s="111"/>
      <c r="F9" s="111"/>
      <c r="G9" s="111"/>
      <c r="H9" s="111"/>
      <c r="I9" s="111"/>
      <c r="J9" s="111"/>
      <c r="K9" s="111"/>
      <c r="L9" s="111"/>
    </row>
    <row r="10" spans="1:12" x14ac:dyDescent="0.25">
      <c r="A10" s="87" t="s">
        <v>6</v>
      </c>
      <c r="B10" s="111" t="s">
        <v>450</v>
      </c>
      <c r="C10" s="111"/>
      <c r="D10" s="111"/>
      <c r="E10" s="111"/>
      <c r="F10" s="111"/>
      <c r="G10" s="111"/>
      <c r="H10" s="111"/>
      <c r="I10" s="111"/>
      <c r="J10" s="111"/>
      <c r="K10" s="111"/>
      <c r="L10" s="111"/>
    </row>
    <row r="11" spans="1:12" x14ac:dyDescent="0.25">
      <c r="A11" s="87" t="s">
        <v>301</v>
      </c>
      <c r="B11" s="111" t="s">
        <v>319</v>
      </c>
      <c r="C11" s="111"/>
      <c r="D11" s="111"/>
      <c r="E11" s="111"/>
      <c r="F11" s="111"/>
      <c r="G11" s="111"/>
      <c r="H11" s="111"/>
      <c r="I11" s="111"/>
      <c r="J11" s="111"/>
      <c r="K11" s="111"/>
      <c r="L11" s="111"/>
    </row>
    <row r="12" spans="1:12" x14ac:dyDescent="0.25">
      <c r="A12" s="87" t="s">
        <v>302</v>
      </c>
      <c r="B12" s="111" t="s">
        <v>446</v>
      </c>
      <c r="C12" s="111"/>
      <c r="D12" s="111"/>
      <c r="E12" s="111"/>
      <c r="F12" s="111"/>
      <c r="G12" s="111"/>
      <c r="H12" s="111"/>
      <c r="I12" s="111"/>
      <c r="J12" s="111"/>
      <c r="K12" s="111"/>
      <c r="L12" s="111"/>
    </row>
    <row r="13" spans="1:12" x14ac:dyDescent="0.25">
      <c r="A13" s="87" t="s">
        <v>813</v>
      </c>
      <c r="B13" s="111">
        <v>1</v>
      </c>
      <c r="C13" s="111"/>
      <c r="D13" s="111"/>
      <c r="E13" s="111"/>
      <c r="F13" s="111"/>
      <c r="G13" s="111"/>
      <c r="H13" s="111"/>
      <c r="I13" s="111"/>
      <c r="J13" s="111"/>
      <c r="K13" s="111"/>
      <c r="L13" s="111"/>
    </row>
    <row r="14" spans="1:12" x14ac:dyDescent="0.25">
      <c r="A14" s="87" t="s">
        <v>304</v>
      </c>
      <c r="B14" s="111">
        <v>406</v>
      </c>
      <c r="C14" s="111"/>
      <c r="D14" s="111"/>
      <c r="E14" s="111"/>
      <c r="F14" s="111"/>
      <c r="G14" s="111"/>
      <c r="H14" s="111"/>
      <c r="I14" s="111"/>
      <c r="J14" s="111"/>
      <c r="K14" s="111"/>
      <c r="L14" s="111"/>
    </row>
    <row r="15" spans="1:12" x14ac:dyDescent="0.25">
      <c r="A15" s="87" t="s">
        <v>727</v>
      </c>
      <c r="B15" s="111" t="s">
        <v>451</v>
      </c>
      <c r="C15" s="111"/>
      <c r="D15" s="111"/>
      <c r="E15" s="111"/>
      <c r="F15" s="111"/>
      <c r="G15" s="111"/>
      <c r="H15" s="111"/>
      <c r="I15" s="111"/>
      <c r="J15" s="111"/>
      <c r="K15" s="111"/>
      <c r="L15" s="111"/>
    </row>
    <row r="16" spans="1:12" x14ac:dyDescent="0.25">
      <c r="A16" s="87" t="s">
        <v>306</v>
      </c>
      <c r="B16" s="111" t="s">
        <v>452</v>
      </c>
      <c r="C16" s="111"/>
      <c r="D16" s="111"/>
      <c r="E16" s="111"/>
      <c r="F16" s="111"/>
      <c r="G16" s="111"/>
      <c r="H16" s="111"/>
      <c r="I16" s="111"/>
      <c r="J16" s="111"/>
      <c r="K16" s="111"/>
      <c r="L16" s="111"/>
    </row>
    <row r="17" spans="1:12" x14ac:dyDescent="0.25">
      <c r="A17" s="87" t="s">
        <v>800</v>
      </c>
      <c r="B17" s="111"/>
      <c r="C17" s="111"/>
      <c r="D17" s="111"/>
      <c r="E17" s="111"/>
      <c r="F17" s="111"/>
      <c r="G17" s="111"/>
      <c r="H17" s="111"/>
      <c r="I17" s="111"/>
      <c r="J17" s="111"/>
      <c r="K17" s="111"/>
      <c r="L17" s="111"/>
    </row>
    <row r="18" spans="1:12" x14ac:dyDescent="0.25">
      <c r="A18" s="87" t="s">
        <v>308</v>
      </c>
      <c r="B18" s="122">
        <v>45106</v>
      </c>
      <c r="C18" s="111"/>
      <c r="D18" s="111"/>
      <c r="E18" s="111"/>
      <c r="F18" s="111"/>
      <c r="G18" s="111"/>
      <c r="H18" s="111"/>
      <c r="I18" s="111"/>
      <c r="J18" s="111"/>
      <c r="K18" s="111"/>
      <c r="L18" s="111"/>
    </row>
    <row r="19" spans="1:12" x14ac:dyDescent="0.25">
      <c r="A19" s="87" t="s">
        <v>309</v>
      </c>
      <c r="B19" s="122">
        <v>45200</v>
      </c>
      <c r="C19" s="111"/>
      <c r="D19" s="111"/>
      <c r="E19" s="111"/>
      <c r="F19" s="111"/>
      <c r="G19" s="111"/>
      <c r="H19" s="111"/>
      <c r="I19" s="111"/>
      <c r="J19" s="111"/>
      <c r="K19" s="111"/>
      <c r="L19" s="111"/>
    </row>
    <row r="20" spans="1:12" x14ac:dyDescent="0.25">
      <c r="A20" s="87" t="s">
        <v>310</v>
      </c>
      <c r="B20" s="111" t="s">
        <v>324</v>
      </c>
      <c r="C20" s="111"/>
      <c r="D20" s="111"/>
      <c r="E20" s="111"/>
      <c r="F20" s="111"/>
      <c r="G20" s="111"/>
      <c r="H20" s="111"/>
      <c r="I20" s="111"/>
      <c r="J20" s="111"/>
      <c r="K20" s="111"/>
      <c r="L20" s="111"/>
    </row>
    <row r="21" spans="1:12" x14ac:dyDescent="0.25">
      <c r="A21" s="87" t="s">
        <v>311</v>
      </c>
      <c r="B21" s="111" t="s">
        <v>325</v>
      </c>
      <c r="C21" s="111"/>
      <c r="D21" s="111"/>
      <c r="E21" s="111"/>
      <c r="F21" s="111"/>
      <c r="G21" s="111"/>
      <c r="H21" s="111"/>
      <c r="I21" s="111"/>
      <c r="J21" s="111"/>
      <c r="K21" s="111"/>
      <c r="L21" s="111"/>
    </row>
    <row r="23" spans="1:12" x14ac:dyDescent="0.25">
      <c r="B23" s="104" t="str">
        <f>HYPERLINK("#'Factor List'!A1","Back to Factor List")</f>
        <v>Back to Factor List</v>
      </c>
    </row>
    <row r="24" spans="1:12" x14ac:dyDescent="0.25">
      <c r="B24" s="104" t="s">
        <v>13</v>
      </c>
    </row>
    <row r="26" spans="1:12" ht="13" x14ac:dyDescent="0.25">
      <c r="A26" s="108" t="s">
        <v>839</v>
      </c>
      <c r="B26" s="108">
        <v>50</v>
      </c>
      <c r="C26" s="108">
        <v>51</v>
      </c>
      <c r="D26" s="108">
        <v>52</v>
      </c>
      <c r="E26" s="108">
        <v>53</v>
      </c>
      <c r="F26" s="108">
        <v>54</v>
      </c>
      <c r="G26" s="108">
        <v>55</v>
      </c>
      <c r="H26" s="108">
        <v>56</v>
      </c>
      <c r="I26" s="108">
        <v>57</v>
      </c>
      <c r="J26" s="108">
        <v>58</v>
      </c>
      <c r="K26" s="108">
        <v>59</v>
      </c>
      <c r="L26" s="108">
        <v>60</v>
      </c>
    </row>
    <row r="27" spans="1:12" x14ac:dyDescent="0.25">
      <c r="A27" s="109">
        <v>0</v>
      </c>
      <c r="B27" s="126">
        <v>0.84499999999999997</v>
      </c>
      <c r="C27" s="126">
        <v>0.86</v>
      </c>
      <c r="D27" s="126">
        <v>0.874</v>
      </c>
      <c r="E27" s="126">
        <v>0.88900000000000001</v>
      </c>
      <c r="F27" s="126">
        <v>0.90400000000000003</v>
      </c>
      <c r="G27" s="126">
        <v>0.92</v>
      </c>
      <c r="H27" s="126">
        <v>0.93500000000000005</v>
      </c>
      <c r="I27" s="126">
        <v>0.95099999999999996</v>
      </c>
      <c r="J27" s="126">
        <v>0.96799999999999997</v>
      </c>
      <c r="K27" s="126">
        <v>0.98399999999999999</v>
      </c>
      <c r="L27" s="126">
        <v>1</v>
      </c>
    </row>
    <row r="28" spans="1:12" x14ac:dyDescent="0.25">
      <c r="A28" s="109">
        <v>1</v>
      </c>
      <c r="B28" s="126">
        <v>0.84699999999999998</v>
      </c>
      <c r="C28" s="126">
        <v>0.86099999999999999</v>
      </c>
      <c r="D28" s="126">
        <v>0.876</v>
      </c>
      <c r="E28" s="126">
        <v>0.89100000000000001</v>
      </c>
      <c r="F28" s="126">
        <v>0.90600000000000003</v>
      </c>
      <c r="G28" s="126">
        <v>0.92100000000000004</v>
      </c>
      <c r="H28" s="126">
        <v>0.93700000000000006</v>
      </c>
      <c r="I28" s="126">
        <v>0.95299999999999996</v>
      </c>
      <c r="J28" s="126">
        <v>0.96899999999999997</v>
      </c>
      <c r="K28" s="126">
        <v>0.98499999999999999</v>
      </c>
      <c r="L28" s="126"/>
    </row>
    <row r="29" spans="1:12" x14ac:dyDescent="0.25">
      <c r="A29" s="109">
        <v>2</v>
      </c>
      <c r="B29" s="126">
        <v>0.84799999999999998</v>
      </c>
      <c r="C29" s="126">
        <v>0.86199999999999999</v>
      </c>
      <c r="D29" s="126">
        <v>0.877</v>
      </c>
      <c r="E29" s="126">
        <v>0.89200000000000002</v>
      </c>
      <c r="F29" s="126">
        <v>0.90700000000000003</v>
      </c>
      <c r="G29" s="126">
        <v>0.92200000000000004</v>
      </c>
      <c r="H29" s="126">
        <v>0.93799999999999994</v>
      </c>
      <c r="I29" s="126">
        <v>0.95399999999999996</v>
      </c>
      <c r="J29" s="126">
        <v>0.97</v>
      </c>
      <c r="K29" s="126">
        <v>0.98699999999999999</v>
      </c>
      <c r="L29" s="126"/>
    </row>
    <row r="30" spans="1:12" x14ac:dyDescent="0.25">
      <c r="A30" s="109">
        <v>3</v>
      </c>
      <c r="B30" s="126">
        <v>0.84899999999999998</v>
      </c>
      <c r="C30" s="126">
        <v>0.86299999999999999</v>
      </c>
      <c r="D30" s="126">
        <v>0.878</v>
      </c>
      <c r="E30" s="126">
        <v>0.89300000000000002</v>
      </c>
      <c r="F30" s="126">
        <v>0.90800000000000003</v>
      </c>
      <c r="G30" s="126">
        <v>0.92400000000000004</v>
      </c>
      <c r="H30" s="126">
        <v>0.93899999999999995</v>
      </c>
      <c r="I30" s="126">
        <v>0.95499999999999996</v>
      </c>
      <c r="J30" s="126">
        <v>0.97199999999999998</v>
      </c>
      <c r="K30" s="126">
        <v>0.98799999999999999</v>
      </c>
      <c r="L30" s="126"/>
    </row>
    <row r="31" spans="1:12" x14ac:dyDescent="0.25">
      <c r="A31" s="109">
        <v>4</v>
      </c>
      <c r="B31" s="126">
        <v>0.85</v>
      </c>
      <c r="C31" s="126">
        <v>0.86499999999999999</v>
      </c>
      <c r="D31" s="126">
        <v>0.879</v>
      </c>
      <c r="E31" s="126">
        <v>0.89400000000000002</v>
      </c>
      <c r="F31" s="126">
        <v>0.91</v>
      </c>
      <c r="G31" s="126">
        <v>0.92500000000000004</v>
      </c>
      <c r="H31" s="126">
        <v>0.94099999999999995</v>
      </c>
      <c r="I31" s="126">
        <v>0.95699999999999996</v>
      </c>
      <c r="J31" s="126">
        <v>0.97299999999999998</v>
      </c>
      <c r="K31" s="126">
        <v>0.99</v>
      </c>
      <c r="L31" s="126"/>
    </row>
    <row r="32" spans="1:12" x14ac:dyDescent="0.25">
      <c r="A32" s="109">
        <v>5</v>
      </c>
      <c r="B32" s="126">
        <v>0.85099999999999998</v>
      </c>
      <c r="C32" s="126">
        <v>0.86599999999999999</v>
      </c>
      <c r="D32" s="126">
        <v>0.88100000000000001</v>
      </c>
      <c r="E32" s="126">
        <v>0.89600000000000002</v>
      </c>
      <c r="F32" s="126">
        <v>0.91100000000000003</v>
      </c>
      <c r="G32" s="126">
        <v>0.92600000000000005</v>
      </c>
      <c r="H32" s="126">
        <v>0.94199999999999995</v>
      </c>
      <c r="I32" s="126">
        <v>0.95799999999999996</v>
      </c>
      <c r="J32" s="126">
        <v>0.97399999999999998</v>
      </c>
      <c r="K32" s="126">
        <v>0.99099999999999999</v>
      </c>
      <c r="L32" s="126"/>
    </row>
    <row r="33" spans="1:12" x14ac:dyDescent="0.25">
      <c r="A33" s="109">
        <v>6</v>
      </c>
      <c r="B33" s="126">
        <v>0.85299999999999998</v>
      </c>
      <c r="C33" s="126">
        <v>0.86699999999999999</v>
      </c>
      <c r="D33" s="126">
        <v>0.88200000000000001</v>
      </c>
      <c r="E33" s="126">
        <v>0.89700000000000002</v>
      </c>
      <c r="F33" s="126">
        <v>0.91200000000000003</v>
      </c>
      <c r="G33" s="126">
        <v>0.92800000000000005</v>
      </c>
      <c r="H33" s="126">
        <v>0.94299999999999995</v>
      </c>
      <c r="I33" s="126">
        <v>0.95899999999999996</v>
      </c>
      <c r="J33" s="126">
        <v>0.97599999999999998</v>
      </c>
      <c r="K33" s="126">
        <v>0.99199999999999999</v>
      </c>
      <c r="L33" s="126"/>
    </row>
    <row r="34" spans="1:12" x14ac:dyDescent="0.25">
      <c r="A34" s="109">
        <v>7</v>
      </c>
      <c r="B34" s="126">
        <v>0.85399999999999998</v>
      </c>
      <c r="C34" s="126">
        <v>0.86799999999999999</v>
      </c>
      <c r="D34" s="126">
        <v>0.88300000000000001</v>
      </c>
      <c r="E34" s="126">
        <v>0.89800000000000002</v>
      </c>
      <c r="F34" s="126">
        <v>0.91300000000000003</v>
      </c>
      <c r="G34" s="126">
        <v>0.92900000000000005</v>
      </c>
      <c r="H34" s="126">
        <v>0.94499999999999995</v>
      </c>
      <c r="I34" s="126">
        <v>0.96099999999999997</v>
      </c>
      <c r="J34" s="126">
        <v>0.97699999999999998</v>
      </c>
      <c r="K34" s="126">
        <v>0.99399999999999999</v>
      </c>
      <c r="L34" s="126"/>
    </row>
    <row r="35" spans="1:12" x14ac:dyDescent="0.25">
      <c r="A35" s="109">
        <v>8</v>
      </c>
      <c r="B35" s="126">
        <v>0.85499999999999998</v>
      </c>
      <c r="C35" s="126">
        <v>0.87</v>
      </c>
      <c r="D35" s="126">
        <v>0.88400000000000001</v>
      </c>
      <c r="E35" s="126">
        <v>0.89900000000000002</v>
      </c>
      <c r="F35" s="126">
        <v>0.91500000000000004</v>
      </c>
      <c r="G35" s="126">
        <v>0.93</v>
      </c>
      <c r="H35" s="126">
        <v>0.94599999999999995</v>
      </c>
      <c r="I35" s="126">
        <v>0.96199999999999997</v>
      </c>
      <c r="J35" s="126">
        <v>0.97799999999999998</v>
      </c>
      <c r="K35" s="126">
        <v>0.995</v>
      </c>
      <c r="L35" s="126"/>
    </row>
    <row r="36" spans="1:12" x14ac:dyDescent="0.25">
      <c r="A36" s="109">
        <v>9</v>
      </c>
      <c r="B36" s="126">
        <v>0.85599999999999998</v>
      </c>
      <c r="C36" s="126">
        <v>0.871</v>
      </c>
      <c r="D36" s="126">
        <v>0.88600000000000001</v>
      </c>
      <c r="E36" s="126">
        <v>0.90100000000000002</v>
      </c>
      <c r="F36" s="126">
        <v>0.91600000000000004</v>
      </c>
      <c r="G36" s="126">
        <v>0.93200000000000005</v>
      </c>
      <c r="H36" s="126">
        <v>0.94699999999999995</v>
      </c>
      <c r="I36" s="126">
        <v>0.96299999999999997</v>
      </c>
      <c r="J36" s="126">
        <v>0.98</v>
      </c>
      <c r="K36" s="126">
        <v>0.997</v>
      </c>
      <c r="L36" s="126"/>
    </row>
    <row r="37" spans="1:12" x14ac:dyDescent="0.25">
      <c r="A37" s="109">
        <v>10</v>
      </c>
      <c r="B37" s="126">
        <v>0.85699999999999998</v>
      </c>
      <c r="C37" s="126">
        <v>0.872</v>
      </c>
      <c r="D37" s="126">
        <v>0.88700000000000001</v>
      </c>
      <c r="E37" s="126">
        <v>0.90200000000000002</v>
      </c>
      <c r="F37" s="126">
        <v>0.91700000000000004</v>
      </c>
      <c r="G37" s="126">
        <v>0.93300000000000005</v>
      </c>
      <c r="H37" s="126">
        <v>0.94899999999999995</v>
      </c>
      <c r="I37" s="126">
        <v>0.96499999999999997</v>
      </c>
      <c r="J37" s="126">
        <v>0.98099999999999998</v>
      </c>
      <c r="K37" s="126">
        <v>0.998</v>
      </c>
      <c r="L37" s="126"/>
    </row>
    <row r="38" spans="1:12" x14ac:dyDescent="0.25">
      <c r="A38" s="109">
        <v>11</v>
      </c>
      <c r="B38" s="126">
        <v>0.85899999999999999</v>
      </c>
      <c r="C38" s="126">
        <v>0.873</v>
      </c>
      <c r="D38" s="126">
        <v>0.88800000000000001</v>
      </c>
      <c r="E38" s="126">
        <v>0.90300000000000002</v>
      </c>
      <c r="F38" s="126">
        <v>0.91900000000000004</v>
      </c>
      <c r="G38" s="126">
        <v>0.93400000000000005</v>
      </c>
      <c r="H38" s="126">
        <v>0.95</v>
      </c>
      <c r="I38" s="126">
        <v>0.96599999999999997</v>
      </c>
      <c r="J38" s="126">
        <v>0.98299999999999998</v>
      </c>
      <c r="K38" s="126">
        <v>0.999</v>
      </c>
      <c r="L38" s="126"/>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5" customHeight="1" x14ac:dyDescent="0.25">
      <c r="A44"/>
      <c r="B44"/>
    </row>
    <row r="45" spans="1:12" x14ac:dyDescent="0.25">
      <c r="A45"/>
      <c r="B45"/>
    </row>
    <row r="46" spans="1:12" ht="27.65"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833" priority="3" stopIfTrue="1">
      <formula>MOD(ROW(),2)=0</formula>
    </cfRule>
    <cfRule type="expression" dxfId="832" priority="4" stopIfTrue="1">
      <formula>MOD(ROW(),2)&lt;&gt;0</formula>
    </cfRule>
  </conditionalFormatting>
  <conditionalFormatting sqref="A26:A38">
    <cfRule type="expression" dxfId="831" priority="7" stopIfTrue="1">
      <formula>MOD(ROW(),2)=0</formula>
    </cfRule>
    <cfRule type="expression" dxfId="830" priority="8" stopIfTrue="1">
      <formula>MOD(ROW(),2)&lt;&gt;0</formula>
    </cfRule>
  </conditionalFormatting>
  <conditionalFormatting sqref="B17:B18 B20:B21">
    <cfRule type="expression" dxfId="829" priority="13" stopIfTrue="1">
      <formula>MOD(ROW(),2)=0</formula>
    </cfRule>
    <cfRule type="expression" dxfId="828" priority="14" stopIfTrue="1">
      <formula>MOD(ROW(),2)&lt;&gt;0</formula>
    </cfRule>
  </conditionalFormatting>
  <conditionalFormatting sqref="B19">
    <cfRule type="expression" dxfId="827" priority="1" stopIfTrue="1">
      <formula>MOD(ROW(),2)=0</formula>
    </cfRule>
    <cfRule type="expression" dxfId="826" priority="2" stopIfTrue="1">
      <formula>MOD(ROW(),2)&lt;&gt;0</formula>
    </cfRule>
  </conditionalFormatting>
  <conditionalFormatting sqref="B6:L6 C7:L7 B8:L16 C17:L21">
    <cfRule type="expression" dxfId="825" priority="25" stopIfTrue="1">
      <formula>MOD(ROW(),2)=0</formula>
    </cfRule>
    <cfRule type="expression" dxfId="824" priority="26" stopIfTrue="1">
      <formula>MOD(ROW(),2)&lt;&gt;0</formula>
    </cfRule>
  </conditionalFormatting>
  <conditionalFormatting sqref="B6:L21">
    <cfRule type="expression" dxfId="823" priority="11" stopIfTrue="1">
      <formula>MOD(ROW(),2)=0</formula>
    </cfRule>
    <cfRule type="expression" dxfId="822" priority="12" stopIfTrue="1">
      <formula>MOD(ROW(),2)&lt;&gt;0</formula>
    </cfRule>
  </conditionalFormatting>
  <conditionalFormatting sqref="B26:L38">
    <cfRule type="expression" dxfId="821" priority="9" stopIfTrue="1">
      <formula>MOD(ROW(),2)=0</formula>
    </cfRule>
    <cfRule type="expression" dxfId="820" priority="10" stopIfTrue="1">
      <formula>MOD(ROW(),2)&lt;&gt;0</formula>
    </cfRule>
  </conditionalFormatting>
  <hyperlinks>
    <hyperlink ref="B24" location="Assumptions!A1" display="Assumptions" xr:uid="{871762F8-069F-4524-AB57-E7C46B4CF65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0"/>
  <dimension ref="A1:I65"/>
  <sheetViews>
    <sheetView workbookViewId="0"/>
  </sheetViews>
  <sheetFormatPr defaultColWidth="10" defaultRowHeight="12.5" x14ac:dyDescent="0.25"/>
  <cols>
    <col min="1" max="1" width="31.54296875" style="28" customWidth="1"/>
    <col min="2" max="7" width="22.54296875" style="28" customWidth="1"/>
    <col min="8"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ERF - x-407</v>
      </c>
      <c r="B3" s="56"/>
      <c r="C3" s="56"/>
      <c r="D3" s="56"/>
      <c r="E3" s="56"/>
      <c r="F3" s="56"/>
      <c r="G3" s="56"/>
      <c r="H3" s="56"/>
      <c r="I3" s="56"/>
    </row>
    <row r="4" spans="1:9" x14ac:dyDescent="0.25">
      <c r="A4" s="58"/>
    </row>
    <row r="6" spans="1:9" ht="13" x14ac:dyDescent="0.3">
      <c r="A6" s="86" t="s">
        <v>716</v>
      </c>
      <c r="B6" s="111" t="s">
        <v>717</v>
      </c>
      <c r="C6" s="111"/>
      <c r="D6" s="111"/>
      <c r="E6" s="111"/>
      <c r="F6" s="111"/>
      <c r="G6" s="111"/>
    </row>
    <row r="7" spans="1:9" x14ac:dyDescent="0.25">
      <c r="A7" s="87" t="s">
        <v>797</v>
      </c>
      <c r="B7" s="111" t="s">
        <v>326</v>
      </c>
      <c r="C7" s="111"/>
      <c r="D7" s="111"/>
      <c r="E7" s="111"/>
      <c r="F7" s="111"/>
      <c r="G7" s="111"/>
    </row>
    <row r="8" spans="1:9" x14ac:dyDescent="0.25">
      <c r="A8" s="87" t="s">
        <v>798</v>
      </c>
      <c r="B8" s="111" t="s">
        <v>444</v>
      </c>
      <c r="C8" s="111"/>
      <c r="D8" s="111"/>
      <c r="E8" s="111"/>
      <c r="F8" s="111"/>
      <c r="G8" s="111"/>
    </row>
    <row r="9" spans="1:9" x14ac:dyDescent="0.25">
      <c r="A9" s="87" t="s">
        <v>300</v>
      </c>
      <c r="B9" s="111" t="s">
        <v>426</v>
      </c>
      <c r="C9" s="111"/>
      <c r="D9" s="111"/>
      <c r="E9" s="111"/>
      <c r="F9" s="111"/>
      <c r="G9" s="111"/>
    </row>
    <row r="10" spans="1:9" x14ac:dyDescent="0.25">
      <c r="A10" s="87" t="s">
        <v>6</v>
      </c>
      <c r="B10" s="111" t="s">
        <v>454</v>
      </c>
      <c r="C10" s="111"/>
      <c r="D10" s="111"/>
      <c r="E10" s="111"/>
      <c r="F10" s="111"/>
      <c r="G10" s="111"/>
    </row>
    <row r="11" spans="1:9" x14ac:dyDescent="0.25">
      <c r="A11" s="87" t="s">
        <v>301</v>
      </c>
      <c r="B11" s="111" t="s">
        <v>319</v>
      </c>
      <c r="C11" s="111"/>
      <c r="D11" s="111"/>
      <c r="E11" s="111"/>
      <c r="F11" s="111"/>
      <c r="G11" s="111"/>
    </row>
    <row r="12" spans="1:9" x14ac:dyDescent="0.25">
      <c r="A12" s="87" t="s">
        <v>302</v>
      </c>
      <c r="B12" s="111" t="s">
        <v>446</v>
      </c>
      <c r="C12" s="111"/>
      <c r="D12" s="111"/>
      <c r="E12" s="111"/>
      <c r="F12" s="111"/>
      <c r="G12" s="111"/>
    </row>
    <row r="13" spans="1:9" x14ac:dyDescent="0.25">
      <c r="A13" s="87" t="s">
        <v>813</v>
      </c>
      <c r="B13" s="111">
        <v>1</v>
      </c>
      <c r="C13" s="111"/>
      <c r="D13" s="111"/>
      <c r="E13" s="111"/>
      <c r="F13" s="111"/>
      <c r="G13" s="111"/>
    </row>
    <row r="14" spans="1:9" x14ac:dyDescent="0.25">
      <c r="A14" s="87" t="s">
        <v>304</v>
      </c>
      <c r="B14" s="111">
        <v>407</v>
      </c>
      <c r="C14" s="111"/>
      <c r="D14" s="111"/>
      <c r="E14" s="111"/>
      <c r="F14" s="111"/>
      <c r="G14" s="111"/>
    </row>
    <row r="15" spans="1:9" x14ac:dyDescent="0.25">
      <c r="A15" s="87" t="s">
        <v>727</v>
      </c>
      <c r="B15" s="111" t="s">
        <v>455</v>
      </c>
      <c r="C15" s="111"/>
      <c r="D15" s="111"/>
      <c r="E15" s="111"/>
      <c r="F15" s="111"/>
      <c r="G15" s="111"/>
    </row>
    <row r="16" spans="1:9" x14ac:dyDescent="0.25">
      <c r="A16" s="87" t="s">
        <v>306</v>
      </c>
      <c r="B16" s="111" t="s">
        <v>456</v>
      </c>
      <c r="C16" s="111"/>
      <c r="D16" s="111"/>
      <c r="E16" s="111"/>
      <c r="F16" s="111"/>
      <c r="G16" s="111"/>
    </row>
    <row r="17" spans="1:7" x14ac:dyDescent="0.25">
      <c r="A17" s="87" t="s">
        <v>800</v>
      </c>
      <c r="B17" s="111"/>
      <c r="C17" s="111"/>
      <c r="D17" s="111"/>
      <c r="E17" s="111"/>
      <c r="F17" s="111"/>
      <c r="G17" s="111"/>
    </row>
    <row r="18" spans="1:7" x14ac:dyDescent="0.25">
      <c r="A18" s="87" t="s">
        <v>308</v>
      </c>
      <c r="B18" s="122">
        <v>45106</v>
      </c>
      <c r="C18" s="111"/>
      <c r="D18" s="111"/>
      <c r="E18" s="111"/>
      <c r="F18" s="111"/>
      <c r="G18" s="111"/>
    </row>
    <row r="19" spans="1:7" x14ac:dyDescent="0.25">
      <c r="A19" s="87" t="s">
        <v>309</v>
      </c>
      <c r="B19" s="122">
        <v>45200</v>
      </c>
      <c r="C19" s="111"/>
      <c r="D19" s="111"/>
      <c r="E19" s="111"/>
      <c r="F19" s="111"/>
      <c r="G19" s="111"/>
    </row>
    <row r="20" spans="1:7" x14ac:dyDescent="0.25">
      <c r="A20" s="87" t="s">
        <v>310</v>
      </c>
      <c r="B20" s="111" t="s">
        <v>324</v>
      </c>
      <c r="C20" s="111"/>
      <c r="D20" s="111"/>
      <c r="E20" s="111"/>
      <c r="F20" s="111"/>
      <c r="G20" s="111"/>
    </row>
    <row r="21" spans="1:7" x14ac:dyDescent="0.25">
      <c r="A21" s="87" t="s">
        <v>311</v>
      </c>
      <c r="B21" s="111" t="s">
        <v>325</v>
      </c>
      <c r="C21" s="111"/>
      <c r="D21" s="111"/>
      <c r="E21" s="111"/>
      <c r="F21" s="111"/>
      <c r="G21" s="111"/>
    </row>
    <row r="23" spans="1:7" x14ac:dyDescent="0.25">
      <c r="B23" s="104" t="str">
        <f>HYPERLINK("#'Factor List'!A1","Back to Factor List")</f>
        <v>Back to Factor List</v>
      </c>
    </row>
    <row r="24" spans="1:7" x14ac:dyDescent="0.25">
      <c r="B24" s="104" t="s">
        <v>13</v>
      </c>
    </row>
    <row r="26" spans="1:7" ht="13" x14ac:dyDescent="0.25">
      <c r="A26" s="108" t="s">
        <v>839</v>
      </c>
      <c r="B26" s="108">
        <v>50</v>
      </c>
      <c r="C26" s="108">
        <v>51</v>
      </c>
      <c r="D26" s="108">
        <v>52</v>
      </c>
      <c r="E26" s="108">
        <v>53</v>
      </c>
      <c r="F26" s="108">
        <v>54</v>
      </c>
      <c r="G26" s="108">
        <v>55</v>
      </c>
    </row>
    <row r="27" spans="1:7" x14ac:dyDescent="0.25">
      <c r="A27" s="109">
        <v>0</v>
      </c>
      <c r="B27" s="126">
        <v>0.251</v>
      </c>
      <c r="C27" s="126">
        <v>0.20100000000000001</v>
      </c>
      <c r="D27" s="126">
        <v>0.15</v>
      </c>
      <c r="E27" s="126">
        <v>0.1</v>
      </c>
      <c r="F27" s="126">
        <v>4.9000000000000002E-2</v>
      </c>
      <c r="G27" s="126">
        <v>0</v>
      </c>
    </row>
    <row r="28" spans="1:7" x14ac:dyDescent="0.25">
      <c r="A28" s="109">
        <v>1</v>
      </c>
      <c r="B28" s="126">
        <v>0.246</v>
      </c>
      <c r="C28" s="126">
        <v>0.19600000000000001</v>
      </c>
      <c r="D28" s="126">
        <v>0.14599999999999999</v>
      </c>
      <c r="E28" s="126">
        <v>9.6000000000000002E-2</v>
      </c>
      <c r="F28" s="126">
        <v>4.4999999999999998E-2</v>
      </c>
      <c r="G28" s="126"/>
    </row>
    <row r="29" spans="1:7" x14ac:dyDescent="0.25">
      <c r="A29" s="109">
        <v>2</v>
      </c>
      <c r="B29" s="126">
        <v>0.24199999999999999</v>
      </c>
      <c r="C29" s="126">
        <v>0.192</v>
      </c>
      <c r="D29" s="126">
        <v>0.14199999999999999</v>
      </c>
      <c r="E29" s="126">
        <v>9.0999999999999998E-2</v>
      </c>
      <c r="F29" s="126">
        <v>0.04</v>
      </c>
      <c r="G29" s="126"/>
    </row>
    <row r="30" spans="1:7" x14ac:dyDescent="0.25">
      <c r="A30" s="109">
        <v>3</v>
      </c>
      <c r="B30" s="126">
        <v>0.23799999999999999</v>
      </c>
      <c r="C30" s="126">
        <v>0.188</v>
      </c>
      <c r="D30" s="126">
        <v>0.13800000000000001</v>
      </c>
      <c r="E30" s="126">
        <v>8.6999999999999994E-2</v>
      </c>
      <c r="F30" s="126">
        <v>3.5999999999999997E-2</v>
      </c>
      <c r="G30" s="126"/>
    </row>
    <row r="31" spans="1:7" x14ac:dyDescent="0.25">
      <c r="A31" s="109">
        <v>4</v>
      </c>
      <c r="B31" s="126">
        <v>0.23400000000000001</v>
      </c>
      <c r="C31" s="126">
        <v>0.184</v>
      </c>
      <c r="D31" s="126">
        <v>0.13400000000000001</v>
      </c>
      <c r="E31" s="126">
        <v>8.3000000000000004E-2</v>
      </c>
      <c r="F31" s="126">
        <v>3.2000000000000001E-2</v>
      </c>
      <c r="G31" s="126"/>
    </row>
    <row r="32" spans="1:7" x14ac:dyDescent="0.25">
      <c r="A32" s="109">
        <v>5</v>
      </c>
      <c r="B32" s="126">
        <v>0.23</v>
      </c>
      <c r="C32" s="126">
        <v>0.18</v>
      </c>
      <c r="D32" s="126">
        <v>0.129</v>
      </c>
      <c r="E32" s="126">
        <v>7.9000000000000001E-2</v>
      </c>
      <c r="F32" s="126">
        <v>2.8000000000000001E-2</v>
      </c>
      <c r="G32" s="126"/>
    </row>
    <row r="33" spans="1:7" x14ac:dyDescent="0.25">
      <c r="A33" s="109">
        <v>6</v>
      </c>
      <c r="B33" s="126">
        <v>0.22600000000000001</v>
      </c>
      <c r="C33" s="126">
        <v>0.17599999999999999</v>
      </c>
      <c r="D33" s="126">
        <v>0.125</v>
      </c>
      <c r="E33" s="126">
        <v>7.3999999999999996E-2</v>
      </c>
      <c r="F33" s="126">
        <v>2.3E-2</v>
      </c>
      <c r="G33" s="126"/>
    </row>
    <row r="34" spans="1:7" x14ac:dyDescent="0.25">
      <c r="A34" s="109">
        <v>7</v>
      </c>
      <c r="B34" s="126">
        <v>0.222</v>
      </c>
      <c r="C34" s="126">
        <v>0.17100000000000001</v>
      </c>
      <c r="D34" s="126">
        <v>0.121</v>
      </c>
      <c r="E34" s="126">
        <v>7.0000000000000007E-2</v>
      </c>
      <c r="F34" s="126">
        <v>1.9E-2</v>
      </c>
      <c r="G34" s="126"/>
    </row>
    <row r="35" spans="1:7" x14ac:dyDescent="0.25">
      <c r="A35" s="109">
        <v>8</v>
      </c>
      <c r="B35" s="126">
        <v>0.217</v>
      </c>
      <c r="C35" s="126">
        <v>0.16700000000000001</v>
      </c>
      <c r="D35" s="126">
        <v>0.11700000000000001</v>
      </c>
      <c r="E35" s="126">
        <v>6.6000000000000003E-2</v>
      </c>
      <c r="F35" s="126">
        <v>1.4999999999999999E-2</v>
      </c>
      <c r="G35" s="126"/>
    </row>
    <row r="36" spans="1:7" x14ac:dyDescent="0.25">
      <c r="A36" s="109">
        <v>9</v>
      </c>
      <c r="B36" s="126">
        <v>0.21299999999999999</v>
      </c>
      <c r="C36" s="126">
        <v>0.16300000000000001</v>
      </c>
      <c r="D36" s="126">
        <v>0.112</v>
      </c>
      <c r="E36" s="126">
        <v>6.2E-2</v>
      </c>
      <c r="F36" s="126">
        <v>1.0999999999999999E-2</v>
      </c>
      <c r="G36" s="126"/>
    </row>
    <row r="37" spans="1:7" x14ac:dyDescent="0.25">
      <c r="A37" s="109">
        <v>10</v>
      </c>
      <c r="B37" s="126">
        <v>0.20899999999999999</v>
      </c>
      <c r="C37" s="126">
        <v>0.159</v>
      </c>
      <c r="D37" s="126">
        <v>0.108</v>
      </c>
      <c r="E37" s="126">
        <v>5.7000000000000002E-2</v>
      </c>
      <c r="F37" s="126">
        <v>6.0000000000000001E-3</v>
      </c>
      <c r="G37" s="126"/>
    </row>
    <row r="38" spans="1:7" x14ac:dyDescent="0.25">
      <c r="A38" s="109">
        <v>11</v>
      </c>
      <c r="B38" s="126">
        <v>0.20499999999999999</v>
      </c>
      <c r="C38" s="126">
        <v>0.155</v>
      </c>
      <c r="D38" s="126">
        <v>0.104</v>
      </c>
      <c r="E38" s="126">
        <v>5.2999999999999999E-2</v>
      </c>
      <c r="F38" s="126">
        <v>2E-3</v>
      </c>
      <c r="G38" s="126"/>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5" customHeight="1" x14ac:dyDescent="0.25">
      <c r="A44"/>
      <c r="B44"/>
    </row>
    <row r="45" spans="1:7" x14ac:dyDescent="0.25">
      <c r="A45"/>
      <c r="B45"/>
    </row>
    <row r="46" spans="1:7" ht="27.65"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819" priority="3" stopIfTrue="1">
      <formula>MOD(ROW(),2)=0</formula>
    </cfRule>
    <cfRule type="expression" dxfId="818" priority="4" stopIfTrue="1">
      <formula>MOD(ROW(),2)&lt;&gt;0</formula>
    </cfRule>
  </conditionalFormatting>
  <conditionalFormatting sqref="A26:A38">
    <cfRule type="expression" dxfId="817" priority="7" stopIfTrue="1">
      <formula>MOD(ROW(),2)=0</formula>
    </cfRule>
    <cfRule type="expression" dxfId="816" priority="8" stopIfTrue="1">
      <formula>MOD(ROW(),2)&lt;&gt;0</formula>
    </cfRule>
  </conditionalFormatting>
  <conditionalFormatting sqref="B17:B18 B20:B21">
    <cfRule type="expression" dxfId="815" priority="13" stopIfTrue="1">
      <formula>MOD(ROW(),2)=0</formula>
    </cfRule>
    <cfRule type="expression" dxfId="814" priority="14" stopIfTrue="1">
      <formula>MOD(ROW(),2)&lt;&gt;0</formula>
    </cfRule>
  </conditionalFormatting>
  <conditionalFormatting sqref="B19">
    <cfRule type="expression" dxfId="813" priority="1" stopIfTrue="1">
      <formula>MOD(ROW(),2)=0</formula>
    </cfRule>
    <cfRule type="expression" dxfId="812" priority="2" stopIfTrue="1">
      <formula>MOD(ROW(),2)&lt;&gt;0</formula>
    </cfRule>
  </conditionalFormatting>
  <conditionalFormatting sqref="B6:G6 C7:G7 B8:G16 C17:G21">
    <cfRule type="expression" dxfId="811" priority="25" stopIfTrue="1">
      <formula>MOD(ROW(),2)=0</formula>
    </cfRule>
    <cfRule type="expression" dxfId="810" priority="26" stopIfTrue="1">
      <formula>MOD(ROW(),2)&lt;&gt;0</formula>
    </cfRule>
  </conditionalFormatting>
  <conditionalFormatting sqref="B6:G21">
    <cfRule type="expression" dxfId="809" priority="11" stopIfTrue="1">
      <formula>MOD(ROW(),2)=0</formula>
    </cfRule>
    <cfRule type="expression" dxfId="808" priority="12" stopIfTrue="1">
      <formula>MOD(ROW(),2)&lt;&gt;0</formula>
    </cfRule>
  </conditionalFormatting>
  <conditionalFormatting sqref="B26:G38">
    <cfRule type="expression" dxfId="807" priority="9" stopIfTrue="1">
      <formula>MOD(ROW(),2)=0</formula>
    </cfRule>
    <cfRule type="expression" dxfId="806" priority="10" stopIfTrue="1">
      <formula>MOD(ROW(),2)&lt;&gt;0</formula>
    </cfRule>
  </conditionalFormatting>
  <hyperlinks>
    <hyperlink ref="B24" location="Assumptions!A1" display="Assumptions" xr:uid="{BF295E88-D663-4665-9D5D-29FAE67A3F5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1"/>
  <dimension ref="A1:P65"/>
  <sheetViews>
    <sheetView workbookViewId="0"/>
  </sheetViews>
  <sheetFormatPr defaultColWidth="10" defaultRowHeight="12.5" x14ac:dyDescent="0.25"/>
  <cols>
    <col min="1" max="1" width="31.54296875" style="28" customWidth="1"/>
    <col min="2" max="7" width="22.54296875" style="28" customWidth="1"/>
    <col min="8" max="9" width="10" style="28"/>
    <col min="10" max="10" width="31.54296875" style="28" customWidth="1"/>
    <col min="11" max="16" width="22.54296875" style="28" customWidth="1"/>
    <col min="17" max="16384" width="10" style="28"/>
  </cols>
  <sheetData>
    <row r="1" spans="1:16" ht="20" x14ac:dyDescent="0.4">
      <c r="A1" s="53" t="s">
        <v>0</v>
      </c>
      <c r="B1" s="54"/>
      <c r="C1" s="54"/>
      <c r="D1" s="54"/>
      <c r="E1" s="54"/>
      <c r="F1" s="54"/>
      <c r="G1" s="54"/>
      <c r="H1" s="54"/>
      <c r="I1" s="54"/>
    </row>
    <row r="2" spans="1:16"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6" ht="15.5" x14ac:dyDescent="0.35">
      <c r="A3" s="57" t="str">
        <f>TABLE_FACTOR_TYPE_1&amp;" - x-"&amp;TABLE_SERIES_NUMBER_1</f>
        <v>ERF - x-408</v>
      </c>
      <c r="B3" s="56"/>
      <c r="C3" s="56"/>
      <c r="D3" s="56"/>
      <c r="E3" s="56"/>
      <c r="F3" s="56"/>
      <c r="G3" s="56"/>
      <c r="H3" s="56"/>
      <c r="I3" s="56"/>
    </row>
    <row r="4" spans="1:16" x14ac:dyDescent="0.25">
      <c r="A4" s="58"/>
    </row>
    <row r="6" spans="1:16" ht="13" x14ac:dyDescent="0.3">
      <c r="A6" s="86" t="s">
        <v>716</v>
      </c>
      <c r="B6" s="111" t="s">
        <v>717</v>
      </c>
      <c r="C6" s="111"/>
      <c r="D6" s="111"/>
      <c r="E6" s="111"/>
      <c r="F6" s="111"/>
      <c r="G6" s="111"/>
      <c r="J6" s="86" t="s">
        <v>716</v>
      </c>
      <c r="K6" s="111" t="s">
        <v>717</v>
      </c>
      <c r="L6" s="111"/>
      <c r="M6" s="111"/>
      <c r="N6" s="111"/>
      <c r="O6" s="111"/>
      <c r="P6" s="111"/>
    </row>
    <row r="7" spans="1:16" x14ac:dyDescent="0.25">
      <c r="A7" s="87" t="s">
        <v>797</v>
      </c>
      <c r="B7" s="111" t="s">
        <v>326</v>
      </c>
      <c r="C7" s="111"/>
      <c r="D7" s="111"/>
      <c r="E7" s="111"/>
      <c r="F7" s="111"/>
      <c r="G7" s="111"/>
      <c r="J7" s="87" t="s">
        <v>797</v>
      </c>
      <c r="K7" s="111" t="s">
        <v>326</v>
      </c>
      <c r="L7" s="111"/>
      <c r="M7" s="111"/>
      <c r="N7" s="111"/>
      <c r="O7" s="111"/>
      <c r="P7" s="111"/>
    </row>
    <row r="8" spans="1:16" x14ac:dyDescent="0.25">
      <c r="A8" s="87" t="s">
        <v>798</v>
      </c>
      <c r="B8" s="111" t="s">
        <v>93</v>
      </c>
      <c r="C8" s="111"/>
      <c r="D8" s="111"/>
      <c r="E8" s="111"/>
      <c r="F8" s="111"/>
      <c r="G8" s="111"/>
      <c r="J8" s="87" t="s">
        <v>798</v>
      </c>
      <c r="K8" s="111" t="s">
        <v>93</v>
      </c>
      <c r="L8" s="111"/>
      <c r="M8" s="111"/>
      <c r="N8" s="111"/>
      <c r="O8" s="111"/>
      <c r="P8" s="111"/>
    </row>
    <row r="9" spans="1:16" x14ac:dyDescent="0.25">
      <c r="A9" s="87" t="s">
        <v>300</v>
      </c>
      <c r="B9" s="111" t="s">
        <v>426</v>
      </c>
      <c r="C9" s="111"/>
      <c r="D9" s="111"/>
      <c r="E9" s="111"/>
      <c r="F9" s="111"/>
      <c r="G9" s="111"/>
      <c r="J9" s="87" t="s">
        <v>300</v>
      </c>
      <c r="K9" s="111" t="s">
        <v>426</v>
      </c>
      <c r="L9" s="111"/>
      <c r="M9" s="111"/>
      <c r="N9" s="111"/>
      <c r="O9" s="111"/>
      <c r="P9" s="111"/>
    </row>
    <row r="10" spans="1:16" x14ac:dyDescent="0.25">
      <c r="A10" s="87" t="s">
        <v>6</v>
      </c>
      <c r="B10" s="111" t="s">
        <v>458</v>
      </c>
      <c r="C10" s="111"/>
      <c r="D10" s="111"/>
      <c r="E10" s="111"/>
      <c r="F10" s="111"/>
      <c r="G10" s="111"/>
      <c r="J10" s="87" t="s">
        <v>6</v>
      </c>
      <c r="K10" s="111" t="s">
        <v>458</v>
      </c>
      <c r="L10" s="111"/>
      <c r="M10" s="111"/>
      <c r="N10" s="111"/>
      <c r="O10" s="111"/>
      <c r="P10" s="111"/>
    </row>
    <row r="11" spans="1:16" x14ac:dyDescent="0.25">
      <c r="A11" s="87" t="s">
        <v>301</v>
      </c>
      <c r="B11" s="111" t="s">
        <v>319</v>
      </c>
      <c r="C11" s="111"/>
      <c r="D11" s="111"/>
      <c r="E11" s="111"/>
      <c r="F11" s="111"/>
      <c r="G11" s="111"/>
      <c r="J11" s="87" t="s">
        <v>301</v>
      </c>
      <c r="K11" s="111" t="s">
        <v>319</v>
      </c>
      <c r="L11" s="111"/>
      <c r="M11" s="111"/>
      <c r="N11" s="111"/>
      <c r="O11" s="111"/>
      <c r="P11" s="111"/>
    </row>
    <row r="12" spans="1:16" x14ac:dyDescent="0.25">
      <c r="A12" s="87" t="s">
        <v>302</v>
      </c>
      <c r="B12" s="111" t="s">
        <v>446</v>
      </c>
      <c r="C12" s="111"/>
      <c r="D12" s="111"/>
      <c r="E12" s="111"/>
      <c r="F12" s="111"/>
      <c r="G12" s="111"/>
      <c r="J12" s="87" t="s">
        <v>302</v>
      </c>
      <c r="K12" s="111" t="s">
        <v>446</v>
      </c>
      <c r="L12" s="111"/>
      <c r="M12" s="111"/>
      <c r="N12" s="111"/>
      <c r="O12" s="111"/>
      <c r="P12" s="111"/>
    </row>
    <row r="13" spans="1:16" x14ac:dyDescent="0.25">
      <c r="A13" s="87" t="s">
        <v>813</v>
      </c>
      <c r="B13" s="111">
        <v>1</v>
      </c>
      <c r="C13" s="111"/>
      <c r="D13" s="111"/>
      <c r="E13" s="111"/>
      <c r="F13" s="111"/>
      <c r="G13" s="111"/>
      <c r="J13" s="87" t="s">
        <v>813</v>
      </c>
      <c r="K13" s="111">
        <v>1</v>
      </c>
      <c r="L13" s="111"/>
      <c r="M13" s="111"/>
      <c r="N13" s="111"/>
      <c r="O13" s="111"/>
      <c r="P13" s="111"/>
    </row>
    <row r="14" spans="1:16" x14ac:dyDescent="0.25">
      <c r="A14" s="87" t="s">
        <v>304</v>
      </c>
      <c r="B14" s="111">
        <v>408</v>
      </c>
      <c r="C14" s="111"/>
      <c r="D14" s="111"/>
      <c r="E14" s="111"/>
      <c r="F14" s="111"/>
      <c r="G14" s="111"/>
      <c r="J14" s="87" t="s">
        <v>304</v>
      </c>
      <c r="K14" s="111">
        <v>408</v>
      </c>
      <c r="L14" s="111"/>
      <c r="M14" s="111"/>
      <c r="N14" s="111"/>
      <c r="O14" s="111"/>
      <c r="P14" s="111"/>
    </row>
    <row r="15" spans="1:16" x14ac:dyDescent="0.25">
      <c r="A15" s="87" t="s">
        <v>727</v>
      </c>
      <c r="B15" s="111" t="s">
        <v>459</v>
      </c>
      <c r="C15" s="111"/>
      <c r="D15" s="111"/>
      <c r="E15" s="111"/>
      <c r="F15" s="111"/>
      <c r="G15" s="111"/>
      <c r="J15" s="87" t="s">
        <v>727</v>
      </c>
      <c r="K15" s="111" t="s">
        <v>462</v>
      </c>
      <c r="L15" s="111"/>
      <c r="M15" s="111"/>
      <c r="N15" s="111"/>
      <c r="O15" s="111"/>
      <c r="P15" s="111"/>
    </row>
    <row r="16" spans="1:16" x14ac:dyDescent="0.25">
      <c r="A16" s="87" t="s">
        <v>306</v>
      </c>
      <c r="B16" s="111" t="s">
        <v>460</v>
      </c>
      <c r="C16" s="111"/>
      <c r="D16" s="111"/>
      <c r="E16" s="111"/>
      <c r="F16" s="111"/>
      <c r="G16" s="111"/>
      <c r="J16" s="87" t="s">
        <v>306</v>
      </c>
      <c r="K16" s="111" t="s">
        <v>463</v>
      </c>
      <c r="L16" s="111"/>
      <c r="M16" s="111"/>
      <c r="N16" s="111"/>
      <c r="O16" s="111"/>
      <c r="P16" s="111"/>
    </row>
    <row r="17" spans="1:16" x14ac:dyDescent="0.25">
      <c r="A17" s="87" t="s">
        <v>800</v>
      </c>
      <c r="B17" s="111"/>
      <c r="C17" s="111"/>
      <c r="D17" s="111"/>
      <c r="E17" s="111"/>
      <c r="F17" s="111"/>
      <c r="G17" s="111"/>
      <c r="J17" s="87" t="s">
        <v>800</v>
      </c>
      <c r="K17" s="111"/>
      <c r="L17" s="111"/>
      <c r="M17" s="111"/>
      <c r="N17" s="111"/>
      <c r="O17" s="111"/>
      <c r="P17" s="111"/>
    </row>
    <row r="18" spans="1:16" x14ac:dyDescent="0.25">
      <c r="A18" s="87" t="s">
        <v>308</v>
      </c>
      <c r="B18" s="122">
        <v>45106</v>
      </c>
      <c r="C18" s="111"/>
      <c r="D18" s="111"/>
      <c r="E18" s="111"/>
      <c r="F18" s="111"/>
      <c r="G18" s="111"/>
      <c r="J18" s="87" t="s">
        <v>308</v>
      </c>
      <c r="K18" s="122">
        <v>45106</v>
      </c>
      <c r="L18" s="111"/>
      <c r="M18" s="111"/>
      <c r="N18" s="111"/>
      <c r="O18" s="111"/>
      <c r="P18" s="111"/>
    </row>
    <row r="19" spans="1:16" x14ac:dyDescent="0.25">
      <c r="A19" s="87" t="s">
        <v>309</v>
      </c>
      <c r="B19" s="122">
        <v>45200</v>
      </c>
      <c r="C19" s="111"/>
      <c r="D19" s="111"/>
      <c r="E19" s="111"/>
      <c r="F19" s="111"/>
      <c r="G19" s="111"/>
      <c r="J19" s="87" t="s">
        <v>309</v>
      </c>
      <c r="K19" s="122">
        <v>45200</v>
      </c>
      <c r="L19" s="111"/>
      <c r="M19" s="111"/>
      <c r="N19" s="111"/>
      <c r="O19" s="111"/>
      <c r="P19" s="111"/>
    </row>
    <row r="20" spans="1:16" x14ac:dyDescent="0.25">
      <c r="A20" s="87" t="s">
        <v>310</v>
      </c>
      <c r="B20" s="111" t="s">
        <v>324</v>
      </c>
      <c r="C20" s="111"/>
      <c r="D20" s="111"/>
      <c r="E20" s="111"/>
      <c r="F20" s="111"/>
      <c r="G20" s="111"/>
      <c r="J20" s="87" t="s">
        <v>310</v>
      </c>
      <c r="K20" s="111" t="s">
        <v>324</v>
      </c>
      <c r="L20" s="111"/>
      <c r="M20" s="111"/>
      <c r="N20" s="111"/>
      <c r="O20" s="111"/>
      <c r="P20" s="111"/>
    </row>
    <row r="21" spans="1:16" x14ac:dyDescent="0.25">
      <c r="A21" s="87" t="s">
        <v>311</v>
      </c>
      <c r="B21" s="111" t="s">
        <v>325</v>
      </c>
      <c r="C21" s="111"/>
      <c r="D21" s="111"/>
      <c r="E21" s="111"/>
      <c r="F21" s="111"/>
      <c r="G21" s="111"/>
      <c r="J21" s="87" t="s">
        <v>311</v>
      </c>
      <c r="K21" s="111" t="s">
        <v>325</v>
      </c>
      <c r="L21" s="111"/>
      <c r="M21" s="111"/>
      <c r="N21" s="111"/>
      <c r="O21" s="111"/>
      <c r="P21" s="111"/>
    </row>
    <row r="23" spans="1:16" x14ac:dyDescent="0.25">
      <c r="B23" s="104" t="str">
        <f>HYPERLINK("#'Factor List'!A1","Back to Factor List")</f>
        <v>Back to Factor List</v>
      </c>
    </row>
    <row r="24" spans="1:16" x14ac:dyDescent="0.25">
      <c r="B24" s="104" t="s">
        <v>13</v>
      </c>
    </row>
    <row r="26" spans="1:16" ht="13" x14ac:dyDescent="0.25">
      <c r="A26" s="108" t="s">
        <v>839</v>
      </c>
      <c r="B26" s="108">
        <v>50</v>
      </c>
      <c r="C26" s="108">
        <v>51</v>
      </c>
      <c r="D26" s="108">
        <v>52</v>
      </c>
      <c r="E26" s="108">
        <v>53</v>
      </c>
      <c r="F26" s="108">
        <v>54</v>
      </c>
      <c r="G26" s="108">
        <v>55</v>
      </c>
      <c r="J26" s="108" t="s">
        <v>839</v>
      </c>
      <c r="K26" s="108">
        <v>50</v>
      </c>
      <c r="L26" s="108">
        <v>51</v>
      </c>
      <c r="M26" s="108">
        <v>52</v>
      </c>
      <c r="N26" s="108">
        <v>53</v>
      </c>
      <c r="O26" s="108">
        <v>54</v>
      </c>
      <c r="P26" s="108">
        <v>55</v>
      </c>
    </row>
    <row r="27" spans="1:16" x14ac:dyDescent="0.25">
      <c r="A27" s="109">
        <v>0</v>
      </c>
      <c r="B27" s="126">
        <v>0.19700000000000001</v>
      </c>
      <c r="C27" s="126">
        <v>0.157</v>
      </c>
      <c r="D27" s="126">
        <v>0.11799999999999999</v>
      </c>
      <c r="E27" s="126">
        <v>7.8E-2</v>
      </c>
      <c r="F27" s="126">
        <v>3.7999999999999999E-2</v>
      </c>
      <c r="G27" s="126">
        <v>0</v>
      </c>
      <c r="J27" s="109">
        <v>0</v>
      </c>
      <c r="K27" s="126">
        <v>0.98599999999999999</v>
      </c>
      <c r="L27" s="126">
        <v>1.006</v>
      </c>
      <c r="M27" s="126">
        <v>1.026</v>
      </c>
      <c r="N27" s="126">
        <v>1.0469999999999999</v>
      </c>
      <c r="O27" s="126">
        <v>1.0669999999999999</v>
      </c>
      <c r="P27" s="126">
        <v>1.0880000000000001</v>
      </c>
    </row>
    <row r="28" spans="1:16" x14ac:dyDescent="0.25">
      <c r="A28" s="109">
        <v>1</v>
      </c>
      <c r="B28" s="126">
        <v>0.193</v>
      </c>
      <c r="C28" s="126">
        <v>0.154</v>
      </c>
      <c r="D28" s="126">
        <v>0.114</v>
      </c>
      <c r="E28" s="126">
        <v>7.4999999999999997E-2</v>
      </c>
      <c r="F28" s="126">
        <v>3.5000000000000003E-2</v>
      </c>
      <c r="G28" s="126"/>
      <c r="J28" s="109">
        <v>1</v>
      </c>
      <c r="K28" s="126">
        <v>0.98799999999999999</v>
      </c>
      <c r="L28" s="126">
        <v>1.008</v>
      </c>
      <c r="M28" s="126">
        <v>1.028</v>
      </c>
      <c r="N28" s="126">
        <v>1.048</v>
      </c>
      <c r="O28" s="126">
        <v>1.069</v>
      </c>
      <c r="P28" s="126"/>
    </row>
    <row r="29" spans="1:16" x14ac:dyDescent="0.25">
      <c r="A29" s="109">
        <v>2</v>
      </c>
      <c r="B29" s="126">
        <v>0.19</v>
      </c>
      <c r="C29" s="126">
        <v>0.15</v>
      </c>
      <c r="D29" s="126">
        <v>0.111</v>
      </c>
      <c r="E29" s="126">
        <v>7.0999999999999994E-2</v>
      </c>
      <c r="F29" s="126">
        <v>3.2000000000000001E-2</v>
      </c>
      <c r="G29" s="126"/>
      <c r="J29" s="109">
        <v>2</v>
      </c>
      <c r="K29" s="126">
        <v>0.98899999999999999</v>
      </c>
      <c r="L29" s="126">
        <v>1.0089999999999999</v>
      </c>
      <c r="M29" s="126">
        <v>1.0289999999999999</v>
      </c>
      <c r="N29" s="126">
        <v>1.05</v>
      </c>
      <c r="O29" s="126">
        <v>1.071</v>
      </c>
      <c r="P29" s="126"/>
    </row>
    <row r="30" spans="1:16" x14ac:dyDescent="0.25">
      <c r="A30" s="109">
        <v>3</v>
      </c>
      <c r="B30" s="126">
        <v>0.187</v>
      </c>
      <c r="C30" s="126">
        <v>0.14699999999999999</v>
      </c>
      <c r="D30" s="126">
        <v>0.108</v>
      </c>
      <c r="E30" s="126">
        <v>6.8000000000000005E-2</v>
      </c>
      <c r="F30" s="126">
        <v>2.8000000000000001E-2</v>
      </c>
      <c r="G30" s="126"/>
      <c r="J30" s="109">
        <v>3</v>
      </c>
      <c r="K30" s="126">
        <v>0.99099999999999999</v>
      </c>
      <c r="L30" s="126">
        <v>1.0109999999999999</v>
      </c>
      <c r="M30" s="126">
        <v>1.0309999999999999</v>
      </c>
      <c r="N30" s="126">
        <v>1.052</v>
      </c>
      <c r="O30" s="126">
        <v>1.073</v>
      </c>
      <c r="P30" s="126"/>
    </row>
    <row r="31" spans="1:16" x14ac:dyDescent="0.25">
      <c r="A31" s="109">
        <v>4</v>
      </c>
      <c r="B31" s="126">
        <v>0.183</v>
      </c>
      <c r="C31" s="126">
        <v>0.14399999999999999</v>
      </c>
      <c r="D31" s="126">
        <v>0.104</v>
      </c>
      <c r="E31" s="126">
        <v>6.5000000000000002E-2</v>
      </c>
      <c r="F31" s="126">
        <v>2.5000000000000001E-2</v>
      </c>
      <c r="G31" s="126"/>
      <c r="J31" s="109">
        <v>4</v>
      </c>
      <c r="K31" s="126">
        <v>0.99299999999999999</v>
      </c>
      <c r="L31" s="126">
        <v>1.0129999999999999</v>
      </c>
      <c r="M31" s="126">
        <v>1.0329999999999999</v>
      </c>
      <c r="N31" s="126">
        <v>1.054</v>
      </c>
      <c r="O31" s="126">
        <v>1.075</v>
      </c>
      <c r="P31" s="126"/>
    </row>
    <row r="32" spans="1:16" x14ac:dyDescent="0.25">
      <c r="A32" s="109">
        <v>5</v>
      </c>
      <c r="B32" s="126">
        <v>0.18</v>
      </c>
      <c r="C32" s="126">
        <v>0.14099999999999999</v>
      </c>
      <c r="D32" s="126">
        <v>0.10100000000000001</v>
      </c>
      <c r="E32" s="126">
        <v>6.0999999999999999E-2</v>
      </c>
      <c r="F32" s="126">
        <v>2.1999999999999999E-2</v>
      </c>
      <c r="G32" s="126"/>
      <c r="J32" s="109">
        <v>5</v>
      </c>
      <c r="K32" s="126">
        <v>0.99399999999999999</v>
      </c>
      <c r="L32" s="126">
        <v>1.014</v>
      </c>
      <c r="M32" s="126">
        <v>1.0349999999999999</v>
      </c>
      <c r="N32" s="126">
        <v>1.0549999999999999</v>
      </c>
      <c r="O32" s="126">
        <v>1.0760000000000001</v>
      </c>
      <c r="P32" s="126"/>
    </row>
    <row r="33" spans="1:16" x14ac:dyDescent="0.25">
      <c r="A33" s="109">
        <v>6</v>
      </c>
      <c r="B33" s="126">
        <v>0.17699999999999999</v>
      </c>
      <c r="C33" s="126">
        <v>0.13700000000000001</v>
      </c>
      <c r="D33" s="126">
        <v>9.8000000000000004E-2</v>
      </c>
      <c r="E33" s="126">
        <v>5.8000000000000003E-2</v>
      </c>
      <c r="F33" s="126">
        <v>1.7999999999999999E-2</v>
      </c>
      <c r="G33" s="126"/>
      <c r="J33" s="109">
        <v>6</v>
      </c>
      <c r="K33" s="126">
        <v>0.996</v>
      </c>
      <c r="L33" s="126">
        <v>1.016</v>
      </c>
      <c r="M33" s="126">
        <v>1.036</v>
      </c>
      <c r="N33" s="126">
        <v>1.0569999999999999</v>
      </c>
      <c r="O33" s="126">
        <v>1.0780000000000001</v>
      </c>
      <c r="P33" s="126"/>
    </row>
    <row r="34" spans="1:16" x14ac:dyDescent="0.25">
      <c r="A34" s="109">
        <v>7</v>
      </c>
      <c r="B34" s="126">
        <v>0.17399999999999999</v>
      </c>
      <c r="C34" s="126">
        <v>0.13400000000000001</v>
      </c>
      <c r="D34" s="126">
        <v>9.4E-2</v>
      </c>
      <c r="E34" s="126">
        <v>5.5E-2</v>
      </c>
      <c r="F34" s="126">
        <v>1.4999999999999999E-2</v>
      </c>
      <c r="G34" s="126"/>
      <c r="J34" s="109">
        <v>7</v>
      </c>
      <c r="K34" s="126">
        <v>0.998</v>
      </c>
      <c r="L34" s="126">
        <v>1.018</v>
      </c>
      <c r="M34" s="126">
        <v>1.038</v>
      </c>
      <c r="N34" s="126">
        <v>1.0589999999999999</v>
      </c>
      <c r="O34" s="126">
        <v>1.08</v>
      </c>
      <c r="P34" s="126"/>
    </row>
    <row r="35" spans="1:16" x14ac:dyDescent="0.25">
      <c r="A35" s="109">
        <v>8</v>
      </c>
      <c r="B35" s="126">
        <v>0.17</v>
      </c>
      <c r="C35" s="126">
        <v>0.13100000000000001</v>
      </c>
      <c r="D35" s="126">
        <v>9.0999999999999998E-2</v>
      </c>
      <c r="E35" s="126">
        <v>5.0999999999999997E-2</v>
      </c>
      <c r="F35" s="126">
        <v>1.2E-2</v>
      </c>
      <c r="G35" s="126"/>
      <c r="J35" s="109">
        <v>8</v>
      </c>
      <c r="K35" s="126">
        <v>0.999</v>
      </c>
      <c r="L35" s="126">
        <v>1.0189999999999999</v>
      </c>
      <c r="M35" s="126">
        <v>1.04</v>
      </c>
      <c r="N35" s="126">
        <v>1.0609999999999999</v>
      </c>
      <c r="O35" s="126">
        <v>1.0820000000000001</v>
      </c>
      <c r="P35" s="126"/>
    </row>
    <row r="36" spans="1:16" x14ac:dyDescent="0.25">
      <c r="A36" s="109">
        <v>9</v>
      </c>
      <c r="B36" s="126">
        <v>0.16700000000000001</v>
      </c>
      <c r="C36" s="126">
        <v>0.127</v>
      </c>
      <c r="D36" s="126">
        <v>8.7999999999999995E-2</v>
      </c>
      <c r="E36" s="126">
        <v>4.8000000000000001E-2</v>
      </c>
      <c r="F36" s="126">
        <v>8.0000000000000002E-3</v>
      </c>
      <c r="G36" s="126"/>
      <c r="J36" s="109">
        <v>9</v>
      </c>
      <c r="K36" s="126">
        <v>1.0009999999999999</v>
      </c>
      <c r="L36" s="126">
        <v>1.0209999999999999</v>
      </c>
      <c r="M36" s="126">
        <v>1.0409999999999999</v>
      </c>
      <c r="N36" s="126">
        <v>1.0620000000000001</v>
      </c>
      <c r="O36" s="126">
        <v>1.083</v>
      </c>
      <c r="P36" s="126"/>
    </row>
    <row r="37" spans="1:16" x14ac:dyDescent="0.25">
      <c r="A37" s="109">
        <v>10</v>
      </c>
      <c r="B37" s="126">
        <v>0.16400000000000001</v>
      </c>
      <c r="C37" s="126">
        <v>0.124</v>
      </c>
      <c r="D37" s="126">
        <v>8.5000000000000006E-2</v>
      </c>
      <c r="E37" s="126">
        <v>4.4999999999999998E-2</v>
      </c>
      <c r="F37" s="126">
        <v>5.0000000000000001E-3</v>
      </c>
      <c r="G37" s="126"/>
      <c r="J37" s="109">
        <v>10</v>
      </c>
      <c r="K37" s="126">
        <v>1.0029999999999999</v>
      </c>
      <c r="L37" s="126">
        <v>1.0229999999999999</v>
      </c>
      <c r="M37" s="126">
        <v>1.0429999999999999</v>
      </c>
      <c r="N37" s="126">
        <v>1.0640000000000001</v>
      </c>
      <c r="O37" s="126">
        <v>1.085</v>
      </c>
      <c r="P37" s="126"/>
    </row>
    <row r="38" spans="1:16" x14ac:dyDescent="0.25">
      <c r="A38" s="109">
        <v>11</v>
      </c>
      <c r="B38" s="126">
        <v>0.16</v>
      </c>
      <c r="C38" s="126">
        <v>0.121</v>
      </c>
      <c r="D38" s="126">
        <v>8.1000000000000003E-2</v>
      </c>
      <c r="E38" s="126">
        <v>4.1000000000000002E-2</v>
      </c>
      <c r="F38" s="126">
        <v>2E-3</v>
      </c>
      <c r="G38" s="126"/>
      <c r="J38" s="109">
        <v>11</v>
      </c>
      <c r="K38" s="126">
        <v>1.004</v>
      </c>
      <c r="L38" s="126">
        <v>1.024</v>
      </c>
      <c r="M38" s="126">
        <v>1.0449999999999999</v>
      </c>
      <c r="N38" s="126">
        <v>1.0660000000000001</v>
      </c>
      <c r="O38" s="126">
        <v>1.087</v>
      </c>
      <c r="P38" s="126"/>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5" customHeight="1" x14ac:dyDescent="0.25">
      <c r="A44"/>
      <c r="B44"/>
    </row>
    <row r="45" spans="1:16" x14ac:dyDescent="0.25">
      <c r="A45"/>
      <c r="B45"/>
    </row>
    <row r="46" spans="1:16" ht="27.65"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805" priority="5" stopIfTrue="1">
      <formula>MOD(ROW(),2)=0</formula>
    </cfRule>
    <cfRule type="expression" dxfId="804" priority="6" stopIfTrue="1">
      <formula>MOD(ROW(),2)&lt;&gt;0</formula>
    </cfRule>
  </conditionalFormatting>
  <conditionalFormatting sqref="A26:A38">
    <cfRule type="expression" dxfId="803" priority="13" stopIfTrue="1">
      <formula>MOD(ROW(),2)=0</formula>
    </cfRule>
    <cfRule type="expression" dxfId="802" priority="14" stopIfTrue="1">
      <formula>MOD(ROW(),2)&lt;&gt;0</formula>
    </cfRule>
  </conditionalFormatting>
  <conditionalFormatting sqref="B17:B18 B20:B21">
    <cfRule type="expression" dxfId="801" priority="24" stopIfTrue="1">
      <formula>MOD(ROW(),2)&lt;&gt;0</formula>
    </cfRule>
    <cfRule type="expression" dxfId="800" priority="23" stopIfTrue="1">
      <formula>MOD(ROW(),2)=0</formula>
    </cfRule>
  </conditionalFormatting>
  <conditionalFormatting sqref="B19">
    <cfRule type="expression" dxfId="799" priority="1" stopIfTrue="1">
      <formula>MOD(ROW(),2)=0</formula>
    </cfRule>
    <cfRule type="expression" dxfId="798" priority="2" stopIfTrue="1">
      <formula>MOD(ROW(),2)&lt;&gt;0</formula>
    </cfRule>
  </conditionalFormatting>
  <conditionalFormatting sqref="B6:G6 C7:G7 B8:G16 C17:G21">
    <cfRule type="expression" dxfId="797" priority="42" stopIfTrue="1">
      <formula>MOD(ROW(),2)&lt;&gt;0</formula>
    </cfRule>
    <cfRule type="expression" dxfId="796" priority="41" stopIfTrue="1">
      <formula>MOD(ROW(),2)=0</formula>
    </cfRule>
  </conditionalFormatting>
  <conditionalFormatting sqref="B6:G21">
    <cfRule type="expression" dxfId="795" priority="19" stopIfTrue="1">
      <formula>MOD(ROW(),2)=0</formula>
    </cfRule>
    <cfRule type="expression" dxfId="794" priority="20" stopIfTrue="1">
      <formula>MOD(ROW(),2)&lt;&gt;0</formula>
    </cfRule>
  </conditionalFormatting>
  <conditionalFormatting sqref="B26:G38">
    <cfRule type="expression" dxfId="793" priority="15" stopIfTrue="1">
      <formula>MOD(ROW(),2)=0</formula>
    </cfRule>
    <cfRule type="expression" dxfId="792" priority="16" stopIfTrue="1">
      <formula>MOD(ROW(),2)&lt;&gt;0</formula>
    </cfRule>
  </conditionalFormatting>
  <conditionalFormatting sqref="J6:J21">
    <cfRule type="expression" dxfId="791" priority="26" stopIfTrue="1">
      <formula>MOD(ROW(),2)&lt;&gt;0</formula>
    </cfRule>
    <cfRule type="expression" dxfId="790" priority="25" stopIfTrue="1">
      <formula>MOD(ROW(),2)=0</formula>
    </cfRule>
  </conditionalFormatting>
  <conditionalFormatting sqref="J26:J38">
    <cfRule type="expression" dxfId="789" priority="9" stopIfTrue="1">
      <formula>MOD(ROW(),2)=0</formula>
    </cfRule>
    <cfRule type="expression" dxfId="788" priority="10" stopIfTrue="1">
      <formula>MOD(ROW(),2)&lt;&gt;0</formula>
    </cfRule>
  </conditionalFormatting>
  <conditionalFormatting sqref="K17:K18 K20:K21">
    <cfRule type="expression" dxfId="787" priority="21" stopIfTrue="1">
      <formula>MOD(ROW(),2)=0</formula>
    </cfRule>
    <cfRule type="expression" dxfId="786" priority="22" stopIfTrue="1">
      <formula>MOD(ROW(),2)&lt;&gt;0</formula>
    </cfRule>
  </conditionalFormatting>
  <conditionalFormatting sqref="K19">
    <cfRule type="expression" dxfId="785" priority="4" stopIfTrue="1">
      <formula>MOD(ROW(),2)&lt;&gt;0</formula>
    </cfRule>
    <cfRule type="expression" dxfId="784" priority="3" stopIfTrue="1">
      <formula>MOD(ROW(),2)=0</formula>
    </cfRule>
  </conditionalFormatting>
  <conditionalFormatting sqref="K6:P6 L7:P7 K8:P16 L17:P21">
    <cfRule type="expression" dxfId="783" priority="49" stopIfTrue="1">
      <formula>MOD(ROW(),2)=0</formula>
    </cfRule>
    <cfRule type="expression" dxfId="782" priority="50" stopIfTrue="1">
      <formula>MOD(ROW(),2)&lt;&gt;0</formula>
    </cfRule>
  </conditionalFormatting>
  <conditionalFormatting sqref="K6:P21">
    <cfRule type="expression" dxfId="781" priority="18" stopIfTrue="1">
      <formula>MOD(ROW(),2)&lt;&gt;0</formula>
    </cfRule>
    <cfRule type="expression" dxfId="780" priority="17" stopIfTrue="1">
      <formula>MOD(ROW(),2)=0</formula>
    </cfRule>
  </conditionalFormatting>
  <conditionalFormatting sqref="K26:P38">
    <cfRule type="expression" dxfId="779" priority="12" stopIfTrue="1">
      <formula>MOD(ROW(),2)&lt;&gt;0</formula>
    </cfRule>
    <cfRule type="expression" dxfId="778" priority="11" stopIfTrue="1">
      <formula>MOD(ROW(),2)=0</formula>
    </cfRule>
  </conditionalFormatting>
  <hyperlinks>
    <hyperlink ref="B24" location="Assumptions!A1" display="Assumptions" xr:uid="{D8FBF9EA-597A-4C2A-BF85-F8D2A29FA8D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2"/>
  <dimension ref="A1:Q65"/>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c r="E1" s="54"/>
      <c r="F1" s="54"/>
      <c r="G1" s="54"/>
      <c r="H1" s="54"/>
      <c r="I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7" ht="15.5" x14ac:dyDescent="0.35">
      <c r="A3" s="57" t="str">
        <f>TABLE_FACTOR_TYPE_1&amp;" - x-"&amp;TABLE_SERIES_NUMBER_1</f>
        <v>ERF - x-409</v>
      </c>
      <c r="B3" s="56"/>
      <c r="C3" s="56"/>
      <c r="D3" s="56"/>
      <c r="E3" s="56"/>
      <c r="F3" s="56"/>
      <c r="G3" s="56"/>
      <c r="H3" s="56"/>
      <c r="I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326</v>
      </c>
      <c r="C7" s="111"/>
      <c r="D7" s="111"/>
      <c r="E7" s="111"/>
      <c r="F7" s="111"/>
      <c r="G7" s="111"/>
      <c r="H7" s="111"/>
      <c r="I7" s="111"/>
      <c r="J7" s="111"/>
      <c r="K7" s="111"/>
      <c r="L7" s="111"/>
      <c r="M7" s="111"/>
      <c r="N7" s="111"/>
      <c r="O7" s="111"/>
      <c r="P7" s="111"/>
      <c r="Q7" s="111"/>
    </row>
    <row r="8" spans="1:17" x14ac:dyDescent="0.25">
      <c r="A8" s="87" t="s">
        <v>798</v>
      </c>
      <c r="B8" s="111" t="s">
        <v>444</v>
      </c>
      <c r="C8" s="111"/>
      <c r="D8" s="111"/>
      <c r="E8" s="111"/>
      <c r="F8" s="111"/>
      <c r="G8" s="111"/>
      <c r="H8" s="111"/>
      <c r="I8" s="111"/>
      <c r="J8" s="111"/>
      <c r="K8" s="111"/>
      <c r="L8" s="111"/>
      <c r="M8" s="111"/>
      <c r="N8" s="111"/>
      <c r="O8" s="111"/>
      <c r="P8" s="111"/>
      <c r="Q8" s="111"/>
    </row>
    <row r="9" spans="1:17" x14ac:dyDescent="0.25">
      <c r="A9" s="87" t="s">
        <v>300</v>
      </c>
      <c r="B9" s="111" t="s">
        <v>426</v>
      </c>
      <c r="C9" s="111"/>
      <c r="D9" s="111"/>
      <c r="E9" s="111"/>
      <c r="F9" s="111"/>
      <c r="G9" s="111"/>
      <c r="H9" s="111"/>
      <c r="I9" s="111"/>
      <c r="J9" s="111"/>
      <c r="K9" s="111"/>
      <c r="L9" s="111"/>
      <c r="M9" s="111"/>
      <c r="N9" s="111"/>
      <c r="O9" s="111"/>
      <c r="P9" s="111"/>
      <c r="Q9" s="111"/>
    </row>
    <row r="10" spans="1:17" x14ac:dyDescent="0.25">
      <c r="A10" s="87" t="s">
        <v>6</v>
      </c>
      <c r="B10" s="111" t="s">
        <v>465</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446</v>
      </c>
      <c r="C12" s="111"/>
      <c r="D12" s="111"/>
      <c r="E12" s="111"/>
      <c r="F12" s="111"/>
      <c r="G12" s="111"/>
      <c r="H12" s="111"/>
      <c r="I12" s="111"/>
      <c r="J12" s="111"/>
      <c r="K12" s="111"/>
      <c r="L12" s="111"/>
      <c r="M12" s="111"/>
      <c r="N12" s="111"/>
      <c r="O12" s="111"/>
      <c r="P12" s="111"/>
      <c r="Q12" s="111"/>
    </row>
    <row r="13" spans="1:17" x14ac:dyDescent="0.25">
      <c r="A13" s="87" t="s">
        <v>813</v>
      </c>
      <c r="B13" s="111">
        <v>1</v>
      </c>
      <c r="C13" s="111"/>
      <c r="D13" s="111"/>
      <c r="E13" s="111"/>
      <c r="F13" s="111"/>
      <c r="G13" s="111"/>
      <c r="H13" s="111"/>
      <c r="I13" s="111"/>
      <c r="J13" s="111"/>
      <c r="K13" s="111"/>
      <c r="L13" s="111"/>
      <c r="M13" s="111"/>
      <c r="N13" s="111"/>
      <c r="O13" s="111"/>
      <c r="P13" s="111"/>
      <c r="Q13" s="111"/>
    </row>
    <row r="14" spans="1:17" x14ac:dyDescent="0.25">
      <c r="A14" s="87" t="s">
        <v>304</v>
      </c>
      <c r="B14" s="111">
        <v>409</v>
      </c>
      <c r="C14" s="111"/>
      <c r="D14" s="111"/>
      <c r="E14" s="111"/>
      <c r="F14" s="111"/>
      <c r="G14" s="111"/>
      <c r="H14" s="111"/>
      <c r="I14" s="111"/>
      <c r="J14" s="111"/>
      <c r="K14" s="111"/>
      <c r="L14" s="111"/>
      <c r="M14" s="111"/>
      <c r="N14" s="111"/>
      <c r="O14" s="111"/>
      <c r="P14" s="111"/>
      <c r="Q14" s="111"/>
    </row>
    <row r="15" spans="1:17" x14ac:dyDescent="0.25">
      <c r="A15" s="87" t="s">
        <v>727</v>
      </c>
      <c r="B15" s="111" t="s">
        <v>466</v>
      </c>
      <c r="C15" s="111"/>
      <c r="D15" s="111"/>
      <c r="E15" s="111"/>
      <c r="F15" s="111"/>
      <c r="G15" s="111"/>
      <c r="H15" s="111"/>
      <c r="I15" s="111"/>
      <c r="J15" s="111"/>
      <c r="K15" s="111"/>
      <c r="L15" s="111"/>
      <c r="M15" s="111"/>
      <c r="N15" s="111"/>
      <c r="O15" s="111"/>
      <c r="P15" s="111"/>
      <c r="Q15" s="111"/>
    </row>
    <row r="16" spans="1:17" x14ac:dyDescent="0.25">
      <c r="A16" s="87" t="s">
        <v>306</v>
      </c>
      <c r="B16" s="111" t="s">
        <v>467</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3" spans="1:17" x14ac:dyDescent="0.25">
      <c r="B23" s="104" t="str">
        <f>HYPERLINK("#'Factor List'!A1","Back to Factor List")</f>
        <v>Back to Factor List</v>
      </c>
    </row>
    <row r="24" spans="1:17" x14ac:dyDescent="0.25">
      <c r="B24" s="104" t="s">
        <v>13</v>
      </c>
    </row>
    <row r="26" spans="1:17" ht="13" x14ac:dyDescent="0.25">
      <c r="A26" s="108" t="s">
        <v>839</v>
      </c>
      <c r="B26" s="108">
        <v>50</v>
      </c>
      <c r="C26" s="108">
        <v>51</v>
      </c>
      <c r="D26" s="108">
        <v>52</v>
      </c>
      <c r="E26" s="108">
        <v>53</v>
      </c>
      <c r="F26" s="108">
        <v>54</v>
      </c>
      <c r="G26" s="108">
        <v>55</v>
      </c>
      <c r="H26" s="108">
        <v>56</v>
      </c>
      <c r="I26" s="108">
        <v>57</v>
      </c>
      <c r="J26" s="108">
        <v>58</v>
      </c>
      <c r="K26" s="108">
        <v>59</v>
      </c>
      <c r="L26" s="108">
        <v>60</v>
      </c>
      <c r="M26" s="108">
        <v>61</v>
      </c>
      <c r="N26" s="108">
        <v>62</v>
      </c>
      <c r="O26" s="108">
        <v>63</v>
      </c>
      <c r="P26" s="108">
        <v>64</v>
      </c>
      <c r="Q26" s="108">
        <v>65</v>
      </c>
    </row>
    <row r="27" spans="1:17" x14ac:dyDescent="0.25">
      <c r="A27" s="109">
        <v>0</v>
      </c>
      <c r="B27" s="126">
        <v>0.52200000000000002</v>
      </c>
      <c r="C27" s="126">
        <v>0.54</v>
      </c>
      <c r="D27" s="126">
        <v>0.55900000000000005</v>
      </c>
      <c r="E27" s="126">
        <v>0.57999999999999996</v>
      </c>
      <c r="F27" s="126">
        <v>0.60199999999999998</v>
      </c>
      <c r="G27" s="126">
        <v>0.626</v>
      </c>
      <c r="H27" s="126">
        <v>0.65200000000000002</v>
      </c>
      <c r="I27" s="126">
        <v>0.68</v>
      </c>
      <c r="J27" s="126">
        <v>0.71</v>
      </c>
      <c r="K27" s="126">
        <v>0.74299999999999999</v>
      </c>
      <c r="L27" s="126">
        <v>0.77800000000000002</v>
      </c>
      <c r="M27" s="126">
        <v>0.81499999999999995</v>
      </c>
      <c r="N27" s="126">
        <v>0.85599999999999998</v>
      </c>
      <c r="O27" s="126">
        <v>0.90100000000000002</v>
      </c>
      <c r="P27" s="126">
        <v>0.94899999999999995</v>
      </c>
      <c r="Q27" s="126">
        <v>1</v>
      </c>
    </row>
    <row r="28" spans="1:17" x14ac:dyDescent="0.25">
      <c r="A28" s="109">
        <v>1</v>
      </c>
      <c r="B28" s="126">
        <v>0.52400000000000002</v>
      </c>
      <c r="C28" s="126">
        <v>0.54200000000000004</v>
      </c>
      <c r="D28" s="126">
        <v>0.56100000000000005</v>
      </c>
      <c r="E28" s="126">
        <v>0.58099999999999996</v>
      </c>
      <c r="F28" s="126">
        <v>0.60399999999999998</v>
      </c>
      <c r="G28" s="126">
        <v>0.628</v>
      </c>
      <c r="H28" s="126">
        <v>0.65500000000000003</v>
      </c>
      <c r="I28" s="126">
        <v>0.68300000000000005</v>
      </c>
      <c r="J28" s="126">
        <v>0.71299999999999997</v>
      </c>
      <c r="K28" s="126">
        <v>0.746</v>
      </c>
      <c r="L28" s="126">
        <v>0.78100000000000003</v>
      </c>
      <c r="M28" s="126">
        <v>0.81899999999999995</v>
      </c>
      <c r="N28" s="126">
        <v>0.86</v>
      </c>
      <c r="O28" s="126">
        <v>0.90500000000000003</v>
      </c>
      <c r="P28" s="126">
        <v>0.95399999999999996</v>
      </c>
      <c r="Q28" s="126"/>
    </row>
    <row r="29" spans="1:17" x14ac:dyDescent="0.25">
      <c r="A29" s="109">
        <v>2</v>
      </c>
      <c r="B29" s="126">
        <v>0.52500000000000002</v>
      </c>
      <c r="C29" s="126">
        <v>0.54300000000000004</v>
      </c>
      <c r="D29" s="126">
        <v>0.56200000000000006</v>
      </c>
      <c r="E29" s="126">
        <v>0.58299999999999996</v>
      </c>
      <c r="F29" s="126">
        <v>0.60599999999999998</v>
      </c>
      <c r="G29" s="126">
        <v>0.63100000000000001</v>
      </c>
      <c r="H29" s="126">
        <v>0.65700000000000003</v>
      </c>
      <c r="I29" s="126">
        <v>0.68500000000000005</v>
      </c>
      <c r="J29" s="126">
        <v>0.71599999999999997</v>
      </c>
      <c r="K29" s="126">
        <v>0.749</v>
      </c>
      <c r="L29" s="126">
        <v>0.78400000000000003</v>
      </c>
      <c r="M29" s="126">
        <v>0.82199999999999995</v>
      </c>
      <c r="N29" s="126">
        <v>0.86399999999999999</v>
      </c>
      <c r="O29" s="126">
        <v>0.90900000000000003</v>
      </c>
      <c r="P29" s="126">
        <v>0.95799999999999996</v>
      </c>
      <c r="Q29" s="126"/>
    </row>
    <row r="30" spans="1:17" x14ac:dyDescent="0.25">
      <c r="A30" s="109">
        <v>3</v>
      </c>
      <c r="B30" s="126">
        <v>0.52700000000000002</v>
      </c>
      <c r="C30" s="126">
        <v>0.54500000000000004</v>
      </c>
      <c r="D30" s="126">
        <v>0.56399999999999995</v>
      </c>
      <c r="E30" s="126">
        <v>0.58499999999999996</v>
      </c>
      <c r="F30" s="126">
        <v>0.60799999999999998</v>
      </c>
      <c r="G30" s="126">
        <v>0.63300000000000001</v>
      </c>
      <c r="H30" s="126">
        <v>0.65900000000000003</v>
      </c>
      <c r="I30" s="126">
        <v>0.68799999999999994</v>
      </c>
      <c r="J30" s="126">
        <v>0.71799999999999997</v>
      </c>
      <c r="K30" s="126">
        <v>0.751</v>
      </c>
      <c r="L30" s="126">
        <v>0.78700000000000003</v>
      </c>
      <c r="M30" s="126">
        <v>0.82599999999999996</v>
      </c>
      <c r="N30" s="126">
        <v>0.86699999999999999</v>
      </c>
      <c r="O30" s="126">
        <v>0.91300000000000003</v>
      </c>
      <c r="P30" s="126">
        <v>0.96299999999999997</v>
      </c>
      <c r="Q30" s="126"/>
    </row>
    <row r="31" spans="1:17" x14ac:dyDescent="0.25">
      <c r="A31" s="109">
        <v>4</v>
      </c>
      <c r="B31" s="126">
        <v>0.52800000000000002</v>
      </c>
      <c r="C31" s="126">
        <v>0.54600000000000004</v>
      </c>
      <c r="D31" s="126">
        <v>0.56599999999999995</v>
      </c>
      <c r="E31" s="126">
        <v>0.58699999999999997</v>
      </c>
      <c r="F31" s="126">
        <v>0.61</v>
      </c>
      <c r="G31" s="126">
        <v>0.63500000000000001</v>
      </c>
      <c r="H31" s="126">
        <v>0.66200000000000003</v>
      </c>
      <c r="I31" s="126">
        <v>0.69</v>
      </c>
      <c r="J31" s="126">
        <v>0.72099999999999997</v>
      </c>
      <c r="K31" s="126">
        <v>0.754</v>
      </c>
      <c r="L31" s="126">
        <v>0.79</v>
      </c>
      <c r="M31" s="126">
        <v>0.82899999999999996</v>
      </c>
      <c r="N31" s="126">
        <v>0.871</v>
      </c>
      <c r="O31" s="126">
        <v>0.91700000000000004</v>
      </c>
      <c r="P31" s="126">
        <v>0.96699999999999997</v>
      </c>
      <c r="Q31" s="126"/>
    </row>
    <row r="32" spans="1:17" x14ac:dyDescent="0.25">
      <c r="A32" s="109">
        <v>5</v>
      </c>
      <c r="B32" s="126">
        <v>0.53</v>
      </c>
      <c r="C32" s="126">
        <v>0.54800000000000004</v>
      </c>
      <c r="D32" s="126">
        <v>0.56799999999999995</v>
      </c>
      <c r="E32" s="126">
        <v>0.58899999999999997</v>
      </c>
      <c r="F32" s="126">
        <v>0.61199999999999999</v>
      </c>
      <c r="G32" s="126">
        <v>0.63700000000000001</v>
      </c>
      <c r="H32" s="126">
        <v>0.66400000000000003</v>
      </c>
      <c r="I32" s="126">
        <v>0.69299999999999995</v>
      </c>
      <c r="J32" s="126">
        <v>0.72399999999999998</v>
      </c>
      <c r="K32" s="126">
        <v>0.75700000000000001</v>
      </c>
      <c r="L32" s="126">
        <v>0.79300000000000004</v>
      </c>
      <c r="M32" s="126">
        <v>0.83199999999999996</v>
      </c>
      <c r="N32" s="126">
        <v>0.875</v>
      </c>
      <c r="O32" s="126">
        <v>0.92100000000000004</v>
      </c>
      <c r="P32" s="126">
        <v>0.97099999999999997</v>
      </c>
      <c r="Q32" s="126"/>
    </row>
    <row r="33" spans="1:17" x14ac:dyDescent="0.25">
      <c r="A33" s="109">
        <v>6</v>
      </c>
      <c r="B33" s="126">
        <v>0.53100000000000003</v>
      </c>
      <c r="C33" s="126">
        <v>0.55000000000000004</v>
      </c>
      <c r="D33" s="126">
        <v>0.56899999999999995</v>
      </c>
      <c r="E33" s="126">
        <v>0.59099999999999997</v>
      </c>
      <c r="F33" s="126">
        <v>0.61399999999999999</v>
      </c>
      <c r="G33" s="126">
        <v>0.63900000000000001</v>
      </c>
      <c r="H33" s="126">
        <v>0.66600000000000004</v>
      </c>
      <c r="I33" s="126">
        <v>0.69499999999999995</v>
      </c>
      <c r="J33" s="126">
        <v>0.72699999999999998</v>
      </c>
      <c r="K33" s="126">
        <v>0.76</v>
      </c>
      <c r="L33" s="126">
        <v>0.79600000000000004</v>
      </c>
      <c r="M33" s="126">
        <v>0.83599999999999997</v>
      </c>
      <c r="N33" s="126">
        <v>0.879</v>
      </c>
      <c r="O33" s="126">
        <v>0.92500000000000004</v>
      </c>
      <c r="P33" s="126">
        <v>0.97599999999999998</v>
      </c>
      <c r="Q33" s="126"/>
    </row>
    <row r="34" spans="1:17" x14ac:dyDescent="0.25">
      <c r="A34" s="109">
        <v>7</v>
      </c>
      <c r="B34" s="126">
        <v>0.53300000000000003</v>
      </c>
      <c r="C34" s="126">
        <v>0.55100000000000005</v>
      </c>
      <c r="D34" s="126">
        <v>0.57099999999999995</v>
      </c>
      <c r="E34" s="126">
        <v>0.59299999999999997</v>
      </c>
      <c r="F34" s="126">
        <v>0.61599999999999999</v>
      </c>
      <c r="G34" s="126">
        <v>0.64100000000000001</v>
      </c>
      <c r="H34" s="126">
        <v>0.66900000000000004</v>
      </c>
      <c r="I34" s="126">
        <v>0.69799999999999995</v>
      </c>
      <c r="J34" s="126">
        <v>0.72899999999999998</v>
      </c>
      <c r="K34" s="126">
        <v>0.76300000000000001</v>
      </c>
      <c r="L34" s="126">
        <v>0.8</v>
      </c>
      <c r="M34" s="126">
        <v>0.83899999999999997</v>
      </c>
      <c r="N34" s="126">
        <v>0.88200000000000001</v>
      </c>
      <c r="O34" s="126">
        <v>0.92900000000000005</v>
      </c>
      <c r="P34" s="126">
        <v>0.98</v>
      </c>
      <c r="Q34" s="126"/>
    </row>
    <row r="35" spans="1:17" x14ac:dyDescent="0.25">
      <c r="A35" s="109">
        <v>8</v>
      </c>
      <c r="B35" s="126">
        <v>0.53400000000000003</v>
      </c>
      <c r="C35" s="126">
        <v>0.55300000000000005</v>
      </c>
      <c r="D35" s="126">
        <v>0.57299999999999995</v>
      </c>
      <c r="E35" s="126">
        <v>0.59399999999999997</v>
      </c>
      <c r="F35" s="126">
        <v>0.61799999999999999</v>
      </c>
      <c r="G35" s="126">
        <v>0.64400000000000002</v>
      </c>
      <c r="H35" s="126">
        <v>0.67100000000000004</v>
      </c>
      <c r="I35" s="126">
        <v>0.7</v>
      </c>
      <c r="J35" s="126">
        <v>0.73199999999999998</v>
      </c>
      <c r="K35" s="126">
        <v>0.76600000000000001</v>
      </c>
      <c r="L35" s="126">
        <v>0.80300000000000005</v>
      </c>
      <c r="M35" s="126">
        <v>0.84299999999999997</v>
      </c>
      <c r="N35" s="126">
        <v>0.88600000000000001</v>
      </c>
      <c r="O35" s="126">
        <v>0.93300000000000005</v>
      </c>
      <c r="P35" s="126">
        <v>0.98499999999999999</v>
      </c>
      <c r="Q35" s="126"/>
    </row>
    <row r="36" spans="1:17" x14ac:dyDescent="0.25">
      <c r="A36" s="109">
        <v>9</v>
      </c>
      <c r="B36" s="126">
        <v>0.53600000000000003</v>
      </c>
      <c r="C36" s="126">
        <v>0.55400000000000005</v>
      </c>
      <c r="D36" s="126">
        <v>0.57399999999999995</v>
      </c>
      <c r="E36" s="126">
        <v>0.59599999999999997</v>
      </c>
      <c r="F36" s="126">
        <v>0.62</v>
      </c>
      <c r="G36" s="126">
        <v>0.64600000000000002</v>
      </c>
      <c r="H36" s="126">
        <v>0.67300000000000004</v>
      </c>
      <c r="I36" s="126">
        <v>0.70299999999999996</v>
      </c>
      <c r="J36" s="126">
        <v>0.73499999999999999</v>
      </c>
      <c r="K36" s="126">
        <v>0.76900000000000002</v>
      </c>
      <c r="L36" s="126">
        <v>0.80600000000000005</v>
      </c>
      <c r="M36" s="126">
        <v>0.84599999999999997</v>
      </c>
      <c r="N36" s="126">
        <v>0.89</v>
      </c>
      <c r="O36" s="126">
        <v>0.93700000000000006</v>
      </c>
      <c r="P36" s="126">
        <v>0.98899999999999999</v>
      </c>
      <c r="Q36" s="126"/>
    </row>
    <row r="37" spans="1:17" x14ac:dyDescent="0.25">
      <c r="A37" s="109">
        <v>10</v>
      </c>
      <c r="B37" s="126">
        <v>0.53700000000000003</v>
      </c>
      <c r="C37" s="126">
        <v>0.55600000000000005</v>
      </c>
      <c r="D37" s="126">
        <v>0.57599999999999996</v>
      </c>
      <c r="E37" s="126">
        <v>0.59799999999999998</v>
      </c>
      <c r="F37" s="126">
        <v>0.622</v>
      </c>
      <c r="G37" s="126">
        <v>0.64800000000000002</v>
      </c>
      <c r="H37" s="126">
        <v>0.67600000000000005</v>
      </c>
      <c r="I37" s="126">
        <v>0.70499999999999996</v>
      </c>
      <c r="J37" s="126">
        <v>0.73699999999999999</v>
      </c>
      <c r="K37" s="126">
        <v>0.77200000000000002</v>
      </c>
      <c r="L37" s="126">
        <v>0.80900000000000005</v>
      </c>
      <c r="M37" s="126">
        <v>0.84899999999999998</v>
      </c>
      <c r="N37" s="126">
        <v>0.89300000000000002</v>
      </c>
      <c r="O37" s="126">
        <v>0.94099999999999995</v>
      </c>
      <c r="P37" s="126">
        <v>0.99299999999999999</v>
      </c>
      <c r="Q37" s="126"/>
    </row>
    <row r="38" spans="1:17" x14ac:dyDescent="0.25">
      <c r="A38" s="109">
        <v>11</v>
      </c>
      <c r="B38" s="126">
        <v>0.53900000000000003</v>
      </c>
      <c r="C38" s="126">
        <v>0.55700000000000005</v>
      </c>
      <c r="D38" s="126">
        <v>0.57799999999999996</v>
      </c>
      <c r="E38" s="126">
        <v>0.6</v>
      </c>
      <c r="F38" s="126">
        <v>0.624</v>
      </c>
      <c r="G38" s="126">
        <v>0.65</v>
      </c>
      <c r="H38" s="126">
        <v>0.67800000000000005</v>
      </c>
      <c r="I38" s="126">
        <v>0.70799999999999996</v>
      </c>
      <c r="J38" s="126">
        <v>0.74</v>
      </c>
      <c r="K38" s="126">
        <v>0.77500000000000002</v>
      </c>
      <c r="L38" s="126">
        <v>0.81200000000000006</v>
      </c>
      <c r="M38" s="126">
        <v>0.85299999999999998</v>
      </c>
      <c r="N38" s="126">
        <v>0.89700000000000002</v>
      </c>
      <c r="O38" s="126">
        <v>0.94499999999999995</v>
      </c>
      <c r="P38" s="126">
        <v>0.998</v>
      </c>
      <c r="Q38" s="126"/>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5" customHeight="1" x14ac:dyDescent="0.25">
      <c r="A44"/>
      <c r="B44"/>
    </row>
    <row r="45" spans="1:17" x14ac:dyDescent="0.25">
      <c r="A45"/>
      <c r="B45"/>
    </row>
    <row r="46" spans="1:17" ht="27.65"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777" priority="3" stopIfTrue="1">
      <formula>MOD(ROW(),2)=0</formula>
    </cfRule>
    <cfRule type="expression" dxfId="776" priority="4" stopIfTrue="1">
      <formula>MOD(ROW(),2)&lt;&gt;0</formula>
    </cfRule>
  </conditionalFormatting>
  <conditionalFormatting sqref="A26:A38">
    <cfRule type="expression" dxfId="775" priority="7" stopIfTrue="1">
      <formula>MOD(ROW(),2)=0</formula>
    </cfRule>
    <cfRule type="expression" dxfId="774" priority="8" stopIfTrue="1">
      <formula>MOD(ROW(),2)&lt;&gt;0</formula>
    </cfRule>
  </conditionalFormatting>
  <conditionalFormatting sqref="B17:B18 B20:B21">
    <cfRule type="expression" dxfId="773" priority="13" stopIfTrue="1">
      <formula>MOD(ROW(),2)=0</formula>
    </cfRule>
    <cfRule type="expression" dxfId="772" priority="14" stopIfTrue="1">
      <formula>MOD(ROW(),2)&lt;&gt;0</formula>
    </cfRule>
  </conditionalFormatting>
  <conditionalFormatting sqref="B19">
    <cfRule type="expression" dxfId="771" priority="1" stopIfTrue="1">
      <formula>MOD(ROW(),2)=0</formula>
    </cfRule>
    <cfRule type="expression" dxfId="770" priority="2" stopIfTrue="1">
      <formula>MOD(ROW(),2)&lt;&gt;0</formula>
    </cfRule>
  </conditionalFormatting>
  <conditionalFormatting sqref="B6:Q6 C7:Q7 B8:Q16 C17:Q21">
    <cfRule type="expression" dxfId="769" priority="25" stopIfTrue="1">
      <formula>MOD(ROW(),2)=0</formula>
    </cfRule>
    <cfRule type="expression" dxfId="768" priority="26" stopIfTrue="1">
      <formula>MOD(ROW(),2)&lt;&gt;0</formula>
    </cfRule>
  </conditionalFormatting>
  <conditionalFormatting sqref="B6:Q21">
    <cfRule type="expression" dxfId="767" priority="11" stopIfTrue="1">
      <formula>MOD(ROW(),2)=0</formula>
    </cfRule>
    <cfRule type="expression" dxfId="766" priority="12" stopIfTrue="1">
      <formula>MOD(ROW(),2)&lt;&gt;0</formula>
    </cfRule>
  </conditionalFormatting>
  <conditionalFormatting sqref="B26:Q38">
    <cfRule type="expression" dxfId="765" priority="9" stopIfTrue="1">
      <formula>MOD(ROW(),2)=0</formula>
    </cfRule>
    <cfRule type="expression" dxfId="764" priority="10" stopIfTrue="1">
      <formula>MOD(ROW(),2)&lt;&gt;0</formula>
    </cfRule>
  </conditionalFormatting>
  <hyperlinks>
    <hyperlink ref="B24" location="Assumptions!A1" display="Assumptions" xr:uid="{FE81656F-534E-44FE-97A3-A18E8A0829D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theme="4"/>
  </sheetPr>
  <dimension ref="A1:L224"/>
  <sheetViews>
    <sheetView workbookViewId="0"/>
  </sheetViews>
  <sheetFormatPr defaultRowHeight="12.5" x14ac:dyDescent="0.25"/>
  <cols>
    <col min="2" max="2" width="3.453125" style="12" customWidth="1"/>
    <col min="3" max="3" width="7" style="12" customWidth="1"/>
    <col min="4" max="4" width="62" customWidth="1"/>
    <col min="5" max="9" width="16.54296875" style="12" customWidth="1"/>
    <col min="10" max="10" width="19.453125" style="12" customWidth="1"/>
  </cols>
  <sheetData>
    <row r="1" spans="1:12" ht="20" x14ac:dyDescent="0.4">
      <c r="A1" s="4" t="s">
        <v>0</v>
      </c>
      <c r="B1" s="13"/>
      <c r="C1" s="13"/>
      <c r="D1" s="10"/>
      <c r="E1" s="13"/>
      <c r="F1" s="13"/>
      <c r="G1" s="13"/>
      <c r="H1" s="13"/>
      <c r="I1" s="13"/>
      <c r="J1" s="13"/>
      <c r="K1" s="10"/>
      <c r="L1" s="10"/>
    </row>
    <row r="2" spans="1:12" ht="15.5" x14ac:dyDescent="0.35">
      <c r="A2" s="11" t="str">
        <f>IF(title="&gt; Enter workbook title here","Enter workbook title in Cover sheet",title)</f>
        <v>Northern Ireland Civil Service Pension Schemes - Consolidated Factor Spreadsheet</v>
      </c>
      <c r="B2" s="14"/>
      <c r="C2" s="14"/>
      <c r="D2" s="9"/>
      <c r="E2" s="14"/>
      <c r="F2" s="14"/>
      <c r="G2" s="14"/>
      <c r="H2" s="14"/>
      <c r="I2" s="14"/>
      <c r="J2" s="14"/>
      <c r="K2" s="9"/>
      <c r="L2" s="9"/>
    </row>
    <row r="3" spans="1:12" ht="15.5" x14ac:dyDescent="0.35">
      <c r="A3" s="6" t="s">
        <v>84</v>
      </c>
      <c r="B3" s="14"/>
      <c r="C3" s="14"/>
      <c r="D3" s="9"/>
      <c r="E3" s="14"/>
      <c r="F3" s="14"/>
      <c r="G3" s="14"/>
      <c r="H3" s="14"/>
      <c r="I3" s="14"/>
      <c r="J3" s="14"/>
      <c r="K3" s="9"/>
      <c r="L3" s="9"/>
    </row>
    <row r="4" spans="1:12" x14ac:dyDescent="0.25">
      <c r="A4" s="7" t="str">
        <f ca="1">CELL("filename",A1)</f>
        <v>C:\Users\PColley2\Downloads\[CS NI Consolidated Factors 2025-02.xlsx]Summary - PCSPS_NI</v>
      </c>
    </row>
    <row r="7" spans="1:12" ht="13" x14ac:dyDescent="0.3">
      <c r="E7" s="44" t="s">
        <v>85</v>
      </c>
      <c r="F7" s="44" t="s">
        <v>86</v>
      </c>
      <c r="G7" s="44" t="s">
        <v>87</v>
      </c>
      <c r="H7" s="44" t="s">
        <v>88</v>
      </c>
      <c r="I7" s="44" t="s">
        <v>89</v>
      </c>
      <c r="J7" s="44" t="s">
        <v>90</v>
      </c>
    </row>
    <row r="8" spans="1:12" ht="39" x14ac:dyDescent="0.3">
      <c r="B8" s="46" t="s">
        <v>91</v>
      </c>
      <c r="C8" s="21"/>
      <c r="D8" s="15"/>
      <c r="E8" s="45" t="s">
        <v>92</v>
      </c>
      <c r="F8" s="45" t="s">
        <v>93</v>
      </c>
      <c r="G8" s="45" t="s">
        <v>94</v>
      </c>
      <c r="H8" s="45" t="s">
        <v>95</v>
      </c>
      <c r="I8" s="45" t="s">
        <v>96</v>
      </c>
      <c r="J8" s="48" t="s">
        <v>97</v>
      </c>
    </row>
    <row r="9" spans="1:12" x14ac:dyDescent="0.25">
      <c r="B9" s="23"/>
      <c r="C9" s="22"/>
      <c r="D9" s="17"/>
      <c r="E9" s="16"/>
      <c r="F9" s="16"/>
      <c r="G9" s="16"/>
      <c r="H9" s="16"/>
      <c r="I9" s="16"/>
      <c r="J9" s="16"/>
    </row>
    <row r="10" spans="1:12" ht="13" x14ac:dyDescent="0.3">
      <c r="B10" s="47" t="s">
        <v>98</v>
      </c>
      <c r="D10" s="18"/>
      <c r="E10" s="20"/>
      <c r="F10" s="20"/>
      <c r="G10" s="20"/>
      <c r="H10" s="20"/>
      <c r="I10" s="20"/>
      <c r="J10" s="20"/>
    </row>
    <row r="11" spans="1:12" x14ac:dyDescent="0.25">
      <c r="B11" s="24" t="s">
        <v>99</v>
      </c>
      <c r="C11" s="12">
        <v>101</v>
      </c>
      <c r="D11" s="18"/>
      <c r="E11" s="49"/>
      <c r="F11" s="49"/>
      <c r="G11" s="49"/>
      <c r="H11" s="49"/>
      <c r="I11" s="49"/>
      <c r="J11" s="49"/>
    </row>
    <row r="12" spans="1:12" x14ac:dyDescent="0.25">
      <c r="B12" s="24" t="s">
        <v>99</v>
      </c>
      <c r="C12" s="12">
        <v>102</v>
      </c>
      <c r="D12" s="18"/>
      <c r="E12" s="49"/>
      <c r="F12" s="49"/>
      <c r="G12" s="49"/>
      <c r="H12" s="49"/>
      <c r="I12" s="49"/>
      <c r="J12" s="49"/>
    </row>
    <row r="13" spans="1:12" x14ac:dyDescent="0.25">
      <c r="B13" s="24" t="s">
        <v>99</v>
      </c>
      <c r="C13" s="12">
        <v>103</v>
      </c>
      <c r="D13" s="18"/>
      <c r="E13" s="49"/>
      <c r="F13" s="49"/>
      <c r="G13" s="49"/>
      <c r="H13" s="49"/>
      <c r="I13" s="49"/>
      <c r="J13" s="49"/>
    </row>
    <row r="14" spans="1:12" x14ac:dyDescent="0.25">
      <c r="B14" s="24" t="s">
        <v>99</v>
      </c>
      <c r="C14" s="12">
        <v>104</v>
      </c>
      <c r="D14" s="18"/>
      <c r="E14" s="49"/>
      <c r="F14" s="49"/>
      <c r="G14" s="49"/>
      <c r="H14" s="49"/>
      <c r="I14" s="49"/>
      <c r="J14" s="49"/>
    </row>
    <row r="15" spans="1:12" x14ac:dyDescent="0.25">
      <c r="B15" s="24" t="s">
        <v>99</v>
      </c>
      <c r="C15" s="12">
        <v>105</v>
      </c>
      <c r="D15" s="18"/>
      <c r="E15" s="49"/>
      <c r="F15" s="49"/>
      <c r="G15" s="49"/>
      <c r="H15" s="49"/>
      <c r="I15" s="49"/>
      <c r="J15" s="49"/>
    </row>
    <row r="16" spans="1:12" x14ac:dyDescent="0.25">
      <c r="B16" s="24" t="s">
        <v>99</v>
      </c>
      <c r="C16" s="12">
        <v>106</v>
      </c>
      <c r="D16" s="18"/>
      <c r="E16" s="49"/>
      <c r="F16" s="49"/>
      <c r="G16" s="49"/>
      <c r="H16" s="49"/>
      <c r="I16" s="49"/>
      <c r="J16" s="49"/>
    </row>
    <row r="17" spans="2:11" x14ac:dyDescent="0.25">
      <c r="B17" s="24" t="s">
        <v>99</v>
      </c>
      <c r="C17" s="12">
        <v>107</v>
      </c>
      <c r="D17" s="18"/>
      <c r="E17" s="49"/>
      <c r="F17" s="49"/>
      <c r="G17" s="49"/>
      <c r="H17" s="49"/>
      <c r="I17" s="49"/>
      <c r="J17" s="49"/>
    </row>
    <row r="18" spans="2:11" x14ac:dyDescent="0.25">
      <c r="B18" s="24" t="s">
        <v>99</v>
      </c>
      <c r="C18" s="12">
        <v>108</v>
      </c>
      <c r="D18" s="18"/>
      <c r="E18" s="49"/>
      <c r="F18" s="49"/>
      <c r="G18" s="49"/>
      <c r="H18" s="49"/>
      <c r="I18" s="49"/>
      <c r="J18" s="49"/>
    </row>
    <row r="19" spans="2:11" x14ac:dyDescent="0.25">
      <c r="B19" s="24" t="s">
        <v>99</v>
      </c>
      <c r="C19" s="12">
        <v>109</v>
      </c>
      <c r="D19" s="18"/>
      <c r="E19" s="49"/>
      <c r="F19" s="49"/>
      <c r="G19" s="49"/>
      <c r="H19" s="49"/>
      <c r="I19" s="49"/>
      <c r="J19" s="49"/>
    </row>
    <row r="20" spans="2:11" x14ac:dyDescent="0.25">
      <c r="B20" s="24" t="s">
        <v>99</v>
      </c>
      <c r="C20" s="12">
        <v>110</v>
      </c>
      <c r="D20" s="18"/>
      <c r="E20" s="49"/>
      <c r="F20" s="49"/>
      <c r="G20" s="49"/>
      <c r="H20" s="49"/>
      <c r="I20" s="49"/>
      <c r="J20" s="49"/>
    </row>
    <row r="21" spans="2:11" x14ac:dyDescent="0.25">
      <c r="B21" s="24" t="s">
        <v>99</v>
      </c>
      <c r="C21" s="12">
        <v>111</v>
      </c>
      <c r="D21" s="18"/>
      <c r="E21" s="49"/>
      <c r="F21" s="49"/>
      <c r="G21" s="49"/>
      <c r="H21" s="49"/>
      <c r="I21" s="49"/>
      <c r="J21" s="49"/>
    </row>
    <row r="22" spans="2:11" x14ac:dyDescent="0.25">
      <c r="B22" s="24" t="s">
        <v>99</v>
      </c>
      <c r="C22" s="12">
        <v>112</v>
      </c>
      <c r="D22" s="18"/>
      <c r="E22" s="49"/>
      <c r="F22" s="49"/>
      <c r="G22" s="49"/>
      <c r="H22" s="49"/>
      <c r="I22" s="49"/>
      <c r="J22" s="49"/>
    </row>
    <row r="23" spans="2:11" x14ac:dyDescent="0.25">
      <c r="B23" s="24" t="s">
        <v>99</v>
      </c>
      <c r="C23" s="12">
        <v>113</v>
      </c>
      <c r="D23" s="18"/>
      <c r="E23" s="49"/>
      <c r="F23" s="49"/>
      <c r="G23" s="49"/>
      <c r="H23" s="49"/>
      <c r="I23" s="49"/>
      <c r="J23" s="49"/>
    </row>
    <row r="24" spans="2:11" x14ac:dyDescent="0.25">
      <c r="B24" s="24" t="s">
        <v>99</v>
      </c>
      <c r="C24" s="12">
        <v>114</v>
      </c>
      <c r="D24" s="18"/>
      <c r="E24" s="49"/>
      <c r="F24" s="49"/>
      <c r="G24" s="49"/>
      <c r="H24" s="49"/>
      <c r="I24" s="49"/>
      <c r="J24" s="49"/>
    </row>
    <row r="25" spans="2:11" x14ac:dyDescent="0.25">
      <c r="B25" s="24" t="s">
        <v>99</v>
      </c>
      <c r="C25" s="12">
        <v>115</v>
      </c>
      <c r="D25" s="18"/>
      <c r="E25" s="49"/>
      <c r="F25" s="49"/>
      <c r="G25" s="49"/>
      <c r="H25" s="49"/>
      <c r="I25" s="49"/>
      <c r="J25" s="49"/>
    </row>
    <row r="26" spans="2:11" x14ac:dyDescent="0.25">
      <c r="B26" s="24" t="s">
        <v>99</v>
      </c>
      <c r="C26" s="12">
        <v>116</v>
      </c>
      <c r="D26" s="18"/>
      <c r="E26" s="49"/>
      <c r="F26" s="49"/>
      <c r="G26" s="49"/>
      <c r="H26" s="49"/>
      <c r="I26" s="49"/>
      <c r="J26" s="49"/>
    </row>
    <row r="27" spans="2:11" x14ac:dyDescent="0.25">
      <c r="B27" s="24" t="s">
        <v>99</v>
      </c>
      <c r="C27" s="12">
        <v>117</v>
      </c>
      <c r="D27" s="18"/>
      <c r="E27" s="49"/>
      <c r="F27" s="49"/>
      <c r="G27" s="49"/>
      <c r="H27" s="49"/>
      <c r="I27" s="49"/>
      <c r="J27" s="49"/>
    </row>
    <row r="28" spans="2:11" x14ac:dyDescent="0.25">
      <c r="B28" s="24" t="s">
        <v>99</v>
      </c>
      <c r="C28" s="12">
        <v>118</v>
      </c>
      <c r="D28" s="18"/>
      <c r="E28" s="49"/>
      <c r="F28" s="49"/>
      <c r="G28" s="49"/>
      <c r="H28" s="49"/>
      <c r="I28" s="49"/>
      <c r="J28" s="49"/>
    </row>
    <row r="29" spans="2:11" x14ac:dyDescent="0.25">
      <c r="B29" s="24" t="s">
        <v>99</v>
      </c>
      <c r="C29" s="12">
        <v>119</v>
      </c>
      <c r="D29" s="18"/>
      <c r="E29" s="49"/>
      <c r="F29" s="49"/>
      <c r="G29" s="49"/>
      <c r="H29" s="49"/>
      <c r="I29" s="49"/>
      <c r="J29" s="49"/>
    </row>
    <row r="30" spans="2:11" x14ac:dyDescent="0.25">
      <c r="B30" s="24" t="s">
        <v>99</v>
      </c>
      <c r="C30" s="12">
        <v>120</v>
      </c>
      <c r="D30" s="18"/>
      <c r="E30" s="49"/>
      <c r="F30" s="49"/>
      <c r="G30" s="49"/>
      <c r="H30" s="49"/>
      <c r="I30" s="49"/>
      <c r="J30" s="49"/>
    </row>
    <row r="31" spans="2:11" x14ac:dyDescent="0.25">
      <c r="B31" s="24" t="s">
        <v>99</v>
      </c>
      <c r="C31" s="12">
        <v>121</v>
      </c>
      <c r="E31" s="50"/>
      <c r="F31" s="50"/>
      <c r="G31" s="50"/>
      <c r="H31" s="50"/>
      <c r="I31" s="50"/>
      <c r="J31" s="50"/>
      <c r="K31" s="30"/>
    </row>
    <row r="32" spans="2:11" x14ac:dyDescent="0.25">
      <c r="B32" s="24" t="s">
        <v>99</v>
      </c>
      <c r="C32" s="12">
        <v>122</v>
      </c>
      <c r="D32" s="18"/>
      <c r="E32" s="49"/>
      <c r="F32" s="49"/>
      <c r="G32" s="49"/>
      <c r="H32" s="49"/>
      <c r="I32" s="49"/>
      <c r="J32" s="49"/>
    </row>
    <row r="33" spans="2:11" x14ac:dyDescent="0.25">
      <c r="B33" s="24" t="s">
        <v>99</v>
      </c>
      <c r="C33" s="12">
        <v>123</v>
      </c>
      <c r="D33" s="18"/>
      <c r="E33" s="49"/>
      <c r="F33" s="49"/>
      <c r="G33" s="49"/>
      <c r="H33" s="49"/>
      <c r="I33" s="49"/>
      <c r="J33" s="49"/>
    </row>
    <row r="34" spans="2:11" x14ac:dyDescent="0.25">
      <c r="B34" s="24" t="s">
        <v>99</v>
      </c>
      <c r="C34" s="12">
        <v>124</v>
      </c>
      <c r="D34" s="18"/>
      <c r="E34" s="49"/>
      <c r="F34" s="49"/>
      <c r="G34" s="49"/>
      <c r="H34" s="49"/>
      <c r="I34" s="49"/>
      <c r="J34" s="49"/>
    </row>
    <row r="35" spans="2:11" x14ac:dyDescent="0.25">
      <c r="B35" s="24" t="s">
        <v>99</v>
      </c>
      <c r="C35" s="12">
        <v>125</v>
      </c>
      <c r="D35" s="18"/>
      <c r="E35" s="49"/>
      <c r="F35" s="49"/>
      <c r="G35" s="49"/>
      <c r="H35" s="49"/>
      <c r="I35" s="49"/>
      <c r="J35" s="49"/>
      <c r="K35" s="29"/>
    </row>
    <row r="36" spans="2:11" x14ac:dyDescent="0.25">
      <c r="B36" s="25"/>
      <c r="C36" s="22"/>
      <c r="D36" s="17"/>
      <c r="E36" s="51"/>
      <c r="F36" s="51"/>
      <c r="G36" s="51"/>
      <c r="H36" s="51"/>
      <c r="I36" s="51"/>
      <c r="J36" s="51"/>
    </row>
    <row r="37" spans="2:11" ht="13" x14ac:dyDescent="0.3">
      <c r="B37" s="47" t="s">
        <v>100</v>
      </c>
      <c r="D37" s="18"/>
      <c r="E37" s="49"/>
      <c r="F37" s="49"/>
      <c r="G37" s="49"/>
      <c r="H37" s="49"/>
      <c r="I37" s="49"/>
      <c r="J37" s="49"/>
    </row>
    <row r="38" spans="2:11" x14ac:dyDescent="0.25">
      <c r="B38" s="24" t="s">
        <v>99</v>
      </c>
      <c r="C38" s="12">
        <v>201</v>
      </c>
      <c r="D38" s="18"/>
      <c r="E38" s="49"/>
      <c r="F38" s="49"/>
      <c r="G38" s="49"/>
      <c r="H38" s="49"/>
      <c r="I38" s="49"/>
      <c r="J38" s="49"/>
    </row>
    <row r="39" spans="2:11" x14ac:dyDescent="0.25">
      <c r="B39" s="24" t="s">
        <v>99</v>
      </c>
      <c r="C39" s="12">
        <v>202</v>
      </c>
      <c r="D39" s="18"/>
      <c r="E39" s="49"/>
      <c r="F39" s="49"/>
      <c r="G39" s="49"/>
      <c r="H39" s="49"/>
      <c r="I39" s="49"/>
      <c r="J39" s="49"/>
    </row>
    <row r="40" spans="2:11" x14ac:dyDescent="0.25">
      <c r="B40" s="24" t="s">
        <v>99</v>
      </c>
      <c r="C40" s="12">
        <v>203</v>
      </c>
      <c r="D40" s="18"/>
      <c r="E40" s="49"/>
      <c r="F40" s="49"/>
      <c r="G40" s="49"/>
      <c r="H40" s="49"/>
      <c r="I40" s="49"/>
      <c r="J40" s="49"/>
    </row>
    <row r="41" spans="2:11" x14ac:dyDescent="0.25">
      <c r="B41" s="24" t="s">
        <v>99</v>
      </c>
      <c r="C41" s="12">
        <v>204</v>
      </c>
      <c r="D41" s="18"/>
      <c r="E41" s="49"/>
      <c r="F41" s="49"/>
      <c r="G41" s="49"/>
      <c r="H41" s="49"/>
      <c r="I41" s="49"/>
      <c r="J41" s="49"/>
    </row>
    <row r="42" spans="2:11" x14ac:dyDescent="0.25">
      <c r="B42" s="24" t="s">
        <v>99</v>
      </c>
      <c r="C42" s="12">
        <v>205</v>
      </c>
      <c r="D42" s="18"/>
      <c r="E42" s="49"/>
      <c r="F42" s="49"/>
      <c r="G42" s="49"/>
      <c r="H42" s="49"/>
      <c r="I42" s="49"/>
      <c r="J42" s="49"/>
    </row>
    <row r="43" spans="2:11" x14ac:dyDescent="0.25">
      <c r="B43" s="24" t="s">
        <v>99</v>
      </c>
      <c r="C43" s="12">
        <v>206</v>
      </c>
      <c r="D43" s="18"/>
      <c r="E43" s="49"/>
      <c r="F43" s="49"/>
      <c r="G43" s="49"/>
      <c r="H43" s="49"/>
      <c r="I43" s="49"/>
      <c r="J43" s="49"/>
    </row>
    <row r="44" spans="2:11" x14ac:dyDescent="0.25">
      <c r="B44" s="24" t="s">
        <v>99</v>
      </c>
      <c r="C44" s="12">
        <v>207</v>
      </c>
      <c r="D44" s="18"/>
      <c r="E44" s="49"/>
      <c r="F44" s="49"/>
      <c r="G44" s="49"/>
      <c r="H44" s="49"/>
      <c r="I44" s="49"/>
      <c r="J44" s="49"/>
    </row>
    <row r="45" spans="2:11" x14ac:dyDescent="0.25">
      <c r="B45" s="24" t="s">
        <v>99</v>
      </c>
      <c r="C45" s="12">
        <v>208</v>
      </c>
      <c r="D45" s="18"/>
      <c r="E45" s="49"/>
      <c r="F45" s="49"/>
      <c r="G45" s="49"/>
      <c r="H45" s="49"/>
      <c r="I45" s="49"/>
      <c r="J45" s="49"/>
    </row>
    <row r="46" spans="2:11" x14ac:dyDescent="0.25">
      <c r="B46" s="24" t="s">
        <v>99</v>
      </c>
      <c r="C46" s="12">
        <v>209</v>
      </c>
      <c r="D46" s="18"/>
      <c r="E46" s="49"/>
      <c r="F46" s="49"/>
      <c r="G46" s="49"/>
      <c r="H46" s="49"/>
      <c r="I46" s="49"/>
      <c r="J46" s="49"/>
    </row>
    <row r="47" spans="2:11" x14ac:dyDescent="0.25">
      <c r="B47" s="24" t="s">
        <v>99</v>
      </c>
      <c r="C47" s="12">
        <v>210</v>
      </c>
      <c r="D47" s="18"/>
      <c r="E47" s="49"/>
      <c r="F47" s="49"/>
      <c r="G47" s="49"/>
      <c r="H47" s="49"/>
      <c r="I47" s="49"/>
      <c r="J47" s="49"/>
    </row>
    <row r="48" spans="2:11" x14ac:dyDescent="0.25">
      <c r="B48" s="24" t="s">
        <v>99</v>
      </c>
      <c r="C48" s="12">
        <v>211</v>
      </c>
      <c r="D48" s="18"/>
      <c r="E48" s="49"/>
      <c r="F48" s="49"/>
      <c r="G48" s="49"/>
      <c r="H48" s="49"/>
      <c r="I48" s="49"/>
      <c r="J48" s="49"/>
    </row>
    <row r="49" spans="2:10" x14ac:dyDescent="0.25">
      <c r="B49" s="24" t="s">
        <v>99</v>
      </c>
      <c r="C49" s="12">
        <v>212</v>
      </c>
      <c r="D49" s="18"/>
      <c r="E49" s="49"/>
      <c r="F49" s="49"/>
      <c r="G49" s="49"/>
      <c r="H49" s="49"/>
      <c r="I49" s="49"/>
      <c r="J49" s="49"/>
    </row>
    <row r="50" spans="2:10" x14ac:dyDescent="0.25">
      <c r="B50" s="24" t="s">
        <v>99</v>
      </c>
      <c r="C50" s="12">
        <v>213</v>
      </c>
      <c r="D50" s="18"/>
      <c r="E50" s="49"/>
      <c r="F50" s="49"/>
      <c r="G50" s="49"/>
      <c r="H50" s="49"/>
      <c r="I50" s="49"/>
      <c r="J50" s="49"/>
    </row>
    <row r="51" spans="2:10" x14ac:dyDescent="0.25">
      <c r="B51" s="24" t="s">
        <v>99</v>
      </c>
      <c r="C51" s="12">
        <v>214</v>
      </c>
      <c r="D51" s="18"/>
      <c r="E51" s="49"/>
      <c r="F51" s="49"/>
      <c r="G51" s="49"/>
      <c r="H51" s="49"/>
      <c r="I51" s="49"/>
      <c r="J51" s="49"/>
    </row>
    <row r="52" spans="2:10" x14ac:dyDescent="0.25">
      <c r="B52" s="24" t="s">
        <v>99</v>
      </c>
      <c r="C52" s="12">
        <v>215</v>
      </c>
      <c r="D52" s="18"/>
      <c r="E52" s="49"/>
      <c r="F52" s="49"/>
      <c r="G52" s="49"/>
      <c r="H52" s="49"/>
      <c r="I52" s="49"/>
      <c r="J52" s="49"/>
    </row>
    <row r="53" spans="2:10" x14ac:dyDescent="0.25">
      <c r="B53" s="24" t="s">
        <v>99</v>
      </c>
      <c r="C53" s="12">
        <v>216</v>
      </c>
      <c r="D53" s="18"/>
      <c r="E53" s="49"/>
      <c r="F53" s="49"/>
      <c r="G53" s="49"/>
      <c r="H53" s="49"/>
      <c r="I53" s="49"/>
      <c r="J53" s="49"/>
    </row>
    <row r="54" spans="2:10" x14ac:dyDescent="0.25">
      <c r="B54" s="24" t="s">
        <v>99</v>
      </c>
      <c r="C54" s="12">
        <v>217</v>
      </c>
      <c r="D54" s="18"/>
      <c r="E54" s="49"/>
      <c r="F54" s="49"/>
      <c r="G54" s="49"/>
      <c r="H54" s="49"/>
      <c r="I54" s="49"/>
      <c r="J54" s="49"/>
    </row>
    <row r="55" spans="2:10" x14ac:dyDescent="0.25">
      <c r="B55" s="24" t="s">
        <v>99</v>
      </c>
      <c r="C55" s="12">
        <v>218</v>
      </c>
      <c r="D55" s="18"/>
      <c r="E55" s="49"/>
      <c r="F55" s="49"/>
      <c r="G55" s="49"/>
      <c r="H55" s="49"/>
      <c r="I55" s="49"/>
      <c r="J55" s="49"/>
    </row>
    <row r="56" spans="2:10" x14ac:dyDescent="0.25">
      <c r="B56" s="24" t="s">
        <v>99</v>
      </c>
      <c r="C56" s="12">
        <v>219</v>
      </c>
      <c r="D56" s="18"/>
      <c r="E56" s="49"/>
      <c r="F56" s="49"/>
      <c r="G56" s="49"/>
      <c r="H56" s="49"/>
      <c r="I56" s="49"/>
      <c r="J56" s="49"/>
    </row>
    <row r="57" spans="2:10" x14ac:dyDescent="0.25">
      <c r="B57" s="24" t="s">
        <v>99</v>
      </c>
      <c r="C57" s="12">
        <v>220</v>
      </c>
      <c r="D57" s="18"/>
      <c r="E57" s="49"/>
      <c r="F57" s="49"/>
      <c r="G57" s="49"/>
      <c r="H57" s="49"/>
      <c r="I57" s="49"/>
      <c r="J57" s="49"/>
    </row>
    <row r="58" spans="2:10" x14ac:dyDescent="0.25">
      <c r="B58" s="24" t="s">
        <v>99</v>
      </c>
      <c r="C58" s="12">
        <v>221</v>
      </c>
      <c r="D58" s="18"/>
      <c r="E58" s="49"/>
      <c r="F58" s="49"/>
      <c r="G58" s="49"/>
      <c r="H58" s="49"/>
      <c r="I58" s="49"/>
      <c r="J58" s="49"/>
    </row>
    <row r="59" spans="2:10" x14ac:dyDescent="0.25">
      <c r="B59" s="24" t="s">
        <v>99</v>
      </c>
      <c r="C59" s="12">
        <v>222</v>
      </c>
      <c r="D59" s="18"/>
      <c r="E59" s="49"/>
      <c r="F59" s="49"/>
      <c r="G59" s="49"/>
      <c r="H59" s="49"/>
      <c r="I59" s="49"/>
      <c r="J59" s="49"/>
    </row>
    <row r="60" spans="2:10" x14ac:dyDescent="0.25">
      <c r="B60" s="24" t="s">
        <v>99</v>
      </c>
      <c r="C60" s="12">
        <v>223</v>
      </c>
      <c r="D60" s="18"/>
      <c r="E60" s="49"/>
      <c r="F60" s="49"/>
      <c r="G60" s="49"/>
      <c r="H60" s="49"/>
      <c r="I60" s="49"/>
      <c r="J60" s="49"/>
    </row>
    <row r="61" spans="2:10" x14ac:dyDescent="0.25">
      <c r="B61" s="24" t="s">
        <v>99</v>
      </c>
      <c r="C61" s="12">
        <v>224</v>
      </c>
      <c r="D61" s="18"/>
      <c r="E61" s="49"/>
      <c r="F61" s="49"/>
      <c r="G61" s="49"/>
      <c r="H61" s="49"/>
      <c r="I61" s="49"/>
      <c r="J61" s="49"/>
    </row>
    <row r="62" spans="2:10" x14ac:dyDescent="0.25">
      <c r="B62" s="24" t="s">
        <v>99</v>
      </c>
      <c r="C62" s="12">
        <v>225</v>
      </c>
      <c r="D62" s="19"/>
      <c r="E62" s="52"/>
      <c r="F62" s="52"/>
      <c r="G62" s="52"/>
      <c r="H62" s="52"/>
      <c r="I62" s="52"/>
      <c r="J62" s="52"/>
    </row>
    <row r="63" spans="2:10" x14ac:dyDescent="0.25">
      <c r="B63" s="25"/>
      <c r="C63" s="22"/>
      <c r="D63" s="17"/>
      <c r="E63" s="51"/>
      <c r="F63" s="51"/>
      <c r="G63" s="51"/>
      <c r="H63" s="51"/>
      <c r="I63" s="51"/>
      <c r="J63" s="51"/>
    </row>
    <row r="64" spans="2:10" ht="13" x14ac:dyDescent="0.3">
      <c r="B64" s="47" t="s">
        <v>101</v>
      </c>
      <c r="D64" s="18"/>
      <c r="E64" s="49"/>
      <c r="F64" s="49"/>
      <c r="G64" s="49"/>
      <c r="H64" s="49"/>
      <c r="I64" s="49"/>
      <c r="J64" s="49"/>
    </row>
    <row r="65" spans="2:10" x14ac:dyDescent="0.25">
      <c r="B65" s="24" t="s">
        <v>99</v>
      </c>
      <c r="C65" s="12">
        <v>301</v>
      </c>
      <c r="D65" s="18"/>
      <c r="E65" s="49"/>
      <c r="F65" s="49"/>
      <c r="G65" s="49"/>
      <c r="H65" s="49"/>
      <c r="I65" s="49"/>
      <c r="J65" s="49"/>
    </row>
    <row r="66" spans="2:10" x14ac:dyDescent="0.25">
      <c r="B66" s="24" t="s">
        <v>99</v>
      </c>
      <c r="C66" s="12">
        <v>302</v>
      </c>
      <c r="D66" s="18"/>
      <c r="E66" s="49"/>
      <c r="F66" s="49"/>
      <c r="G66" s="49"/>
      <c r="H66" s="49"/>
      <c r="I66" s="49"/>
      <c r="J66" s="49"/>
    </row>
    <row r="67" spans="2:10" x14ac:dyDescent="0.25">
      <c r="B67" s="24" t="s">
        <v>99</v>
      </c>
      <c r="C67" s="12">
        <v>303</v>
      </c>
      <c r="D67" s="18"/>
      <c r="E67" s="49"/>
      <c r="F67" s="49"/>
      <c r="G67" s="49"/>
      <c r="H67" s="49"/>
      <c r="I67" s="49"/>
      <c r="J67" s="49"/>
    </row>
    <row r="68" spans="2:10" x14ac:dyDescent="0.25">
      <c r="B68" s="24" t="s">
        <v>99</v>
      </c>
      <c r="C68" s="12">
        <v>304</v>
      </c>
      <c r="D68" s="18"/>
      <c r="E68" s="49"/>
      <c r="F68" s="49"/>
      <c r="G68" s="49"/>
      <c r="H68" s="49"/>
      <c r="I68" s="49"/>
      <c r="J68" s="49"/>
    </row>
    <row r="69" spans="2:10" x14ac:dyDescent="0.25">
      <c r="B69" s="24" t="s">
        <v>99</v>
      </c>
      <c r="C69" s="12">
        <v>305</v>
      </c>
      <c r="D69" s="18"/>
      <c r="E69" s="49"/>
      <c r="F69" s="49"/>
      <c r="G69" s="49"/>
      <c r="H69" s="49"/>
      <c r="I69" s="49"/>
      <c r="J69" s="49"/>
    </row>
    <row r="70" spans="2:10" x14ac:dyDescent="0.25">
      <c r="B70" s="24" t="s">
        <v>99</v>
      </c>
      <c r="C70" s="12">
        <v>306</v>
      </c>
      <c r="D70" s="18"/>
      <c r="E70" s="49"/>
      <c r="F70" s="49"/>
      <c r="G70" s="49"/>
      <c r="H70" s="49"/>
      <c r="I70" s="49"/>
      <c r="J70" s="49"/>
    </row>
    <row r="71" spans="2:10" x14ac:dyDescent="0.25">
      <c r="B71" s="24" t="s">
        <v>99</v>
      </c>
      <c r="C71" s="12">
        <v>307</v>
      </c>
      <c r="D71" s="18"/>
      <c r="E71" s="49"/>
      <c r="F71" s="49"/>
      <c r="G71" s="49"/>
      <c r="H71" s="49"/>
      <c r="I71" s="49"/>
      <c r="J71" s="49"/>
    </row>
    <row r="72" spans="2:10" x14ac:dyDescent="0.25">
      <c r="B72" s="24" t="s">
        <v>99</v>
      </c>
      <c r="C72" s="12">
        <v>308</v>
      </c>
      <c r="D72" s="18"/>
      <c r="E72" s="49"/>
      <c r="F72" s="49"/>
      <c r="G72" s="49"/>
      <c r="H72" s="49"/>
      <c r="I72" s="49"/>
      <c r="J72" s="49"/>
    </row>
    <row r="73" spans="2:10" x14ac:dyDescent="0.25">
      <c r="B73" s="24" t="s">
        <v>99</v>
      </c>
      <c r="C73" s="12">
        <v>309</v>
      </c>
      <c r="D73" s="18"/>
      <c r="E73" s="49"/>
      <c r="F73" s="49"/>
      <c r="G73" s="49"/>
      <c r="H73" s="49"/>
      <c r="I73" s="49"/>
      <c r="J73" s="49"/>
    </row>
    <row r="74" spans="2:10" x14ac:dyDescent="0.25">
      <c r="B74" s="24" t="s">
        <v>99</v>
      </c>
      <c r="C74" s="12">
        <v>310</v>
      </c>
      <c r="D74" s="18"/>
      <c r="E74" s="49"/>
      <c r="F74" s="49"/>
      <c r="G74" s="49"/>
      <c r="H74" s="49"/>
      <c r="I74" s="49"/>
      <c r="J74" s="49"/>
    </row>
    <row r="75" spans="2:10" x14ac:dyDescent="0.25">
      <c r="B75" s="24" t="s">
        <v>99</v>
      </c>
      <c r="C75" s="12">
        <v>311</v>
      </c>
      <c r="D75" s="18"/>
      <c r="E75" s="49"/>
      <c r="F75" s="49"/>
      <c r="G75" s="49"/>
      <c r="H75" s="49"/>
      <c r="I75" s="49"/>
      <c r="J75" s="49"/>
    </row>
    <row r="76" spans="2:10" x14ac:dyDescent="0.25">
      <c r="B76" s="24" t="s">
        <v>99</v>
      </c>
      <c r="C76" s="12">
        <v>312</v>
      </c>
      <c r="D76" s="18"/>
      <c r="E76" s="49"/>
      <c r="F76" s="49"/>
      <c r="G76" s="49"/>
      <c r="H76" s="49"/>
      <c r="I76" s="49"/>
      <c r="J76" s="49"/>
    </row>
    <row r="77" spans="2:10" x14ac:dyDescent="0.25">
      <c r="B77" s="24" t="s">
        <v>99</v>
      </c>
      <c r="C77" s="12">
        <v>313</v>
      </c>
      <c r="D77" s="18"/>
      <c r="E77" s="49"/>
      <c r="F77" s="49"/>
      <c r="G77" s="49"/>
      <c r="H77" s="49"/>
      <c r="I77" s="49"/>
      <c r="J77" s="49"/>
    </row>
    <row r="78" spans="2:10" x14ac:dyDescent="0.25">
      <c r="B78" s="24" t="s">
        <v>99</v>
      </c>
      <c r="C78" s="12">
        <v>314</v>
      </c>
      <c r="D78" s="18"/>
      <c r="E78" s="49"/>
      <c r="F78" s="49"/>
      <c r="G78" s="49"/>
      <c r="H78" s="49"/>
      <c r="I78" s="49"/>
      <c r="J78" s="49"/>
    </row>
    <row r="79" spans="2:10" x14ac:dyDescent="0.25">
      <c r="B79" s="24" t="s">
        <v>99</v>
      </c>
      <c r="C79" s="12">
        <v>315</v>
      </c>
      <c r="D79" s="18"/>
      <c r="E79" s="49"/>
      <c r="F79" s="49"/>
      <c r="G79" s="49"/>
      <c r="H79" s="49"/>
      <c r="I79" s="49"/>
      <c r="J79" s="49"/>
    </row>
    <row r="80" spans="2:10" x14ac:dyDescent="0.25">
      <c r="B80" s="24" t="s">
        <v>99</v>
      </c>
      <c r="C80" s="12">
        <v>316</v>
      </c>
      <c r="D80" s="18"/>
      <c r="E80" s="49"/>
      <c r="F80" s="49"/>
      <c r="G80" s="49"/>
      <c r="H80" s="49"/>
      <c r="I80" s="49"/>
      <c r="J80" s="49"/>
    </row>
    <row r="81" spans="2:10" x14ac:dyDescent="0.25">
      <c r="B81" s="24" t="s">
        <v>99</v>
      </c>
      <c r="C81" s="12">
        <v>317</v>
      </c>
      <c r="D81" s="18"/>
      <c r="E81" s="49"/>
      <c r="F81" s="49"/>
      <c r="G81" s="49"/>
      <c r="H81" s="49"/>
      <c r="I81" s="49"/>
      <c r="J81" s="49"/>
    </row>
    <row r="82" spans="2:10" x14ac:dyDescent="0.25">
      <c r="B82" s="24" t="s">
        <v>99</v>
      </c>
      <c r="C82" s="12">
        <v>318</v>
      </c>
      <c r="D82" s="18"/>
      <c r="E82" s="49"/>
      <c r="F82" s="49"/>
      <c r="G82" s="49"/>
      <c r="H82" s="49"/>
      <c r="I82" s="49"/>
      <c r="J82" s="49"/>
    </row>
    <row r="83" spans="2:10" x14ac:dyDescent="0.25">
      <c r="B83" s="24" t="s">
        <v>99</v>
      </c>
      <c r="C83" s="12">
        <v>319</v>
      </c>
      <c r="D83" s="18"/>
      <c r="E83" s="49"/>
      <c r="F83" s="49"/>
      <c r="G83" s="49"/>
      <c r="H83" s="49"/>
      <c r="I83" s="49"/>
      <c r="J83" s="49"/>
    </row>
    <row r="84" spans="2:10" x14ac:dyDescent="0.25">
      <c r="B84" s="24" t="s">
        <v>99</v>
      </c>
      <c r="C84" s="12">
        <v>320</v>
      </c>
      <c r="D84" s="18"/>
      <c r="E84" s="49"/>
      <c r="F84" s="49"/>
      <c r="G84" s="49"/>
      <c r="H84" s="49"/>
      <c r="I84" s="49"/>
      <c r="J84" s="49"/>
    </row>
    <row r="85" spans="2:10" x14ac:dyDescent="0.25">
      <c r="B85" s="24" t="s">
        <v>99</v>
      </c>
      <c r="C85" s="12">
        <v>321</v>
      </c>
      <c r="D85" s="18"/>
      <c r="E85" s="49"/>
      <c r="F85" s="49"/>
      <c r="G85" s="49"/>
      <c r="H85" s="49"/>
      <c r="I85" s="49"/>
      <c r="J85" s="49"/>
    </row>
    <row r="86" spans="2:10" x14ac:dyDescent="0.25">
      <c r="B86" s="24" t="s">
        <v>99</v>
      </c>
      <c r="C86" s="12">
        <v>322</v>
      </c>
      <c r="D86" s="18"/>
      <c r="E86" s="49"/>
      <c r="F86" s="49"/>
      <c r="G86" s="49"/>
      <c r="H86" s="49"/>
      <c r="I86" s="49"/>
      <c r="J86" s="49"/>
    </row>
    <row r="87" spans="2:10" x14ac:dyDescent="0.25">
      <c r="B87" s="24" t="s">
        <v>99</v>
      </c>
      <c r="C87" s="12">
        <v>323</v>
      </c>
      <c r="D87" s="18"/>
      <c r="E87" s="49"/>
      <c r="F87" s="49"/>
      <c r="G87" s="49"/>
      <c r="H87" s="49"/>
      <c r="I87" s="49"/>
      <c r="J87" s="49"/>
    </row>
    <row r="88" spans="2:10" x14ac:dyDescent="0.25">
      <c r="B88" s="24" t="s">
        <v>99</v>
      </c>
      <c r="C88" s="12">
        <v>324</v>
      </c>
      <c r="D88" s="18"/>
      <c r="E88" s="49"/>
      <c r="F88" s="49"/>
      <c r="G88" s="49"/>
      <c r="H88" s="49"/>
      <c r="I88" s="49"/>
      <c r="J88" s="49"/>
    </row>
    <row r="89" spans="2:10" x14ac:dyDescent="0.25">
      <c r="B89" s="24" t="s">
        <v>99</v>
      </c>
      <c r="C89" s="12">
        <v>325</v>
      </c>
      <c r="D89" s="19"/>
      <c r="E89" s="52"/>
      <c r="F89" s="52"/>
      <c r="G89" s="52"/>
      <c r="H89" s="52"/>
      <c r="I89" s="52"/>
      <c r="J89" s="52"/>
    </row>
    <row r="90" spans="2:10" x14ac:dyDescent="0.25">
      <c r="B90" s="25"/>
      <c r="C90" s="22"/>
      <c r="D90" s="17"/>
      <c r="E90" s="51"/>
      <c r="F90" s="51"/>
      <c r="G90" s="51"/>
      <c r="H90" s="51"/>
      <c r="I90" s="51"/>
      <c r="J90" s="51"/>
    </row>
    <row r="91" spans="2:10" ht="13" x14ac:dyDescent="0.3">
      <c r="B91" s="47" t="s">
        <v>102</v>
      </c>
      <c r="D91" s="18"/>
      <c r="E91" s="49"/>
      <c r="F91" s="49"/>
      <c r="G91" s="49"/>
      <c r="H91" s="49"/>
      <c r="I91" s="49"/>
      <c r="J91" s="49"/>
    </row>
    <row r="92" spans="2:10" x14ac:dyDescent="0.25">
      <c r="B92" s="24" t="s">
        <v>99</v>
      </c>
      <c r="C92" s="12">
        <v>401</v>
      </c>
      <c r="D92" s="18"/>
      <c r="E92" s="49"/>
      <c r="F92" s="49"/>
      <c r="G92" s="49"/>
      <c r="H92" s="49"/>
      <c r="I92" s="49"/>
      <c r="J92" s="49"/>
    </row>
    <row r="93" spans="2:10" x14ac:dyDescent="0.25">
      <c r="B93" s="24" t="s">
        <v>99</v>
      </c>
      <c r="C93" s="12">
        <v>402</v>
      </c>
      <c r="D93" s="18"/>
      <c r="E93" s="49"/>
      <c r="F93" s="49"/>
      <c r="G93" s="49"/>
      <c r="H93" s="49"/>
      <c r="I93" s="49"/>
      <c r="J93" s="49"/>
    </row>
    <row r="94" spans="2:10" x14ac:dyDescent="0.25">
      <c r="B94" s="24" t="s">
        <v>99</v>
      </c>
      <c r="C94" s="12">
        <v>403</v>
      </c>
      <c r="D94" s="18"/>
      <c r="E94" s="49"/>
      <c r="F94" s="49"/>
      <c r="G94" s="49"/>
      <c r="H94" s="49"/>
      <c r="I94" s="49"/>
      <c r="J94" s="49"/>
    </row>
    <row r="95" spans="2:10" x14ac:dyDescent="0.25">
      <c r="B95" s="24" t="s">
        <v>99</v>
      </c>
      <c r="C95" s="12">
        <v>404</v>
      </c>
      <c r="D95" s="18"/>
      <c r="E95" s="49"/>
      <c r="F95" s="49"/>
      <c r="G95" s="49"/>
      <c r="H95" s="49"/>
      <c r="I95" s="49"/>
      <c r="J95" s="49"/>
    </row>
    <row r="96" spans="2:10" x14ac:dyDescent="0.25">
      <c r="B96" s="24" t="s">
        <v>99</v>
      </c>
      <c r="C96" s="12">
        <v>405</v>
      </c>
      <c r="D96" s="18"/>
      <c r="E96" s="49"/>
      <c r="F96" s="49"/>
      <c r="G96" s="49"/>
      <c r="H96" s="49"/>
      <c r="I96" s="49"/>
      <c r="J96" s="49"/>
    </row>
    <row r="97" spans="2:10" x14ac:dyDescent="0.25">
      <c r="B97" s="24" t="s">
        <v>99</v>
      </c>
      <c r="C97" s="12">
        <v>406</v>
      </c>
      <c r="D97" s="18"/>
      <c r="E97" s="49"/>
      <c r="F97" s="49"/>
      <c r="G97" s="49"/>
      <c r="H97" s="49"/>
      <c r="I97" s="49"/>
      <c r="J97" s="49"/>
    </row>
    <row r="98" spans="2:10" x14ac:dyDescent="0.25">
      <c r="B98" s="24" t="s">
        <v>99</v>
      </c>
      <c r="C98" s="12">
        <v>407</v>
      </c>
      <c r="D98" s="18"/>
      <c r="E98" s="49"/>
      <c r="F98" s="49"/>
      <c r="G98" s="49"/>
      <c r="H98" s="49"/>
      <c r="I98" s="49"/>
      <c r="J98" s="49"/>
    </row>
    <row r="99" spans="2:10" x14ac:dyDescent="0.25">
      <c r="B99" s="24" t="s">
        <v>99</v>
      </c>
      <c r="C99" s="12">
        <v>408</v>
      </c>
      <c r="D99" s="18"/>
      <c r="E99" s="49"/>
      <c r="F99" s="49"/>
      <c r="G99" s="49"/>
      <c r="H99" s="49"/>
      <c r="I99" s="49"/>
      <c r="J99" s="49"/>
    </row>
    <row r="100" spans="2:10" x14ac:dyDescent="0.25">
      <c r="B100" s="24" t="s">
        <v>99</v>
      </c>
      <c r="C100" s="12">
        <v>409</v>
      </c>
      <c r="D100" s="18"/>
      <c r="E100" s="49"/>
      <c r="F100" s="49"/>
      <c r="G100" s="49"/>
      <c r="H100" s="49"/>
      <c r="I100" s="49"/>
      <c r="J100" s="49"/>
    </row>
    <row r="101" spans="2:10" x14ac:dyDescent="0.25">
      <c r="B101" s="24" t="s">
        <v>99</v>
      </c>
      <c r="C101" s="12">
        <v>410</v>
      </c>
      <c r="D101" s="18"/>
      <c r="E101" s="49"/>
      <c r="F101" s="49"/>
      <c r="G101" s="49"/>
      <c r="H101" s="49"/>
      <c r="I101" s="49"/>
      <c r="J101" s="49"/>
    </row>
    <row r="102" spans="2:10" x14ac:dyDescent="0.25">
      <c r="B102" s="24" t="s">
        <v>99</v>
      </c>
      <c r="C102" s="12">
        <v>411</v>
      </c>
      <c r="D102" s="18"/>
      <c r="E102" s="49"/>
      <c r="F102" s="49"/>
      <c r="G102" s="49"/>
      <c r="H102" s="49"/>
      <c r="I102" s="49"/>
      <c r="J102" s="49"/>
    </row>
    <row r="103" spans="2:10" x14ac:dyDescent="0.25">
      <c r="B103" s="24" t="s">
        <v>99</v>
      </c>
      <c r="C103" s="12">
        <v>412</v>
      </c>
      <c r="D103" s="18"/>
      <c r="E103" s="49"/>
      <c r="F103" s="49"/>
      <c r="G103" s="49"/>
      <c r="H103" s="49"/>
      <c r="I103" s="49"/>
      <c r="J103" s="49"/>
    </row>
    <row r="104" spans="2:10" x14ac:dyDescent="0.25">
      <c r="B104" s="24" t="s">
        <v>99</v>
      </c>
      <c r="C104" s="12">
        <v>413</v>
      </c>
      <c r="D104" s="18"/>
      <c r="E104" s="49"/>
      <c r="F104" s="49"/>
      <c r="G104" s="49"/>
      <c r="H104" s="49"/>
      <c r="I104" s="49"/>
      <c r="J104" s="49"/>
    </row>
    <row r="105" spans="2:10" x14ac:dyDescent="0.25">
      <c r="B105" s="24" t="s">
        <v>99</v>
      </c>
      <c r="C105" s="12">
        <v>414</v>
      </c>
      <c r="D105" s="18"/>
      <c r="E105" s="49"/>
      <c r="F105" s="49"/>
      <c r="G105" s="49"/>
      <c r="H105" s="49"/>
      <c r="I105" s="49"/>
      <c r="J105" s="49"/>
    </row>
    <row r="106" spans="2:10" x14ac:dyDescent="0.25">
      <c r="B106" s="24" t="s">
        <v>99</v>
      </c>
      <c r="C106" s="12">
        <v>415</v>
      </c>
      <c r="D106" s="18"/>
      <c r="E106" s="49"/>
      <c r="F106" s="49"/>
      <c r="G106" s="49"/>
      <c r="H106" s="49"/>
      <c r="I106" s="49"/>
      <c r="J106" s="49"/>
    </row>
    <row r="107" spans="2:10" x14ac:dyDescent="0.25">
      <c r="B107" s="24" t="s">
        <v>99</v>
      </c>
      <c r="C107" s="12">
        <v>416</v>
      </c>
      <c r="D107" s="18"/>
      <c r="E107" s="49"/>
      <c r="F107" s="49"/>
      <c r="G107" s="49"/>
      <c r="H107" s="49"/>
      <c r="I107" s="49"/>
      <c r="J107" s="49"/>
    </row>
    <row r="108" spans="2:10" x14ac:dyDescent="0.25">
      <c r="B108" s="24" t="s">
        <v>99</v>
      </c>
      <c r="C108" s="12">
        <v>417</v>
      </c>
      <c r="D108" s="18"/>
      <c r="E108" s="49"/>
      <c r="F108" s="49"/>
      <c r="G108" s="49"/>
      <c r="H108" s="49"/>
      <c r="I108" s="49"/>
      <c r="J108" s="49"/>
    </row>
    <row r="109" spans="2:10" x14ac:dyDescent="0.25">
      <c r="B109" s="24" t="s">
        <v>99</v>
      </c>
      <c r="C109" s="12">
        <v>418</v>
      </c>
      <c r="D109" s="18"/>
      <c r="E109" s="49"/>
      <c r="F109" s="49"/>
      <c r="G109" s="49"/>
      <c r="H109" s="49"/>
      <c r="I109" s="49"/>
      <c r="J109" s="49"/>
    </row>
    <row r="110" spans="2:10" x14ac:dyDescent="0.25">
      <c r="B110" s="24" t="s">
        <v>99</v>
      </c>
      <c r="C110" s="12">
        <v>419</v>
      </c>
      <c r="D110" s="18"/>
      <c r="E110" s="49"/>
      <c r="F110" s="49"/>
      <c r="G110" s="49"/>
      <c r="H110" s="49"/>
      <c r="I110" s="49"/>
      <c r="J110" s="49"/>
    </row>
    <row r="111" spans="2:10" x14ac:dyDescent="0.25">
      <c r="B111" s="24" t="s">
        <v>99</v>
      </c>
      <c r="C111" s="12">
        <v>420</v>
      </c>
      <c r="D111" s="18"/>
      <c r="E111" s="49"/>
      <c r="F111" s="49"/>
      <c r="G111" s="49"/>
      <c r="H111" s="49"/>
      <c r="I111" s="49"/>
      <c r="J111" s="49"/>
    </row>
    <row r="112" spans="2:10" x14ac:dyDescent="0.25">
      <c r="B112" s="24" t="s">
        <v>99</v>
      </c>
      <c r="C112" s="12">
        <v>421</v>
      </c>
      <c r="D112" s="18"/>
      <c r="E112" s="49"/>
      <c r="F112" s="49"/>
      <c r="G112" s="49"/>
      <c r="H112" s="49"/>
      <c r="I112" s="49"/>
      <c r="J112" s="49"/>
    </row>
    <row r="113" spans="2:10" x14ac:dyDescent="0.25">
      <c r="B113" s="24" t="s">
        <v>99</v>
      </c>
      <c r="C113" s="12">
        <v>422</v>
      </c>
      <c r="D113" s="18"/>
      <c r="E113" s="49"/>
      <c r="F113" s="49"/>
      <c r="G113" s="49"/>
      <c r="H113" s="49"/>
      <c r="I113" s="49"/>
      <c r="J113" s="49"/>
    </row>
    <row r="114" spans="2:10" x14ac:dyDescent="0.25">
      <c r="B114" s="24" t="s">
        <v>99</v>
      </c>
      <c r="C114" s="12">
        <v>423</v>
      </c>
      <c r="D114" s="18"/>
      <c r="E114" s="49"/>
      <c r="F114" s="49"/>
      <c r="G114" s="49"/>
      <c r="H114" s="49"/>
      <c r="I114" s="49"/>
      <c r="J114" s="49"/>
    </row>
    <row r="115" spans="2:10" x14ac:dyDescent="0.25">
      <c r="B115" s="24" t="s">
        <v>99</v>
      </c>
      <c r="C115" s="12">
        <v>424</v>
      </c>
      <c r="D115" s="18"/>
      <c r="E115" s="49"/>
      <c r="F115" s="49"/>
      <c r="G115" s="49"/>
      <c r="H115" s="49"/>
      <c r="I115" s="49"/>
      <c r="J115" s="49"/>
    </row>
    <row r="116" spans="2:10" x14ac:dyDescent="0.25">
      <c r="B116" s="24" t="s">
        <v>99</v>
      </c>
      <c r="C116" s="12">
        <v>425</v>
      </c>
      <c r="D116" s="19"/>
      <c r="E116" s="52"/>
      <c r="F116" s="52"/>
      <c r="G116" s="52"/>
      <c r="H116" s="52"/>
      <c r="I116" s="52"/>
      <c r="J116" s="52"/>
    </row>
    <row r="117" spans="2:10" x14ac:dyDescent="0.25">
      <c r="B117" s="25"/>
      <c r="C117" s="22"/>
      <c r="D117" s="17"/>
      <c r="E117" s="51"/>
      <c r="F117" s="51"/>
      <c r="G117" s="51"/>
      <c r="H117" s="51"/>
      <c r="I117" s="51"/>
      <c r="J117" s="51"/>
    </row>
    <row r="118" spans="2:10" ht="13" x14ac:dyDescent="0.3">
      <c r="B118" s="47" t="s">
        <v>103</v>
      </c>
      <c r="D118" s="18"/>
      <c r="E118" s="49"/>
      <c r="F118" s="49"/>
      <c r="G118" s="49"/>
      <c r="H118" s="49"/>
      <c r="I118" s="49"/>
      <c r="J118" s="49"/>
    </row>
    <row r="119" spans="2:10" x14ac:dyDescent="0.25">
      <c r="B119" s="24" t="s">
        <v>99</v>
      </c>
      <c r="C119" s="12">
        <v>501</v>
      </c>
      <c r="D119" s="18"/>
      <c r="E119" s="49"/>
      <c r="F119" s="49"/>
      <c r="G119" s="49"/>
      <c r="H119" s="49"/>
      <c r="I119" s="49"/>
      <c r="J119" s="49"/>
    </row>
    <row r="120" spans="2:10" x14ac:dyDescent="0.25">
      <c r="B120" s="24" t="s">
        <v>99</v>
      </c>
      <c r="C120" s="12">
        <v>502</v>
      </c>
      <c r="D120" s="18"/>
      <c r="E120" s="49"/>
      <c r="F120" s="49"/>
      <c r="G120" s="49"/>
      <c r="H120" s="49"/>
      <c r="I120" s="49"/>
      <c r="J120" s="49"/>
    </row>
    <row r="121" spans="2:10" x14ac:dyDescent="0.25">
      <c r="B121" s="24" t="s">
        <v>99</v>
      </c>
      <c r="C121" s="12">
        <v>503</v>
      </c>
      <c r="D121" s="18"/>
      <c r="E121" s="49"/>
      <c r="F121" s="49"/>
      <c r="G121" s="49"/>
      <c r="H121" s="49"/>
      <c r="I121" s="49"/>
      <c r="J121" s="49"/>
    </row>
    <row r="122" spans="2:10" x14ac:dyDescent="0.25">
      <c r="B122" s="24" t="s">
        <v>99</v>
      </c>
      <c r="C122" s="12">
        <v>504</v>
      </c>
      <c r="D122" s="18"/>
      <c r="E122" s="49"/>
      <c r="F122" s="49"/>
      <c r="G122" s="49"/>
      <c r="H122" s="49"/>
      <c r="I122" s="49"/>
      <c r="J122" s="49"/>
    </row>
    <row r="123" spans="2:10" x14ac:dyDescent="0.25">
      <c r="B123" s="24" t="s">
        <v>99</v>
      </c>
      <c r="C123" s="12">
        <v>505</v>
      </c>
      <c r="D123" s="18"/>
      <c r="E123" s="49"/>
      <c r="F123" s="49"/>
      <c r="G123" s="49"/>
      <c r="H123" s="49"/>
      <c r="I123" s="49"/>
      <c r="J123" s="49"/>
    </row>
    <row r="124" spans="2:10" x14ac:dyDescent="0.25">
      <c r="B124" s="24" t="s">
        <v>99</v>
      </c>
      <c r="C124" s="12">
        <v>506</v>
      </c>
      <c r="D124" s="18"/>
      <c r="E124" s="49"/>
      <c r="F124" s="49"/>
      <c r="G124" s="49"/>
      <c r="H124" s="49"/>
      <c r="I124" s="49"/>
      <c r="J124" s="49"/>
    </row>
    <row r="125" spans="2:10" x14ac:dyDescent="0.25">
      <c r="B125" s="24" t="s">
        <v>99</v>
      </c>
      <c r="C125" s="12">
        <v>507</v>
      </c>
      <c r="D125" s="18"/>
      <c r="E125" s="49"/>
      <c r="F125" s="49"/>
      <c r="G125" s="49"/>
      <c r="H125" s="49"/>
      <c r="I125" s="49"/>
      <c r="J125" s="49"/>
    </row>
    <row r="126" spans="2:10" x14ac:dyDescent="0.25">
      <c r="B126" s="24" t="s">
        <v>99</v>
      </c>
      <c r="C126" s="12">
        <v>508</v>
      </c>
      <c r="D126" s="18"/>
      <c r="E126" s="49"/>
      <c r="F126" s="49"/>
      <c r="G126" s="49"/>
      <c r="H126" s="49"/>
      <c r="I126" s="49"/>
      <c r="J126" s="49"/>
    </row>
    <row r="127" spans="2:10" x14ac:dyDescent="0.25">
      <c r="B127" s="24" t="s">
        <v>99</v>
      </c>
      <c r="C127" s="12">
        <v>509</v>
      </c>
      <c r="D127" s="18"/>
      <c r="E127" s="49"/>
      <c r="F127" s="49"/>
      <c r="G127" s="49"/>
      <c r="H127" s="49"/>
      <c r="I127" s="49"/>
      <c r="J127" s="49"/>
    </row>
    <row r="128" spans="2:10" x14ac:dyDescent="0.25">
      <c r="B128" s="24" t="s">
        <v>99</v>
      </c>
      <c r="C128" s="12">
        <v>510</v>
      </c>
      <c r="D128" s="18"/>
      <c r="E128" s="49"/>
      <c r="F128" s="49"/>
      <c r="G128" s="49"/>
      <c r="H128" s="49"/>
      <c r="I128" s="49"/>
      <c r="J128" s="49"/>
    </row>
    <row r="129" spans="2:10" x14ac:dyDescent="0.25">
      <c r="B129" s="24" t="s">
        <v>99</v>
      </c>
      <c r="C129" s="12">
        <v>511</v>
      </c>
      <c r="D129" s="18"/>
      <c r="E129" s="49"/>
      <c r="F129" s="49"/>
      <c r="G129" s="49"/>
      <c r="H129" s="49"/>
      <c r="I129" s="49"/>
      <c r="J129" s="49"/>
    </row>
    <row r="130" spans="2:10" x14ac:dyDescent="0.25">
      <c r="B130" s="24" t="s">
        <v>99</v>
      </c>
      <c r="C130" s="12">
        <v>512</v>
      </c>
      <c r="D130" s="18"/>
      <c r="E130" s="49"/>
      <c r="F130" s="49"/>
      <c r="G130" s="49"/>
      <c r="H130" s="49"/>
      <c r="I130" s="49"/>
      <c r="J130" s="49"/>
    </row>
    <row r="131" spans="2:10" x14ac:dyDescent="0.25">
      <c r="B131" s="24" t="s">
        <v>99</v>
      </c>
      <c r="C131" s="12">
        <v>513</v>
      </c>
      <c r="D131" s="18"/>
      <c r="E131" s="49"/>
      <c r="F131" s="49"/>
      <c r="G131" s="49"/>
      <c r="H131" s="49"/>
      <c r="I131" s="49"/>
      <c r="J131" s="49"/>
    </row>
    <row r="132" spans="2:10" x14ac:dyDescent="0.25">
      <c r="B132" s="24" t="s">
        <v>99</v>
      </c>
      <c r="C132" s="12">
        <v>514</v>
      </c>
      <c r="D132" s="18"/>
      <c r="E132" s="49"/>
      <c r="F132" s="49"/>
      <c r="G132" s="49"/>
      <c r="H132" s="49"/>
      <c r="I132" s="49"/>
      <c r="J132" s="49"/>
    </row>
    <row r="133" spans="2:10" x14ac:dyDescent="0.25">
      <c r="B133" s="24" t="s">
        <v>99</v>
      </c>
      <c r="C133" s="12">
        <v>515</v>
      </c>
      <c r="D133" s="18"/>
      <c r="E133" s="49"/>
      <c r="F133" s="49"/>
      <c r="G133" s="49"/>
      <c r="H133" s="49"/>
      <c r="I133" s="49"/>
      <c r="J133" s="49"/>
    </row>
    <row r="134" spans="2:10" x14ac:dyDescent="0.25">
      <c r="B134" s="24" t="s">
        <v>99</v>
      </c>
      <c r="C134" s="12">
        <v>516</v>
      </c>
      <c r="D134" s="18"/>
      <c r="E134" s="49"/>
      <c r="F134" s="49"/>
      <c r="G134" s="49"/>
      <c r="H134" s="49"/>
      <c r="I134" s="49"/>
      <c r="J134" s="49"/>
    </row>
    <row r="135" spans="2:10" x14ac:dyDescent="0.25">
      <c r="B135" s="24" t="s">
        <v>99</v>
      </c>
      <c r="C135" s="12">
        <v>517</v>
      </c>
      <c r="D135" s="18"/>
      <c r="E135" s="49"/>
      <c r="F135" s="49"/>
      <c r="G135" s="49"/>
      <c r="H135" s="49"/>
      <c r="I135" s="49"/>
      <c r="J135" s="49"/>
    </row>
    <row r="136" spans="2:10" x14ac:dyDescent="0.25">
      <c r="B136" s="24" t="s">
        <v>99</v>
      </c>
      <c r="C136" s="12">
        <v>518</v>
      </c>
      <c r="D136" s="18"/>
      <c r="E136" s="49"/>
      <c r="F136" s="49"/>
      <c r="G136" s="49"/>
      <c r="H136" s="49"/>
      <c r="I136" s="49"/>
      <c r="J136" s="49"/>
    </row>
    <row r="137" spans="2:10" x14ac:dyDescent="0.25">
      <c r="B137" s="24" t="s">
        <v>99</v>
      </c>
      <c r="C137" s="12">
        <v>519</v>
      </c>
      <c r="D137" s="18"/>
      <c r="E137" s="49"/>
      <c r="F137" s="49"/>
      <c r="G137" s="49"/>
      <c r="H137" s="49"/>
      <c r="I137" s="49"/>
      <c r="J137" s="49"/>
    </row>
    <row r="138" spans="2:10" x14ac:dyDescent="0.25">
      <c r="B138" s="24" t="s">
        <v>99</v>
      </c>
      <c r="C138" s="12">
        <v>520</v>
      </c>
      <c r="D138" s="18"/>
      <c r="E138" s="49"/>
      <c r="F138" s="49"/>
      <c r="G138" s="49"/>
      <c r="H138" s="49"/>
      <c r="I138" s="49"/>
      <c r="J138" s="49"/>
    </row>
    <row r="139" spans="2:10" x14ac:dyDescent="0.25">
      <c r="B139" s="24" t="s">
        <v>99</v>
      </c>
      <c r="C139" s="12">
        <v>521</v>
      </c>
      <c r="D139" s="18"/>
      <c r="E139" s="49"/>
      <c r="F139" s="49"/>
      <c r="G139" s="49"/>
      <c r="H139" s="49"/>
      <c r="I139" s="49"/>
      <c r="J139" s="49"/>
    </row>
    <row r="140" spans="2:10" x14ac:dyDescent="0.25">
      <c r="B140" s="24" t="s">
        <v>99</v>
      </c>
      <c r="C140" s="12">
        <v>522</v>
      </c>
      <c r="D140" s="18"/>
      <c r="E140" s="49"/>
      <c r="F140" s="49"/>
      <c r="G140" s="49"/>
      <c r="H140" s="49"/>
      <c r="I140" s="49"/>
      <c r="J140" s="49"/>
    </row>
    <row r="141" spans="2:10" x14ac:dyDescent="0.25">
      <c r="B141" s="24" t="s">
        <v>99</v>
      </c>
      <c r="C141" s="12">
        <v>523</v>
      </c>
      <c r="D141" s="18"/>
      <c r="E141" s="49"/>
      <c r="F141" s="49"/>
      <c r="G141" s="49"/>
      <c r="H141" s="49"/>
      <c r="I141" s="49"/>
      <c r="J141" s="49"/>
    </row>
    <row r="142" spans="2:10" x14ac:dyDescent="0.25">
      <c r="B142" s="24" t="s">
        <v>99</v>
      </c>
      <c r="C142" s="12">
        <v>524</v>
      </c>
      <c r="D142" s="18"/>
      <c r="E142" s="49"/>
      <c r="F142" s="49"/>
      <c r="G142" s="49"/>
      <c r="H142" s="49"/>
      <c r="I142" s="49"/>
      <c r="J142" s="49"/>
    </row>
    <row r="143" spans="2:10" x14ac:dyDescent="0.25">
      <c r="B143" s="24" t="s">
        <v>99</v>
      </c>
      <c r="C143" s="12">
        <v>525</v>
      </c>
      <c r="D143" s="19"/>
      <c r="E143" s="52"/>
      <c r="F143" s="52"/>
      <c r="G143" s="52"/>
      <c r="H143" s="52"/>
      <c r="I143" s="52"/>
      <c r="J143" s="52"/>
    </row>
    <row r="144" spans="2:10" x14ac:dyDescent="0.25">
      <c r="B144" s="25"/>
      <c r="C144" s="22"/>
      <c r="D144" s="17"/>
      <c r="E144" s="51"/>
      <c r="F144" s="51"/>
      <c r="G144" s="51"/>
      <c r="H144" s="51"/>
      <c r="I144" s="51"/>
      <c r="J144" s="51"/>
    </row>
    <row r="145" spans="2:10" ht="13" x14ac:dyDescent="0.3">
      <c r="B145" s="47" t="s">
        <v>104</v>
      </c>
      <c r="D145" s="18"/>
      <c r="E145" s="49"/>
      <c r="F145" s="49"/>
      <c r="G145" s="49"/>
      <c r="H145" s="49"/>
      <c r="I145" s="49"/>
      <c r="J145" s="49"/>
    </row>
    <row r="146" spans="2:10" x14ac:dyDescent="0.25">
      <c r="B146" s="24" t="s">
        <v>99</v>
      </c>
      <c r="C146" s="12">
        <v>601</v>
      </c>
      <c r="D146" s="18"/>
      <c r="E146" s="49"/>
      <c r="F146" s="49"/>
      <c r="G146" s="49"/>
      <c r="H146" s="49"/>
      <c r="I146" s="49"/>
      <c r="J146" s="49"/>
    </row>
    <row r="147" spans="2:10" x14ac:dyDescent="0.25">
      <c r="B147" s="24" t="s">
        <v>99</v>
      </c>
      <c r="C147" s="12">
        <v>602</v>
      </c>
      <c r="D147" s="18"/>
      <c r="E147" s="49"/>
      <c r="F147" s="49"/>
      <c r="G147" s="49"/>
      <c r="H147" s="49"/>
      <c r="I147" s="49"/>
      <c r="J147" s="49"/>
    </row>
    <row r="148" spans="2:10" x14ac:dyDescent="0.25">
      <c r="B148" s="24" t="s">
        <v>99</v>
      </c>
      <c r="C148" s="12">
        <v>603</v>
      </c>
      <c r="D148" s="18"/>
      <c r="E148" s="49"/>
      <c r="F148" s="49"/>
      <c r="G148" s="49"/>
      <c r="H148" s="49"/>
      <c r="I148" s="49"/>
      <c r="J148" s="49"/>
    </row>
    <row r="149" spans="2:10" x14ac:dyDescent="0.25">
      <c r="B149" s="24" t="s">
        <v>99</v>
      </c>
      <c r="C149" s="12">
        <v>604</v>
      </c>
      <c r="D149" s="18"/>
      <c r="E149" s="49"/>
      <c r="F149" s="49"/>
      <c r="G149" s="49"/>
      <c r="H149" s="49"/>
      <c r="I149" s="49"/>
      <c r="J149" s="49"/>
    </row>
    <row r="150" spans="2:10" x14ac:dyDescent="0.25">
      <c r="B150" s="24" t="s">
        <v>99</v>
      </c>
      <c r="C150" s="12">
        <v>605</v>
      </c>
      <c r="D150" s="18"/>
      <c r="E150" s="49"/>
      <c r="F150" s="49"/>
      <c r="G150" s="49"/>
      <c r="H150" s="49"/>
      <c r="I150" s="49"/>
      <c r="J150" s="49"/>
    </row>
    <row r="151" spans="2:10" x14ac:dyDescent="0.25">
      <c r="B151" s="24" t="s">
        <v>99</v>
      </c>
      <c r="C151" s="12">
        <v>606</v>
      </c>
      <c r="D151" s="18"/>
      <c r="E151" s="49"/>
      <c r="F151" s="49"/>
      <c r="G151" s="49"/>
      <c r="H151" s="49"/>
      <c r="I151" s="49"/>
      <c r="J151" s="49"/>
    </row>
    <row r="152" spans="2:10" x14ac:dyDescent="0.25">
      <c r="B152" s="24" t="s">
        <v>99</v>
      </c>
      <c r="C152" s="12">
        <v>607</v>
      </c>
      <c r="D152" s="18"/>
      <c r="E152" s="49"/>
      <c r="F152" s="49"/>
      <c r="G152" s="49"/>
      <c r="H152" s="49"/>
      <c r="I152" s="49"/>
      <c r="J152" s="49"/>
    </row>
    <row r="153" spans="2:10" x14ac:dyDescent="0.25">
      <c r="B153" s="24" t="s">
        <v>99</v>
      </c>
      <c r="C153" s="12">
        <v>608</v>
      </c>
      <c r="D153" s="18"/>
      <c r="E153" s="49"/>
      <c r="F153" s="49"/>
      <c r="G153" s="49"/>
      <c r="H153" s="49"/>
      <c r="I153" s="49"/>
      <c r="J153" s="49"/>
    </row>
    <row r="154" spans="2:10" x14ac:dyDescent="0.25">
      <c r="B154" s="24" t="s">
        <v>99</v>
      </c>
      <c r="C154" s="12">
        <v>609</v>
      </c>
      <c r="D154" s="18"/>
      <c r="E154" s="49"/>
      <c r="F154" s="49"/>
      <c r="G154" s="49"/>
      <c r="H154" s="49"/>
      <c r="I154" s="49"/>
      <c r="J154" s="49"/>
    </row>
    <row r="155" spans="2:10" x14ac:dyDescent="0.25">
      <c r="B155" s="24" t="s">
        <v>99</v>
      </c>
      <c r="C155" s="12">
        <v>610</v>
      </c>
      <c r="D155" s="18"/>
      <c r="E155" s="49"/>
      <c r="F155" s="49"/>
      <c r="G155" s="49"/>
      <c r="H155" s="49"/>
      <c r="I155" s="49"/>
      <c r="J155" s="49"/>
    </row>
    <row r="156" spans="2:10" x14ac:dyDescent="0.25">
      <c r="B156" s="24" t="s">
        <v>99</v>
      </c>
      <c r="C156" s="12">
        <v>611</v>
      </c>
      <c r="D156" s="18"/>
      <c r="E156" s="49"/>
      <c r="F156" s="49"/>
      <c r="G156" s="49"/>
      <c r="H156" s="49"/>
      <c r="I156" s="49"/>
      <c r="J156" s="49"/>
    </row>
    <row r="157" spans="2:10" x14ac:dyDescent="0.25">
      <c r="B157" s="24" t="s">
        <v>99</v>
      </c>
      <c r="C157" s="12">
        <v>612</v>
      </c>
      <c r="D157" s="18"/>
      <c r="E157" s="49"/>
      <c r="F157" s="49"/>
      <c r="G157" s="49"/>
      <c r="H157" s="49"/>
      <c r="I157" s="49"/>
      <c r="J157" s="49"/>
    </row>
    <row r="158" spans="2:10" x14ac:dyDescent="0.25">
      <c r="B158" s="24" t="s">
        <v>99</v>
      </c>
      <c r="C158" s="12">
        <v>613</v>
      </c>
      <c r="D158" s="18"/>
      <c r="E158" s="49"/>
      <c r="F158" s="49"/>
      <c r="G158" s="49"/>
      <c r="H158" s="49"/>
      <c r="I158" s="49"/>
      <c r="J158" s="49"/>
    </row>
    <row r="159" spans="2:10" x14ac:dyDescent="0.25">
      <c r="B159" s="24" t="s">
        <v>99</v>
      </c>
      <c r="C159" s="12">
        <v>614</v>
      </c>
      <c r="D159" s="18"/>
      <c r="E159" s="49"/>
      <c r="F159" s="49"/>
      <c r="G159" s="49"/>
      <c r="H159" s="49"/>
      <c r="I159" s="49"/>
      <c r="J159" s="49"/>
    </row>
    <row r="160" spans="2:10" x14ac:dyDescent="0.25">
      <c r="B160" s="24" t="s">
        <v>99</v>
      </c>
      <c r="C160" s="12">
        <v>615</v>
      </c>
      <c r="D160" s="18"/>
      <c r="E160" s="49"/>
      <c r="F160" s="49"/>
      <c r="G160" s="49"/>
      <c r="H160" s="49"/>
      <c r="I160" s="49"/>
      <c r="J160" s="49"/>
    </row>
    <row r="161" spans="2:10" x14ac:dyDescent="0.25">
      <c r="B161" s="24" t="s">
        <v>99</v>
      </c>
      <c r="C161" s="12">
        <v>616</v>
      </c>
      <c r="D161" s="18"/>
      <c r="E161" s="49"/>
      <c r="F161" s="49"/>
      <c r="G161" s="49"/>
      <c r="H161" s="49"/>
      <c r="I161" s="49"/>
      <c r="J161" s="49"/>
    </row>
    <row r="162" spans="2:10" x14ac:dyDescent="0.25">
      <c r="B162" s="24" t="s">
        <v>99</v>
      </c>
      <c r="C162" s="12">
        <v>617</v>
      </c>
      <c r="D162" s="18"/>
      <c r="E162" s="49"/>
      <c r="F162" s="49"/>
      <c r="G162" s="49"/>
      <c r="H162" s="49"/>
      <c r="I162" s="49"/>
      <c r="J162" s="49"/>
    </row>
    <row r="163" spans="2:10" x14ac:dyDescent="0.25">
      <c r="B163" s="24" t="s">
        <v>99</v>
      </c>
      <c r="C163" s="12">
        <v>618</v>
      </c>
      <c r="D163" s="18"/>
      <c r="E163" s="49"/>
      <c r="F163" s="49"/>
      <c r="G163" s="49"/>
      <c r="H163" s="49"/>
      <c r="I163" s="49"/>
      <c r="J163" s="49"/>
    </row>
    <row r="164" spans="2:10" x14ac:dyDescent="0.25">
      <c r="B164" s="24" t="s">
        <v>99</v>
      </c>
      <c r="C164" s="12">
        <v>619</v>
      </c>
      <c r="D164" s="18"/>
      <c r="E164" s="49"/>
      <c r="F164" s="49"/>
      <c r="G164" s="49"/>
      <c r="H164" s="49"/>
      <c r="I164" s="49"/>
      <c r="J164" s="49"/>
    </row>
    <row r="165" spans="2:10" x14ac:dyDescent="0.25">
      <c r="B165" s="24" t="s">
        <v>99</v>
      </c>
      <c r="C165" s="12">
        <v>620</v>
      </c>
      <c r="D165" s="18"/>
      <c r="E165" s="49"/>
      <c r="F165" s="49"/>
      <c r="G165" s="49"/>
      <c r="H165" s="49"/>
      <c r="I165" s="49"/>
      <c r="J165" s="49"/>
    </row>
    <row r="166" spans="2:10" x14ac:dyDescent="0.25">
      <c r="B166" s="24" t="s">
        <v>99</v>
      </c>
      <c r="C166" s="12">
        <v>621</v>
      </c>
      <c r="D166" s="18"/>
      <c r="E166" s="49"/>
      <c r="F166" s="49"/>
      <c r="G166" s="49"/>
      <c r="H166" s="49"/>
      <c r="I166" s="49"/>
      <c r="J166" s="49"/>
    </row>
    <row r="167" spans="2:10" x14ac:dyDescent="0.25">
      <c r="B167" s="24" t="s">
        <v>99</v>
      </c>
      <c r="C167" s="12">
        <v>622</v>
      </c>
      <c r="D167" s="18"/>
      <c r="E167" s="49"/>
      <c r="F167" s="49"/>
      <c r="G167" s="49"/>
      <c r="H167" s="49"/>
      <c r="I167" s="49"/>
      <c r="J167" s="49"/>
    </row>
    <row r="168" spans="2:10" x14ac:dyDescent="0.25">
      <c r="B168" s="24" t="s">
        <v>99</v>
      </c>
      <c r="C168" s="12">
        <v>623</v>
      </c>
      <c r="D168" s="18"/>
      <c r="E168" s="49"/>
      <c r="F168" s="49"/>
      <c r="G168" s="49"/>
      <c r="H168" s="49"/>
      <c r="I168" s="49"/>
      <c r="J168" s="49"/>
    </row>
    <row r="169" spans="2:10" x14ac:dyDescent="0.25">
      <c r="B169" s="24" t="s">
        <v>99</v>
      </c>
      <c r="C169" s="12">
        <v>624</v>
      </c>
      <c r="D169" s="18"/>
      <c r="E169" s="49"/>
      <c r="F169" s="49"/>
      <c r="G169" s="49"/>
      <c r="H169" s="49"/>
      <c r="I169" s="49"/>
      <c r="J169" s="49"/>
    </row>
    <row r="170" spans="2:10" x14ac:dyDescent="0.25">
      <c r="B170" s="24" t="s">
        <v>99</v>
      </c>
      <c r="C170" s="12">
        <v>625</v>
      </c>
      <c r="D170" s="19"/>
      <c r="E170" s="52"/>
      <c r="F170" s="52"/>
      <c r="G170" s="52"/>
      <c r="H170" s="52"/>
      <c r="I170" s="52"/>
      <c r="J170" s="52"/>
    </row>
    <row r="171" spans="2:10" x14ac:dyDescent="0.25">
      <c r="B171" s="25"/>
      <c r="C171" s="22"/>
      <c r="D171" s="17"/>
      <c r="E171" s="51"/>
      <c r="F171" s="51"/>
      <c r="G171" s="51"/>
      <c r="H171" s="51"/>
      <c r="I171" s="51"/>
      <c r="J171" s="51"/>
    </row>
    <row r="172" spans="2:10" ht="13" x14ac:dyDescent="0.3">
      <c r="B172" s="47" t="s">
        <v>105</v>
      </c>
      <c r="D172" s="18"/>
      <c r="E172" s="49"/>
      <c r="F172" s="49"/>
      <c r="G172" s="49"/>
      <c r="H172" s="49"/>
      <c r="I172" s="49"/>
      <c r="J172" s="49"/>
    </row>
    <row r="173" spans="2:10" x14ac:dyDescent="0.25">
      <c r="B173" s="24" t="s">
        <v>99</v>
      </c>
      <c r="C173" s="12">
        <v>701</v>
      </c>
      <c r="D173" s="18"/>
      <c r="E173" s="49"/>
      <c r="F173" s="49"/>
      <c r="G173" s="49"/>
      <c r="H173" s="49"/>
      <c r="I173" s="49"/>
      <c r="J173" s="49"/>
    </row>
    <row r="174" spans="2:10" x14ac:dyDescent="0.25">
      <c r="B174" s="24" t="s">
        <v>99</v>
      </c>
      <c r="C174" s="12">
        <v>702</v>
      </c>
      <c r="D174" s="18"/>
      <c r="E174" s="49"/>
      <c r="F174" s="49"/>
      <c r="G174" s="49"/>
      <c r="H174" s="49"/>
      <c r="I174" s="49"/>
      <c r="J174" s="49"/>
    </row>
    <row r="175" spans="2:10" x14ac:dyDescent="0.25">
      <c r="B175" s="24" t="s">
        <v>99</v>
      </c>
      <c r="C175" s="12">
        <v>703</v>
      </c>
      <c r="D175" s="18"/>
      <c r="E175" s="49"/>
      <c r="F175" s="49"/>
      <c r="G175" s="49"/>
      <c r="H175" s="49"/>
      <c r="I175" s="49"/>
      <c r="J175" s="49"/>
    </row>
    <row r="176" spans="2:10" x14ac:dyDescent="0.25">
      <c r="B176" s="24" t="s">
        <v>99</v>
      </c>
      <c r="C176" s="12">
        <v>704</v>
      </c>
      <c r="D176" s="18"/>
      <c r="E176" s="49"/>
      <c r="F176" s="49"/>
      <c r="G176" s="49"/>
      <c r="H176" s="49"/>
      <c r="I176" s="49"/>
      <c r="J176" s="49"/>
    </row>
    <row r="177" spans="2:10" x14ac:dyDescent="0.25">
      <c r="B177" s="24" t="s">
        <v>99</v>
      </c>
      <c r="C177" s="12">
        <v>705</v>
      </c>
      <c r="D177" s="18"/>
      <c r="E177" s="49"/>
      <c r="F177" s="49"/>
      <c r="G177" s="49"/>
      <c r="H177" s="49"/>
      <c r="I177" s="49"/>
      <c r="J177" s="49"/>
    </row>
    <row r="178" spans="2:10" x14ac:dyDescent="0.25">
      <c r="B178" s="24" t="s">
        <v>99</v>
      </c>
      <c r="C178" s="12">
        <v>706</v>
      </c>
      <c r="D178" s="18"/>
      <c r="E178" s="49"/>
      <c r="F178" s="49"/>
      <c r="G178" s="49"/>
      <c r="H178" s="49"/>
      <c r="I178" s="49"/>
      <c r="J178" s="49"/>
    </row>
    <row r="179" spans="2:10" x14ac:dyDescent="0.25">
      <c r="B179" s="24" t="s">
        <v>99</v>
      </c>
      <c r="C179" s="12">
        <v>707</v>
      </c>
      <c r="D179" s="18"/>
      <c r="E179" s="49"/>
      <c r="F179" s="49"/>
      <c r="G179" s="49"/>
      <c r="H179" s="49"/>
      <c r="I179" s="49"/>
      <c r="J179" s="49"/>
    </row>
    <row r="180" spans="2:10" x14ac:dyDescent="0.25">
      <c r="B180" s="24" t="s">
        <v>99</v>
      </c>
      <c r="C180" s="12">
        <v>708</v>
      </c>
      <c r="D180" s="18"/>
      <c r="E180" s="49"/>
      <c r="F180" s="49"/>
      <c r="G180" s="49"/>
      <c r="H180" s="49"/>
      <c r="I180" s="49"/>
      <c r="J180" s="49"/>
    </row>
    <row r="181" spans="2:10" x14ac:dyDescent="0.25">
      <c r="B181" s="24" t="s">
        <v>99</v>
      </c>
      <c r="C181" s="12">
        <v>709</v>
      </c>
      <c r="D181" s="18"/>
      <c r="E181" s="49"/>
      <c r="F181" s="49"/>
      <c r="G181" s="49"/>
      <c r="H181" s="49"/>
      <c r="I181" s="49"/>
      <c r="J181" s="49"/>
    </row>
    <row r="182" spans="2:10" x14ac:dyDescent="0.25">
      <c r="B182" s="24" t="s">
        <v>99</v>
      </c>
      <c r="C182" s="12">
        <v>710</v>
      </c>
      <c r="D182" s="18"/>
      <c r="E182" s="49"/>
      <c r="F182" s="49"/>
      <c r="G182" s="49"/>
      <c r="H182" s="49"/>
      <c r="I182" s="49"/>
      <c r="J182" s="49"/>
    </row>
    <row r="183" spans="2:10" x14ac:dyDescent="0.25">
      <c r="B183" s="24" t="s">
        <v>99</v>
      </c>
      <c r="C183" s="12">
        <v>711</v>
      </c>
      <c r="D183" s="18"/>
      <c r="E183" s="49"/>
      <c r="F183" s="49"/>
      <c r="G183" s="49"/>
      <c r="H183" s="49"/>
      <c r="I183" s="49"/>
      <c r="J183" s="49"/>
    </row>
    <row r="184" spans="2:10" x14ac:dyDescent="0.25">
      <c r="B184" s="24" t="s">
        <v>99</v>
      </c>
      <c r="C184" s="12">
        <v>712</v>
      </c>
      <c r="D184" s="18"/>
      <c r="E184" s="49"/>
      <c r="F184" s="49"/>
      <c r="G184" s="49"/>
      <c r="H184" s="49"/>
      <c r="I184" s="49"/>
      <c r="J184" s="49"/>
    </row>
    <row r="185" spans="2:10" x14ac:dyDescent="0.25">
      <c r="B185" s="24" t="s">
        <v>99</v>
      </c>
      <c r="C185" s="12">
        <v>713</v>
      </c>
      <c r="D185" s="18"/>
      <c r="E185" s="49"/>
      <c r="F185" s="49"/>
      <c r="G185" s="49"/>
      <c r="H185" s="49"/>
      <c r="I185" s="49"/>
      <c r="J185" s="49"/>
    </row>
    <row r="186" spans="2:10" x14ac:dyDescent="0.25">
      <c r="B186" s="24" t="s">
        <v>99</v>
      </c>
      <c r="C186" s="12">
        <v>714</v>
      </c>
      <c r="D186" s="18"/>
      <c r="E186" s="49"/>
      <c r="F186" s="49"/>
      <c r="G186" s="49"/>
      <c r="H186" s="49"/>
      <c r="I186" s="49"/>
      <c r="J186" s="49"/>
    </row>
    <row r="187" spans="2:10" x14ac:dyDescent="0.25">
      <c r="B187" s="24" t="s">
        <v>99</v>
      </c>
      <c r="C187" s="12">
        <v>715</v>
      </c>
      <c r="D187" s="18"/>
      <c r="E187" s="49"/>
      <c r="F187" s="49"/>
      <c r="G187" s="49"/>
      <c r="H187" s="49"/>
      <c r="I187" s="49"/>
      <c r="J187" s="49"/>
    </row>
    <row r="188" spans="2:10" x14ac:dyDescent="0.25">
      <c r="B188" s="24" t="s">
        <v>99</v>
      </c>
      <c r="C188" s="12">
        <v>716</v>
      </c>
      <c r="D188" s="18"/>
      <c r="E188" s="49"/>
      <c r="F188" s="49"/>
      <c r="G188" s="49"/>
      <c r="H188" s="49"/>
      <c r="I188" s="49"/>
      <c r="J188" s="49"/>
    </row>
    <row r="189" spans="2:10" x14ac:dyDescent="0.25">
      <c r="B189" s="24" t="s">
        <v>99</v>
      </c>
      <c r="C189" s="12">
        <v>717</v>
      </c>
      <c r="D189" s="18"/>
      <c r="E189" s="49"/>
      <c r="F189" s="49"/>
      <c r="G189" s="49"/>
      <c r="H189" s="49"/>
      <c r="I189" s="49"/>
      <c r="J189" s="49"/>
    </row>
    <row r="190" spans="2:10" x14ac:dyDescent="0.25">
      <c r="B190" s="24" t="s">
        <v>99</v>
      </c>
      <c r="C190" s="12">
        <v>718</v>
      </c>
      <c r="D190" s="18"/>
      <c r="E190" s="49"/>
      <c r="F190" s="49"/>
      <c r="G190" s="49"/>
      <c r="H190" s="49"/>
      <c r="I190" s="49"/>
      <c r="J190" s="49"/>
    </row>
    <row r="191" spans="2:10" x14ac:dyDescent="0.25">
      <c r="B191" s="24" t="s">
        <v>99</v>
      </c>
      <c r="C191" s="12">
        <v>719</v>
      </c>
      <c r="D191" s="18"/>
      <c r="E191" s="49"/>
      <c r="F191" s="49"/>
      <c r="G191" s="49"/>
      <c r="H191" s="49"/>
      <c r="I191" s="49"/>
      <c r="J191" s="49"/>
    </row>
    <row r="192" spans="2:10" x14ac:dyDescent="0.25">
      <c r="B192" s="24" t="s">
        <v>99</v>
      </c>
      <c r="C192" s="12">
        <v>720</v>
      </c>
      <c r="D192" s="18"/>
      <c r="E192" s="49"/>
      <c r="F192" s="49"/>
      <c r="G192" s="49"/>
      <c r="H192" s="49"/>
      <c r="I192" s="49"/>
      <c r="J192" s="49"/>
    </row>
    <row r="193" spans="2:10" x14ac:dyDescent="0.25">
      <c r="B193" s="24" t="s">
        <v>99</v>
      </c>
      <c r="C193" s="12">
        <v>721</v>
      </c>
      <c r="D193" s="18"/>
      <c r="E193" s="49"/>
      <c r="F193" s="49"/>
      <c r="G193" s="49"/>
      <c r="H193" s="49"/>
      <c r="I193" s="49"/>
      <c r="J193" s="49"/>
    </row>
    <row r="194" spans="2:10" x14ac:dyDescent="0.25">
      <c r="B194" s="24" t="s">
        <v>99</v>
      </c>
      <c r="C194" s="12">
        <v>722</v>
      </c>
      <c r="D194" s="18"/>
      <c r="E194" s="49"/>
      <c r="F194" s="49"/>
      <c r="G194" s="49"/>
      <c r="H194" s="49"/>
      <c r="I194" s="49"/>
      <c r="J194" s="49"/>
    </row>
    <row r="195" spans="2:10" x14ac:dyDescent="0.25">
      <c r="B195" s="24" t="s">
        <v>99</v>
      </c>
      <c r="C195" s="12">
        <v>723</v>
      </c>
      <c r="D195" s="18"/>
      <c r="E195" s="49"/>
      <c r="F195" s="49"/>
      <c r="G195" s="49"/>
      <c r="H195" s="49"/>
      <c r="I195" s="49"/>
      <c r="J195" s="49"/>
    </row>
    <row r="196" spans="2:10" x14ac:dyDescent="0.25">
      <c r="B196" s="24" t="s">
        <v>99</v>
      </c>
      <c r="C196" s="12">
        <v>724</v>
      </c>
      <c r="D196" s="18"/>
      <c r="E196" s="49"/>
      <c r="F196" s="49"/>
      <c r="G196" s="49"/>
      <c r="H196" s="49"/>
      <c r="I196" s="49"/>
      <c r="J196" s="49"/>
    </row>
    <row r="197" spans="2:10" x14ac:dyDescent="0.25">
      <c r="B197" s="24" t="s">
        <v>99</v>
      </c>
      <c r="C197" s="12">
        <v>725</v>
      </c>
      <c r="D197" s="18"/>
      <c r="E197" s="49"/>
      <c r="F197" s="49"/>
      <c r="G197" s="49"/>
      <c r="H197" s="49"/>
      <c r="I197" s="49"/>
      <c r="J197" s="49"/>
    </row>
    <row r="198" spans="2:10" x14ac:dyDescent="0.25">
      <c r="B198" s="25"/>
      <c r="C198" s="22"/>
      <c r="D198" s="17"/>
      <c r="E198" s="51"/>
      <c r="F198" s="51"/>
      <c r="G198" s="51"/>
      <c r="H198" s="51"/>
      <c r="I198" s="51"/>
      <c r="J198" s="51"/>
    </row>
    <row r="199" spans="2:10" ht="13" x14ac:dyDescent="0.3">
      <c r="B199" s="47" t="s">
        <v>106</v>
      </c>
      <c r="D199" s="18"/>
      <c r="E199" s="49"/>
      <c r="F199" s="49"/>
      <c r="G199" s="49"/>
      <c r="H199" s="49"/>
      <c r="I199" s="49"/>
      <c r="J199" s="49"/>
    </row>
    <row r="200" spans="2:10" x14ac:dyDescent="0.25">
      <c r="B200" s="24" t="s">
        <v>99</v>
      </c>
      <c r="C200" s="12">
        <v>801</v>
      </c>
      <c r="D200" s="18"/>
      <c r="E200" s="49"/>
      <c r="F200" s="49"/>
      <c r="G200" s="49"/>
      <c r="H200" s="49"/>
      <c r="I200" s="49"/>
      <c r="J200" s="49"/>
    </row>
    <row r="201" spans="2:10" x14ac:dyDescent="0.25">
      <c r="B201" s="24" t="s">
        <v>99</v>
      </c>
      <c r="C201" s="12">
        <v>802</v>
      </c>
      <c r="D201" s="18"/>
      <c r="E201" s="49"/>
      <c r="F201" s="49"/>
      <c r="G201" s="49"/>
      <c r="H201" s="49"/>
      <c r="I201" s="49"/>
      <c r="J201" s="49"/>
    </row>
    <row r="202" spans="2:10" x14ac:dyDescent="0.25">
      <c r="B202" s="24" t="s">
        <v>99</v>
      </c>
      <c r="C202" s="12">
        <v>803</v>
      </c>
      <c r="D202" s="18"/>
      <c r="E202" s="49"/>
      <c r="F202" s="49"/>
      <c r="G202" s="49"/>
      <c r="H202" s="49"/>
      <c r="I202" s="49"/>
      <c r="J202" s="49"/>
    </row>
    <row r="203" spans="2:10" x14ac:dyDescent="0.25">
      <c r="B203" s="24" t="s">
        <v>99</v>
      </c>
      <c r="C203" s="12">
        <v>804</v>
      </c>
      <c r="D203" s="18"/>
      <c r="E203" s="49"/>
      <c r="F203" s="49"/>
      <c r="G203" s="49"/>
      <c r="H203" s="49"/>
      <c r="I203" s="49"/>
      <c r="J203" s="49"/>
    </row>
    <row r="204" spans="2:10" x14ac:dyDescent="0.25">
      <c r="B204" s="24" t="s">
        <v>99</v>
      </c>
      <c r="C204" s="12">
        <v>805</v>
      </c>
      <c r="D204" s="18"/>
      <c r="E204" s="49"/>
      <c r="F204" s="49"/>
      <c r="G204" s="49"/>
      <c r="H204" s="49"/>
      <c r="I204" s="49"/>
      <c r="J204" s="49"/>
    </row>
    <row r="205" spans="2:10" x14ac:dyDescent="0.25">
      <c r="B205" s="24" t="s">
        <v>99</v>
      </c>
      <c r="C205" s="12">
        <v>806</v>
      </c>
      <c r="D205" s="18"/>
      <c r="E205" s="49"/>
      <c r="F205" s="49"/>
      <c r="G205" s="49"/>
      <c r="H205" s="49"/>
      <c r="I205" s="49"/>
      <c r="J205" s="49"/>
    </row>
    <row r="206" spans="2:10" x14ac:dyDescent="0.25">
      <c r="B206" s="24" t="s">
        <v>99</v>
      </c>
      <c r="C206" s="12">
        <v>807</v>
      </c>
      <c r="D206" s="18"/>
      <c r="E206" s="49"/>
      <c r="F206" s="49"/>
      <c r="G206" s="49"/>
      <c r="H206" s="49"/>
      <c r="I206" s="49"/>
      <c r="J206" s="49"/>
    </row>
    <row r="207" spans="2:10" x14ac:dyDescent="0.25">
      <c r="B207" s="24" t="s">
        <v>99</v>
      </c>
      <c r="C207" s="12">
        <v>808</v>
      </c>
      <c r="D207" s="18"/>
      <c r="E207" s="49"/>
      <c r="F207" s="49"/>
      <c r="G207" s="49"/>
      <c r="H207" s="49"/>
      <c r="I207" s="49"/>
      <c r="J207" s="49"/>
    </row>
    <row r="208" spans="2:10" x14ac:dyDescent="0.25">
      <c r="B208" s="24" t="s">
        <v>99</v>
      </c>
      <c r="C208" s="12">
        <v>809</v>
      </c>
      <c r="D208" s="18"/>
      <c r="E208" s="49"/>
      <c r="F208" s="49"/>
      <c r="G208" s="49"/>
      <c r="H208" s="49"/>
      <c r="I208" s="49"/>
      <c r="J208" s="49"/>
    </row>
    <row r="209" spans="2:10" x14ac:dyDescent="0.25">
      <c r="B209" s="24" t="s">
        <v>99</v>
      </c>
      <c r="C209" s="12">
        <v>810</v>
      </c>
      <c r="D209" s="18"/>
      <c r="E209" s="49"/>
      <c r="F209" s="49"/>
      <c r="G209" s="49"/>
      <c r="H209" s="49"/>
      <c r="I209" s="49"/>
      <c r="J209" s="49"/>
    </row>
    <row r="210" spans="2:10" x14ac:dyDescent="0.25">
      <c r="B210" s="24" t="s">
        <v>99</v>
      </c>
      <c r="C210" s="12">
        <v>811</v>
      </c>
      <c r="D210" s="18"/>
      <c r="E210" s="49"/>
      <c r="F210" s="49"/>
      <c r="G210" s="49"/>
      <c r="H210" s="49"/>
      <c r="I210" s="49"/>
      <c r="J210" s="49"/>
    </row>
    <row r="211" spans="2:10" x14ac:dyDescent="0.25">
      <c r="B211" s="24" t="s">
        <v>99</v>
      </c>
      <c r="C211" s="12">
        <v>812</v>
      </c>
      <c r="D211" s="18"/>
      <c r="E211" s="49"/>
      <c r="F211" s="49"/>
      <c r="G211" s="49"/>
      <c r="H211" s="49"/>
      <c r="I211" s="49"/>
      <c r="J211" s="49"/>
    </row>
    <row r="212" spans="2:10" x14ac:dyDescent="0.25">
      <c r="B212" s="24" t="s">
        <v>99</v>
      </c>
      <c r="C212" s="12">
        <v>813</v>
      </c>
      <c r="D212" s="18"/>
      <c r="E212" s="49"/>
      <c r="F212" s="49"/>
      <c r="G212" s="49"/>
      <c r="H212" s="49"/>
      <c r="I212" s="49"/>
      <c r="J212" s="49"/>
    </row>
    <row r="213" spans="2:10" x14ac:dyDescent="0.25">
      <c r="B213" s="24" t="s">
        <v>99</v>
      </c>
      <c r="C213" s="12">
        <v>814</v>
      </c>
      <c r="D213" s="18"/>
      <c r="E213" s="49"/>
      <c r="F213" s="49"/>
      <c r="G213" s="49"/>
      <c r="H213" s="49"/>
      <c r="I213" s="49"/>
      <c r="J213" s="49"/>
    </row>
    <row r="214" spans="2:10" x14ac:dyDescent="0.25">
      <c r="B214" s="24" t="s">
        <v>99</v>
      </c>
      <c r="C214" s="12">
        <v>815</v>
      </c>
      <c r="D214" s="18"/>
      <c r="E214" s="49"/>
      <c r="F214" s="49"/>
      <c r="G214" s="49"/>
      <c r="H214" s="49"/>
      <c r="I214" s="49"/>
      <c r="J214" s="49"/>
    </row>
    <row r="215" spans="2:10" x14ac:dyDescent="0.25">
      <c r="B215" s="24" t="s">
        <v>99</v>
      </c>
      <c r="C215" s="12">
        <v>816</v>
      </c>
      <c r="D215" s="18"/>
      <c r="E215" s="49"/>
      <c r="F215" s="49"/>
      <c r="G215" s="49"/>
      <c r="H215" s="49"/>
      <c r="I215" s="49"/>
      <c r="J215" s="49"/>
    </row>
    <row r="216" spans="2:10" x14ac:dyDescent="0.25">
      <c r="B216" s="24" t="s">
        <v>99</v>
      </c>
      <c r="C216" s="12">
        <v>817</v>
      </c>
      <c r="D216" s="18"/>
      <c r="E216" s="49"/>
      <c r="F216" s="49"/>
      <c r="G216" s="49"/>
      <c r="H216" s="49"/>
      <c r="I216" s="49"/>
      <c r="J216" s="49"/>
    </row>
    <row r="217" spans="2:10" x14ac:dyDescent="0.25">
      <c r="B217" s="24" t="s">
        <v>99</v>
      </c>
      <c r="C217" s="12">
        <v>818</v>
      </c>
      <c r="D217" s="18"/>
      <c r="E217" s="49"/>
      <c r="F217" s="49"/>
      <c r="G217" s="49"/>
      <c r="H217" s="49"/>
      <c r="I217" s="49"/>
      <c r="J217" s="49"/>
    </row>
    <row r="218" spans="2:10" x14ac:dyDescent="0.25">
      <c r="B218" s="24" t="s">
        <v>99</v>
      </c>
      <c r="C218" s="12">
        <v>819</v>
      </c>
      <c r="D218" s="18"/>
      <c r="E218" s="49"/>
      <c r="F218" s="49"/>
      <c r="G218" s="49"/>
      <c r="H218" s="49"/>
      <c r="I218" s="49"/>
      <c r="J218" s="49"/>
    </row>
    <row r="219" spans="2:10" x14ac:dyDescent="0.25">
      <c r="B219" s="24" t="s">
        <v>99</v>
      </c>
      <c r="C219" s="12">
        <v>820</v>
      </c>
      <c r="D219" s="18"/>
      <c r="E219" s="49"/>
      <c r="F219" s="49"/>
      <c r="G219" s="49"/>
      <c r="H219" s="49"/>
      <c r="I219" s="49"/>
      <c r="J219" s="49"/>
    </row>
    <row r="220" spans="2:10" x14ac:dyDescent="0.25">
      <c r="B220" s="24" t="s">
        <v>99</v>
      </c>
      <c r="C220" s="12">
        <v>821</v>
      </c>
      <c r="D220" s="18"/>
      <c r="E220" s="49"/>
      <c r="F220" s="49"/>
      <c r="G220" s="49"/>
      <c r="H220" s="49"/>
      <c r="I220" s="49"/>
      <c r="J220" s="49"/>
    </row>
    <row r="221" spans="2:10" x14ac:dyDescent="0.25">
      <c r="B221" s="24" t="s">
        <v>99</v>
      </c>
      <c r="C221" s="12">
        <v>822</v>
      </c>
      <c r="D221" s="18"/>
      <c r="E221" s="49"/>
      <c r="F221" s="49"/>
      <c r="G221" s="49"/>
      <c r="H221" s="49"/>
      <c r="I221" s="49"/>
      <c r="J221" s="49"/>
    </row>
    <row r="222" spans="2:10" x14ac:dyDescent="0.25">
      <c r="B222" s="24" t="s">
        <v>99</v>
      </c>
      <c r="C222" s="12">
        <v>823</v>
      </c>
      <c r="D222" s="18"/>
      <c r="E222" s="49"/>
      <c r="F222" s="49"/>
      <c r="G222" s="49"/>
      <c r="H222" s="49"/>
      <c r="I222" s="49"/>
      <c r="J222" s="49"/>
    </row>
    <row r="223" spans="2:10" x14ac:dyDescent="0.25">
      <c r="B223" s="24" t="s">
        <v>99</v>
      </c>
      <c r="C223" s="12">
        <v>824</v>
      </c>
      <c r="D223" s="18"/>
      <c r="E223" s="49"/>
      <c r="F223" s="49"/>
      <c r="G223" s="49"/>
      <c r="H223" s="49"/>
      <c r="I223" s="49"/>
      <c r="J223" s="49"/>
    </row>
    <row r="224" spans="2:10" x14ac:dyDescent="0.25">
      <c r="B224" s="24" t="s">
        <v>99</v>
      </c>
      <c r="C224" s="12">
        <v>825</v>
      </c>
      <c r="D224" s="19"/>
      <c r="E224" s="52"/>
      <c r="F224" s="52"/>
      <c r="G224" s="52"/>
      <c r="H224" s="52"/>
      <c r="I224" s="52"/>
      <c r="J224" s="52"/>
    </row>
  </sheetData>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1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3"/>
  <dimension ref="A1:Q65"/>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c r="E1" s="54"/>
      <c r="F1" s="54"/>
      <c r="G1" s="54"/>
      <c r="H1" s="54"/>
      <c r="I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7" ht="15.5" x14ac:dyDescent="0.35">
      <c r="A3" s="57" t="str">
        <f>TABLE_FACTOR_TYPE_1&amp;" - x-"&amp;TABLE_SERIES_NUMBER_1</f>
        <v>ERF - x-410</v>
      </c>
      <c r="B3" s="56"/>
      <c r="C3" s="56"/>
      <c r="D3" s="56"/>
      <c r="E3" s="56"/>
      <c r="F3" s="56"/>
      <c r="G3" s="56"/>
      <c r="H3" s="56"/>
      <c r="I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326</v>
      </c>
      <c r="C7" s="111"/>
      <c r="D7" s="111"/>
      <c r="E7" s="111"/>
      <c r="F7" s="111"/>
      <c r="G7" s="111"/>
      <c r="H7" s="111"/>
      <c r="I7" s="111"/>
      <c r="J7" s="111"/>
      <c r="K7" s="111"/>
      <c r="L7" s="111"/>
      <c r="M7" s="111"/>
      <c r="N7" s="111"/>
      <c r="O7" s="111"/>
      <c r="P7" s="111"/>
      <c r="Q7" s="111"/>
    </row>
    <row r="8" spans="1:17" x14ac:dyDescent="0.25">
      <c r="A8" s="87" t="s">
        <v>798</v>
      </c>
      <c r="B8" s="111" t="s">
        <v>93</v>
      </c>
      <c r="C8" s="111"/>
      <c r="D8" s="111"/>
      <c r="E8" s="111"/>
      <c r="F8" s="111"/>
      <c r="G8" s="111"/>
      <c r="H8" s="111"/>
      <c r="I8" s="111"/>
      <c r="J8" s="111"/>
      <c r="K8" s="111"/>
      <c r="L8" s="111"/>
      <c r="M8" s="111"/>
      <c r="N8" s="111"/>
      <c r="O8" s="111"/>
      <c r="P8" s="111"/>
      <c r="Q8" s="111"/>
    </row>
    <row r="9" spans="1:17" x14ac:dyDescent="0.25">
      <c r="A9" s="87" t="s">
        <v>300</v>
      </c>
      <c r="B9" s="111" t="s">
        <v>426</v>
      </c>
      <c r="C9" s="111"/>
      <c r="D9" s="111"/>
      <c r="E9" s="111"/>
      <c r="F9" s="111"/>
      <c r="G9" s="111"/>
      <c r="H9" s="111"/>
      <c r="I9" s="111"/>
      <c r="J9" s="111"/>
      <c r="K9" s="111"/>
      <c r="L9" s="111"/>
      <c r="M9" s="111"/>
      <c r="N9" s="111"/>
      <c r="O9" s="111"/>
      <c r="P9" s="111"/>
      <c r="Q9" s="111"/>
    </row>
    <row r="10" spans="1:17" x14ac:dyDescent="0.25">
      <c r="A10" s="87" t="s">
        <v>6</v>
      </c>
      <c r="B10" s="111" t="s">
        <v>469</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446</v>
      </c>
      <c r="C12" s="111"/>
      <c r="D12" s="111"/>
      <c r="E12" s="111"/>
      <c r="F12" s="111"/>
      <c r="G12" s="111"/>
      <c r="H12" s="111"/>
      <c r="I12" s="111"/>
      <c r="J12" s="111"/>
      <c r="K12" s="111"/>
      <c r="L12" s="111"/>
      <c r="M12" s="111"/>
      <c r="N12" s="111"/>
      <c r="O12" s="111"/>
      <c r="P12" s="111"/>
      <c r="Q12" s="111"/>
    </row>
    <row r="13" spans="1:17" x14ac:dyDescent="0.25">
      <c r="A13" s="87" t="s">
        <v>813</v>
      </c>
      <c r="B13" s="111">
        <v>1</v>
      </c>
      <c r="C13" s="111"/>
      <c r="D13" s="111"/>
      <c r="E13" s="111"/>
      <c r="F13" s="111"/>
      <c r="G13" s="111"/>
      <c r="H13" s="111"/>
      <c r="I13" s="111"/>
      <c r="J13" s="111"/>
      <c r="K13" s="111"/>
      <c r="L13" s="111"/>
      <c r="M13" s="111"/>
      <c r="N13" s="111"/>
      <c r="O13" s="111"/>
      <c r="P13" s="111"/>
      <c r="Q13" s="111"/>
    </row>
    <row r="14" spans="1:17" x14ac:dyDescent="0.25">
      <c r="A14" s="87" t="s">
        <v>304</v>
      </c>
      <c r="B14" s="111">
        <v>410</v>
      </c>
      <c r="C14" s="111"/>
      <c r="D14" s="111"/>
      <c r="E14" s="111"/>
      <c r="F14" s="111"/>
      <c r="G14" s="111"/>
      <c r="H14" s="111"/>
      <c r="I14" s="111"/>
      <c r="J14" s="111"/>
      <c r="K14" s="111"/>
      <c r="L14" s="111"/>
      <c r="M14" s="111"/>
      <c r="N14" s="111"/>
      <c r="O14" s="111"/>
      <c r="P14" s="111"/>
      <c r="Q14" s="111"/>
    </row>
    <row r="15" spans="1:17" x14ac:dyDescent="0.25">
      <c r="A15" s="87" t="s">
        <v>727</v>
      </c>
      <c r="B15" s="111" t="s">
        <v>470</v>
      </c>
      <c r="C15" s="111"/>
      <c r="D15" s="111"/>
      <c r="E15" s="111"/>
      <c r="F15" s="111"/>
      <c r="G15" s="111"/>
      <c r="H15" s="111"/>
      <c r="I15" s="111"/>
      <c r="J15" s="111"/>
      <c r="K15" s="111"/>
      <c r="L15" s="111"/>
      <c r="M15" s="111"/>
      <c r="N15" s="111"/>
      <c r="O15" s="111"/>
      <c r="P15" s="111"/>
      <c r="Q15" s="111"/>
    </row>
    <row r="16" spans="1:17" x14ac:dyDescent="0.25">
      <c r="A16" s="87" t="s">
        <v>306</v>
      </c>
      <c r="B16" s="111" t="s">
        <v>471</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3" spans="1:17" x14ac:dyDescent="0.25">
      <c r="B23" s="104" t="str">
        <f>HYPERLINK("#'Factor List'!A1","Back to Factor List")</f>
        <v>Back to Factor List</v>
      </c>
    </row>
    <row r="24" spans="1:17" x14ac:dyDescent="0.25">
      <c r="B24" s="104" t="s">
        <v>13</v>
      </c>
    </row>
    <row r="26" spans="1:17" ht="13" x14ac:dyDescent="0.25">
      <c r="A26" s="108" t="s">
        <v>839</v>
      </c>
      <c r="B26" s="108">
        <v>50</v>
      </c>
      <c r="C26" s="108">
        <v>51</v>
      </c>
      <c r="D26" s="108">
        <v>52</v>
      </c>
      <c r="E26" s="108">
        <v>53</v>
      </c>
      <c r="F26" s="108">
        <v>54</v>
      </c>
      <c r="G26" s="108">
        <v>55</v>
      </c>
      <c r="H26" s="108">
        <v>56</v>
      </c>
      <c r="I26" s="108">
        <v>57</v>
      </c>
      <c r="J26" s="108">
        <v>58</v>
      </c>
      <c r="K26" s="108">
        <v>59</v>
      </c>
      <c r="L26" s="108">
        <v>60</v>
      </c>
      <c r="M26" s="108">
        <v>61</v>
      </c>
      <c r="N26" s="108">
        <v>62</v>
      </c>
      <c r="O26" s="108">
        <v>63</v>
      </c>
      <c r="P26" s="108">
        <v>64</v>
      </c>
      <c r="Q26" s="108">
        <v>65</v>
      </c>
    </row>
    <row r="27" spans="1:17" x14ac:dyDescent="0.25">
      <c r="A27" s="109">
        <v>0</v>
      </c>
      <c r="B27" s="126">
        <v>0.77700000000000002</v>
      </c>
      <c r="C27" s="126">
        <v>0.79</v>
      </c>
      <c r="D27" s="126">
        <v>0.80400000000000005</v>
      </c>
      <c r="E27" s="126">
        <v>0.81699999999999995</v>
      </c>
      <c r="F27" s="126">
        <v>0.83099999999999996</v>
      </c>
      <c r="G27" s="126">
        <v>0.84499999999999997</v>
      </c>
      <c r="H27" s="126">
        <v>0.86</v>
      </c>
      <c r="I27" s="126">
        <v>0.874</v>
      </c>
      <c r="J27" s="126">
        <v>0.88900000000000001</v>
      </c>
      <c r="K27" s="126">
        <v>0.90400000000000003</v>
      </c>
      <c r="L27" s="126">
        <v>0.92</v>
      </c>
      <c r="M27" s="126">
        <v>0.93500000000000005</v>
      </c>
      <c r="N27" s="126">
        <v>0.95099999999999996</v>
      </c>
      <c r="O27" s="126">
        <v>0.96799999999999997</v>
      </c>
      <c r="P27" s="126">
        <v>0.98399999999999999</v>
      </c>
      <c r="Q27" s="126">
        <v>1</v>
      </c>
    </row>
    <row r="28" spans="1:17" x14ac:dyDescent="0.25">
      <c r="A28" s="109">
        <v>1</v>
      </c>
      <c r="B28" s="126">
        <v>0.77800000000000002</v>
      </c>
      <c r="C28" s="126">
        <v>0.79100000000000004</v>
      </c>
      <c r="D28" s="126">
        <v>0.80500000000000005</v>
      </c>
      <c r="E28" s="126">
        <v>0.81899999999999995</v>
      </c>
      <c r="F28" s="126">
        <v>0.83299999999999996</v>
      </c>
      <c r="G28" s="126">
        <v>0.84699999999999998</v>
      </c>
      <c r="H28" s="126">
        <v>0.86099999999999999</v>
      </c>
      <c r="I28" s="126">
        <v>0.876</v>
      </c>
      <c r="J28" s="126">
        <v>0.89100000000000001</v>
      </c>
      <c r="K28" s="126">
        <v>0.90600000000000003</v>
      </c>
      <c r="L28" s="126">
        <v>0.92100000000000004</v>
      </c>
      <c r="M28" s="126">
        <v>0.93700000000000006</v>
      </c>
      <c r="N28" s="126">
        <v>0.95299999999999996</v>
      </c>
      <c r="O28" s="126">
        <v>0.96899999999999997</v>
      </c>
      <c r="P28" s="126">
        <v>0.98499999999999999</v>
      </c>
      <c r="Q28" s="126"/>
    </row>
    <row r="29" spans="1:17" x14ac:dyDescent="0.25">
      <c r="A29" s="109">
        <v>2</v>
      </c>
      <c r="B29" s="126">
        <v>0.77900000000000003</v>
      </c>
      <c r="C29" s="126">
        <v>0.79300000000000004</v>
      </c>
      <c r="D29" s="126">
        <v>0.80600000000000005</v>
      </c>
      <c r="E29" s="126">
        <v>0.82</v>
      </c>
      <c r="F29" s="126">
        <v>0.83399999999999996</v>
      </c>
      <c r="G29" s="126">
        <v>0.84799999999999998</v>
      </c>
      <c r="H29" s="126">
        <v>0.86199999999999999</v>
      </c>
      <c r="I29" s="126">
        <v>0.877</v>
      </c>
      <c r="J29" s="126">
        <v>0.89200000000000002</v>
      </c>
      <c r="K29" s="126">
        <v>0.90700000000000003</v>
      </c>
      <c r="L29" s="126">
        <v>0.92200000000000004</v>
      </c>
      <c r="M29" s="126">
        <v>0.93799999999999994</v>
      </c>
      <c r="N29" s="126">
        <v>0.95399999999999996</v>
      </c>
      <c r="O29" s="126">
        <v>0.97</v>
      </c>
      <c r="P29" s="126">
        <v>0.98699999999999999</v>
      </c>
      <c r="Q29" s="126"/>
    </row>
    <row r="30" spans="1:17" x14ac:dyDescent="0.25">
      <c r="A30" s="109">
        <v>3</v>
      </c>
      <c r="B30" s="126">
        <v>0.78</v>
      </c>
      <c r="C30" s="126">
        <v>0.79400000000000004</v>
      </c>
      <c r="D30" s="126">
        <v>0.80700000000000005</v>
      </c>
      <c r="E30" s="126">
        <v>0.82099999999999995</v>
      </c>
      <c r="F30" s="126">
        <v>0.83499999999999996</v>
      </c>
      <c r="G30" s="126">
        <v>0.84899999999999998</v>
      </c>
      <c r="H30" s="126">
        <v>0.86299999999999999</v>
      </c>
      <c r="I30" s="126">
        <v>0.878</v>
      </c>
      <c r="J30" s="126">
        <v>0.89300000000000002</v>
      </c>
      <c r="K30" s="126">
        <v>0.90800000000000003</v>
      </c>
      <c r="L30" s="126">
        <v>0.92400000000000004</v>
      </c>
      <c r="M30" s="126">
        <v>0.93899999999999995</v>
      </c>
      <c r="N30" s="126">
        <v>0.95499999999999996</v>
      </c>
      <c r="O30" s="126">
        <v>0.97199999999999998</v>
      </c>
      <c r="P30" s="126">
        <v>0.98799999999999999</v>
      </c>
      <c r="Q30" s="126"/>
    </row>
    <row r="31" spans="1:17" x14ac:dyDescent="0.25">
      <c r="A31" s="109">
        <v>4</v>
      </c>
      <c r="B31" s="126">
        <v>0.78200000000000003</v>
      </c>
      <c r="C31" s="126">
        <v>0.79500000000000004</v>
      </c>
      <c r="D31" s="126">
        <v>0.80800000000000005</v>
      </c>
      <c r="E31" s="126">
        <v>0.82199999999999995</v>
      </c>
      <c r="F31" s="126">
        <v>0.83599999999999997</v>
      </c>
      <c r="G31" s="126">
        <v>0.85</v>
      </c>
      <c r="H31" s="126">
        <v>0.86499999999999999</v>
      </c>
      <c r="I31" s="126">
        <v>0.879</v>
      </c>
      <c r="J31" s="126">
        <v>0.89400000000000002</v>
      </c>
      <c r="K31" s="126">
        <v>0.91</v>
      </c>
      <c r="L31" s="126">
        <v>0.92500000000000004</v>
      </c>
      <c r="M31" s="126">
        <v>0.94099999999999995</v>
      </c>
      <c r="N31" s="126">
        <v>0.95699999999999996</v>
      </c>
      <c r="O31" s="126">
        <v>0.97299999999999998</v>
      </c>
      <c r="P31" s="126">
        <v>0.99</v>
      </c>
      <c r="Q31" s="126"/>
    </row>
    <row r="32" spans="1:17" x14ac:dyDescent="0.25">
      <c r="A32" s="109">
        <v>5</v>
      </c>
      <c r="B32" s="126">
        <v>0.78300000000000003</v>
      </c>
      <c r="C32" s="126">
        <v>0.79600000000000004</v>
      </c>
      <c r="D32" s="126">
        <v>0.80900000000000005</v>
      </c>
      <c r="E32" s="126">
        <v>0.82299999999999995</v>
      </c>
      <c r="F32" s="126">
        <v>0.83699999999999997</v>
      </c>
      <c r="G32" s="126">
        <v>0.85099999999999998</v>
      </c>
      <c r="H32" s="126">
        <v>0.86599999999999999</v>
      </c>
      <c r="I32" s="126">
        <v>0.88100000000000001</v>
      </c>
      <c r="J32" s="126">
        <v>0.89600000000000002</v>
      </c>
      <c r="K32" s="126">
        <v>0.91100000000000003</v>
      </c>
      <c r="L32" s="126">
        <v>0.92600000000000005</v>
      </c>
      <c r="M32" s="126">
        <v>0.94199999999999995</v>
      </c>
      <c r="N32" s="126">
        <v>0.95799999999999996</v>
      </c>
      <c r="O32" s="126">
        <v>0.97399999999999998</v>
      </c>
      <c r="P32" s="126">
        <v>0.99099999999999999</v>
      </c>
      <c r="Q32" s="126"/>
    </row>
    <row r="33" spans="1:17" x14ac:dyDescent="0.25">
      <c r="A33" s="109">
        <v>6</v>
      </c>
      <c r="B33" s="126">
        <v>0.78400000000000003</v>
      </c>
      <c r="C33" s="126">
        <v>0.79700000000000004</v>
      </c>
      <c r="D33" s="126">
        <v>0.81100000000000005</v>
      </c>
      <c r="E33" s="126">
        <v>0.82399999999999995</v>
      </c>
      <c r="F33" s="126">
        <v>0.83799999999999997</v>
      </c>
      <c r="G33" s="126">
        <v>0.85299999999999998</v>
      </c>
      <c r="H33" s="126">
        <v>0.86699999999999999</v>
      </c>
      <c r="I33" s="126">
        <v>0.88200000000000001</v>
      </c>
      <c r="J33" s="126">
        <v>0.89700000000000002</v>
      </c>
      <c r="K33" s="126">
        <v>0.91200000000000003</v>
      </c>
      <c r="L33" s="126">
        <v>0.92800000000000005</v>
      </c>
      <c r="M33" s="126">
        <v>0.94299999999999995</v>
      </c>
      <c r="N33" s="126">
        <v>0.95899999999999996</v>
      </c>
      <c r="O33" s="126">
        <v>0.97599999999999998</v>
      </c>
      <c r="P33" s="126">
        <v>0.99199999999999999</v>
      </c>
      <c r="Q33" s="126"/>
    </row>
    <row r="34" spans="1:17" x14ac:dyDescent="0.25">
      <c r="A34" s="109">
        <v>7</v>
      </c>
      <c r="B34" s="126">
        <v>0.78500000000000003</v>
      </c>
      <c r="C34" s="126">
        <v>0.79800000000000004</v>
      </c>
      <c r="D34" s="126">
        <v>0.81200000000000006</v>
      </c>
      <c r="E34" s="126">
        <v>0.82599999999999996</v>
      </c>
      <c r="F34" s="126">
        <v>0.84</v>
      </c>
      <c r="G34" s="126">
        <v>0.85399999999999998</v>
      </c>
      <c r="H34" s="126">
        <v>0.86799999999999999</v>
      </c>
      <c r="I34" s="126">
        <v>0.88300000000000001</v>
      </c>
      <c r="J34" s="126">
        <v>0.89800000000000002</v>
      </c>
      <c r="K34" s="126">
        <v>0.91300000000000003</v>
      </c>
      <c r="L34" s="126">
        <v>0.92900000000000005</v>
      </c>
      <c r="M34" s="126">
        <v>0.94499999999999995</v>
      </c>
      <c r="N34" s="126">
        <v>0.96099999999999997</v>
      </c>
      <c r="O34" s="126">
        <v>0.97699999999999998</v>
      </c>
      <c r="P34" s="126">
        <v>0.99399999999999999</v>
      </c>
      <c r="Q34" s="126"/>
    </row>
    <row r="35" spans="1:17" x14ac:dyDescent="0.25">
      <c r="A35" s="109">
        <v>8</v>
      </c>
      <c r="B35" s="126">
        <v>0.78600000000000003</v>
      </c>
      <c r="C35" s="126">
        <v>0.79900000000000004</v>
      </c>
      <c r="D35" s="126">
        <v>0.81299999999999994</v>
      </c>
      <c r="E35" s="126">
        <v>0.82699999999999996</v>
      </c>
      <c r="F35" s="126">
        <v>0.84099999999999997</v>
      </c>
      <c r="G35" s="126">
        <v>0.85499999999999998</v>
      </c>
      <c r="H35" s="126">
        <v>0.87</v>
      </c>
      <c r="I35" s="126">
        <v>0.88400000000000001</v>
      </c>
      <c r="J35" s="126">
        <v>0.89900000000000002</v>
      </c>
      <c r="K35" s="126">
        <v>0.91500000000000004</v>
      </c>
      <c r="L35" s="126">
        <v>0.93</v>
      </c>
      <c r="M35" s="126">
        <v>0.94599999999999995</v>
      </c>
      <c r="N35" s="126">
        <v>0.96199999999999997</v>
      </c>
      <c r="O35" s="126">
        <v>0.97799999999999998</v>
      </c>
      <c r="P35" s="126">
        <v>0.995</v>
      </c>
      <c r="Q35" s="126"/>
    </row>
    <row r="36" spans="1:17" x14ac:dyDescent="0.25">
      <c r="A36" s="109">
        <v>9</v>
      </c>
      <c r="B36" s="126">
        <v>0.78700000000000003</v>
      </c>
      <c r="C36" s="126">
        <v>0.8</v>
      </c>
      <c r="D36" s="126">
        <v>0.81399999999999995</v>
      </c>
      <c r="E36" s="126">
        <v>0.82799999999999996</v>
      </c>
      <c r="F36" s="126">
        <v>0.84199999999999997</v>
      </c>
      <c r="G36" s="126">
        <v>0.85599999999999998</v>
      </c>
      <c r="H36" s="126">
        <v>0.871</v>
      </c>
      <c r="I36" s="126">
        <v>0.88600000000000001</v>
      </c>
      <c r="J36" s="126">
        <v>0.90100000000000002</v>
      </c>
      <c r="K36" s="126">
        <v>0.91600000000000004</v>
      </c>
      <c r="L36" s="126">
        <v>0.93200000000000005</v>
      </c>
      <c r="M36" s="126">
        <v>0.94699999999999995</v>
      </c>
      <c r="N36" s="126">
        <v>0.96299999999999997</v>
      </c>
      <c r="O36" s="126">
        <v>0.98</v>
      </c>
      <c r="P36" s="126">
        <v>0.997</v>
      </c>
      <c r="Q36" s="126"/>
    </row>
    <row r="37" spans="1:17" x14ac:dyDescent="0.25">
      <c r="A37" s="109">
        <v>10</v>
      </c>
      <c r="B37" s="126">
        <v>0.78800000000000003</v>
      </c>
      <c r="C37" s="126">
        <v>0.80200000000000005</v>
      </c>
      <c r="D37" s="126">
        <v>0.81499999999999995</v>
      </c>
      <c r="E37" s="126">
        <v>0.82899999999999996</v>
      </c>
      <c r="F37" s="126">
        <v>0.84299999999999997</v>
      </c>
      <c r="G37" s="126">
        <v>0.85699999999999998</v>
      </c>
      <c r="H37" s="126">
        <v>0.872</v>
      </c>
      <c r="I37" s="126">
        <v>0.88700000000000001</v>
      </c>
      <c r="J37" s="126">
        <v>0.90200000000000002</v>
      </c>
      <c r="K37" s="126">
        <v>0.91700000000000004</v>
      </c>
      <c r="L37" s="126">
        <v>0.93300000000000005</v>
      </c>
      <c r="M37" s="126">
        <v>0.94899999999999995</v>
      </c>
      <c r="N37" s="126">
        <v>0.96499999999999997</v>
      </c>
      <c r="O37" s="126">
        <v>0.98099999999999998</v>
      </c>
      <c r="P37" s="126">
        <v>0.998</v>
      </c>
      <c r="Q37" s="126"/>
    </row>
    <row r="38" spans="1:17" x14ac:dyDescent="0.25">
      <c r="A38" s="109">
        <v>11</v>
      </c>
      <c r="B38" s="126">
        <v>0.78900000000000003</v>
      </c>
      <c r="C38" s="126">
        <v>0.80300000000000005</v>
      </c>
      <c r="D38" s="126">
        <v>0.81599999999999995</v>
      </c>
      <c r="E38" s="126">
        <v>0.83</v>
      </c>
      <c r="F38" s="126">
        <v>0.84399999999999997</v>
      </c>
      <c r="G38" s="126">
        <v>0.85899999999999999</v>
      </c>
      <c r="H38" s="126">
        <v>0.873</v>
      </c>
      <c r="I38" s="126">
        <v>0.88800000000000001</v>
      </c>
      <c r="J38" s="126">
        <v>0.90300000000000002</v>
      </c>
      <c r="K38" s="126">
        <v>0.91900000000000004</v>
      </c>
      <c r="L38" s="126">
        <v>0.93400000000000005</v>
      </c>
      <c r="M38" s="126">
        <v>0.95</v>
      </c>
      <c r="N38" s="126">
        <v>0.96599999999999997</v>
      </c>
      <c r="O38" s="126">
        <v>0.98299999999999998</v>
      </c>
      <c r="P38" s="126">
        <v>0.999</v>
      </c>
      <c r="Q38" s="126"/>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5" customHeight="1" x14ac:dyDescent="0.25">
      <c r="A44"/>
      <c r="B44"/>
    </row>
    <row r="45" spans="1:17" x14ac:dyDescent="0.25">
      <c r="A45"/>
      <c r="B45"/>
    </row>
    <row r="46" spans="1:17" ht="27.65"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763" priority="3" stopIfTrue="1">
      <formula>MOD(ROW(),2)=0</formula>
    </cfRule>
    <cfRule type="expression" dxfId="762" priority="4" stopIfTrue="1">
      <formula>MOD(ROW(),2)&lt;&gt;0</formula>
    </cfRule>
  </conditionalFormatting>
  <conditionalFormatting sqref="A26:A38">
    <cfRule type="expression" dxfId="761" priority="7" stopIfTrue="1">
      <formula>MOD(ROW(),2)=0</formula>
    </cfRule>
    <cfRule type="expression" dxfId="760" priority="8" stopIfTrue="1">
      <formula>MOD(ROW(),2)&lt;&gt;0</formula>
    </cfRule>
  </conditionalFormatting>
  <conditionalFormatting sqref="B17:B18 B20:B21">
    <cfRule type="expression" dxfId="759" priority="13" stopIfTrue="1">
      <formula>MOD(ROW(),2)=0</formula>
    </cfRule>
    <cfRule type="expression" dxfId="758" priority="14" stopIfTrue="1">
      <formula>MOD(ROW(),2)&lt;&gt;0</formula>
    </cfRule>
  </conditionalFormatting>
  <conditionalFormatting sqref="B19">
    <cfRule type="expression" dxfId="757" priority="1" stopIfTrue="1">
      <formula>MOD(ROW(),2)=0</formula>
    </cfRule>
    <cfRule type="expression" dxfId="756" priority="2" stopIfTrue="1">
      <formula>MOD(ROW(),2)&lt;&gt;0</formula>
    </cfRule>
  </conditionalFormatting>
  <conditionalFormatting sqref="B6:Q6 C7:Q7 B8:Q16 C17:Q21">
    <cfRule type="expression" dxfId="755" priority="25" stopIfTrue="1">
      <formula>MOD(ROW(),2)=0</formula>
    </cfRule>
    <cfRule type="expression" dxfId="754" priority="26" stopIfTrue="1">
      <formula>MOD(ROW(),2)&lt;&gt;0</formula>
    </cfRule>
  </conditionalFormatting>
  <conditionalFormatting sqref="B6:Q21">
    <cfRule type="expression" dxfId="753" priority="11" stopIfTrue="1">
      <formula>MOD(ROW(),2)=0</formula>
    </cfRule>
    <cfRule type="expression" dxfId="752" priority="12" stopIfTrue="1">
      <formula>MOD(ROW(),2)&lt;&gt;0</formula>
    </cfRule>
  </conditionalFormatting>
  <conditionalFormatting sqref="B26:Q38">
    <cfRule type="expression" dxfId="751" priority="9" stopIfTrue="1">
      <formula>MOD(ROW(),2)=0</formula>
    </cfRule>
    <cfRule type="expression" dxfId="750" priority="10" stopIfTrue="1">
      <formula>MOD(ROW(),2)&lt;&gt;0</formula>
    </cfRule>
  </conditionalFormatting>
  <hyperlinks>
    <hyperlink ref="B24" location="Assumptions!A1" display="Assumptions" xr:uid="{DD8B7EE0-3036-4522-8F14-D7EE79A04E1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dimension ref="A1:I65"/>
  <sheetViews>
    <sheetView workbookViewId="0"/>
  </sheetViews>
  <sheetFormatPr defaultColWidth="10" defaultRowHeight="12.5" x14ac:dyDescent="0.25"/>
  <cols>
    <col min="1" max="1" width="31.54296875" style="28" customWidth="1"/>
    <col min="2" max="7" width="22.54296875" style="28" customWidth="1"/>
    <col min="8"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ERF - x-411</v>
      </c>
      <c r="B3" s="56"/>
      <c r="C3" s="56"/>
      <c r="D3" s="56"/>
      <c r="E3" s="56"/>
      <c r="F3" s="56"/>
      <c r="G3" s="56"/>
      <c r="H3" s="56"/>
      <c r="I3" s="56"/>
    </row>
    <row r="4" spans="1:9" x14ac:dyDescent="0.25">
      <c r="A4" s="58"/>
    </row>
    <row r="6" spans="1:9" ht="13" x14ac:dyDescent="0.3">
      <c r="A6" s="86" t="s">
        <v>716</v>
      </c>
      <c r="B6" s="111" t="s">
        <v>717</v>
      </c>
      <c r="C6" s="111"/>
      <c r="D6" s="111"/>
      <c r="E6" s="111"/>
      <c r="F6" s="111"/>
      <c r="G6" s="111"/>
    </row>
    <row r="7" spans="1:9" x14ac:dyDescent="0.25">
      <c r="A7" s="87" t="s">
        <v>797</v>
      </c>
      <c r="B7" s="111" t="s">
        <v>326</v>
      </c>
      <c r="C7" s="111"/>
      <c r="D7" s="111"/>
      <c r="E7" s="111"/>
      <c r="F7" s="111"/>
      <c r="G7" s="111"/>
    </row>
    <row r="8" spans="1:9" x14ac:dyDescent="0.25">
      <c r="A8" s="87" t="s">
        <v>798</v>
      </c>
      <c r="B8" s="111" t="s">
        <v>444</v>
      </c>
      <c r="C8" s="111"/>
      <c r="D8" s="111"/>
      <c r="E8" s="111"/>
      <c r="F8" s="111"/>
      <c r="G8" s="111"/>
    </row>
    <row r="9" spans="1:9" x14ac:dyDescent="0.25">
      <c r="A9" s="87" t="s">
        <v>300</v>
      </c>
      <c r="B9" s="111" t="s">
        <v>426</v>
      </c>
      <c r="C9" s="111"/>
      <c r="D9" s="111"/>
      <c r="E9" s="111"/>
      <c r="F9" s="111"/>
      <c r="G9" s="111"/>
    </row>
    <row r="10" spans="1:9" x14ac:dyDescent="0.25">
      <c r="A10" s="87" t="s">
        <v>6</v>
      </c>
      <c r="B10" s="111" t="s">
        <v>473</v>
      </c>
      <c r="C10" s="111"/>
      <c r="D10" s="111"/>
      <c r="E10" s="111"/>
      <c r="F10" s="111"/>
      <c r="G10" s="111"/>
    </row>
    <row r="11" spans="1:9" x14ac:dyDescent="0.25">
      <c r="A11" s="87" t="s">
        <v>301</v>
      </c>
      <c r="B11" s="111" t="s">
        <v>319</v>
      </c>
      <c r="C11" s="111"/>
      <c r="D11" s="111"/>
      <c r="E11" s="111"/>
      <c r="F11" s="111"/>
      <c r="G11" s="111"/>
    </row>
    <row r="12" spans="1:9" x14ac:dyDescent="0.25">
      <c r="A12" s="87" t="s">
        <v>302</v>
      </c>
      <c r="B12" s="111" t="s">
        <v>446</v>
      </c>
      <c r="C12" s="111"/>
      <c r="D12" s="111"/>
      <c r="E12" s="111"/>
      <c r="F12" s="111"/>
      <c r="G12" s="111"/>
    </row>
    <row r="13" spans="1:9" x14ac:dyDescent="0.25">
      <c r="A13" s="87" t="s">
        <v>813</v>
      </c>
      <c r="B13" s="111">
        <v>1</v>
      </c>
      <c r="C13" s="111"/>
      <c r="D13" s="111"/>
      <c r="E13" s="111"/>
      <c r="F13" s="111"/>
      <c r="G13" s="111"/>
    </row>
    <row r="14" spans="1:9" x14ac:dyDescent="0.25">
      <c r="A14" s="87" t="s">
        <v>304</v>
      </c>
      <c r="B14" s="111">
        <v>411</v>
      </c>
      <c r="C14" s="111"/>
      <c r="D14" s="111"/>
      <c r="E14" s="111"/>
      <c r="F14" s="111"/>
      <c r="G14" s="111"/>
    </row>
    <row r="15" spans="1:9" x14ac:dyDescent="0.25">
      <c r="A15" s="87" t="s">
        <v>727</v>
      </c>
      <c r="B15" s="111" t="s">
        <v>474</v>
      </c>
      <c r="C15" s="111"/>
      <c r="D15" s="111"/>
      <c r="E15" s="111"/>
      <c r="F15" s="111"/>
      <c r="G15" s="111"/>
    </row>
    <row r="16" spans="1:9" x14ac:dyDescent="0.25">
      <c r="A16" s="87" t="s">
        <v>306</v>
      </c>
      <c r="B16" s="111" t="s">
        <v>475</v>
      </c>
      <c r="C16" s="111"/>
      <c r="D16" s="111"/>
      <c r="E16" s="111"/>
      <c r="F16" s="111"/>
      <c r="G16" s="111"/>
    </row>
    <row r="17" spans="1:7" x14ac:dyDescent="0.25">
      <c r="A17" s="87" t="s">
        <v>800</v>
      </c>
      <c r="B17" s="111"/>
      <c r="C17" s="111"/>
      <c r="D17" s="111"/>
      <c r="E17" s="111"/>
      <c r="F17" s="111"/>
      <c r="G17" s="111"/>
    </row>
    <row r="18" spans="1:7" x14ac:dyDescent="0.25">
      <c r="A18" s="87" t="s">
        <v>308</v>
      </c>
      <c r="B18" s="122">
        <v>45106</v>
      </c>
      <c r="C18" s="111"/>
      <c r="D18" s="111"/>
      <c r="E18" s="111"/>
      <c r="F18" s="111"/>
      <c r="G18" s="111"/>
    </row>
    <row r="19" spans="1:7" x14ac:dyDescent="0.25">
      <c r="A19" s="87" t="s">
        <v>309</v>
      </c>
      <c r="B19" s="122">
        <v>45200</v>
      </c>
      <c r="C19" s="111"/>
      <c r="D19" s="111"/>
      <c r="E19" s="111"/>
      <c r="F19" s="111"/>
      <c r="G19" s="111"/>
    </row>
    <row r="20" spans="1:7" x14ac:dyDescent="0.25">
      <c r="A20" s="87" t="s">
        <v>310</v>
      </c>
      <c r="B20" s="111" t="s">
        <v>324</v>
      </c>
      <c r="C20" s="111"/>
      <c r="D20" s="111"/>
      <c r="E20" s="111"/>
      <c r="F20" s="111"/>
      <c r="G20" s="111"/>
    </row>
    <row r="21" spans="1:7" x14ac:dyDescent="0.25">
      <c r="A21" s="87" t="s">
        <v>311</v>
      </c>
      <c r="B21" s="111" t="s">
        <v>325</v>
      </c>
      <c r="C21" s="111"/>
      <c r="D21" s="111"/>
      <c r="E21" s="111"/>
      <c r="F21" s="111"/>
      <c r="G21" s="111"/>
    </row>
    <row r="23" spans="1:7" x14ac:dyDescent="0.25">
      <c r="B23" s="104" t="str">
        <f>HYPERLINK("#'Factor List'!A1","Back to Factor List")</f>
        <v>Back to Factor List</v>
      </c>
    </row>
    <row r="24" spans="1:7" x14ac:dyDescent="0.25">
      <c r="B24" s="104" t="s">
        <v>13</v>
      </c>
    </row>
    <row r="26" spans="1:7" ht="13" x14ac:dyDescent="0.25">
      <c r="A26" s="108" t="s">
        <v>839</v>
      </c>
      <c r="B26" s="108">
        <v>50</v>
      </c>
      <c r="C26" s="108">
        <v>51</v>
      </c>
      <c r="D26" s="108">
        <v>52</v>
      </c>
      <c r="E26" s="108">
        <v>53</v>
      </c>
      <c r="F26" s="108">
        <v>54</v>
      </c>
      <c r="G26" s="108">
        <v>55</v>
      </c>
    </row>
    <row r="27" spans="1:7" x14ac:dyDescent="0.25">
      <c r="A27" s="109">
        <v>0</v>
      </c>
      <c r="B27" s="126">
        <v>0.315</v>
      </c>
      <c r="C27" s="126">
        <v>0.252</v>
      </c>
      <c r="D27" s="126">
        <v>0.189</v>
      </c>
      <c r="E27" s="126">
        <v>0.126</v>
      </c>
      <c r="F27" s="126">
        <v>6.2E-2</v>
      </c>
      <c r="G27" s="126">
        <v>0</v>
      </c>
    </row>
    <row r="28" spans="1:7" x14ac:dyDescent="0.25">
      <c r="A28" s="109">
        <v>1</v>
      </c>
      <c r="B28" s="126">
        <v>0.309</v>
      </c>
      <c r="C28" s="126">
        <v>0.247</v>
      </c>
      <c r="D28" s="126">
        <v>0.184</v>
      </c>
      <c r="E28" s="126">
        <v>0.12</v>
      </c>
      <c r="F28" s="126">
        <v>5.6000000000000001E-2</v>
      </c>
      <c r="G28" s="126"/>
    </row>
    <row r="29" spans="1:7" x14ac:dyDescent="0.25">
      <c r="A29" s="109">
        <v>2</v>
      </c>
      <c r="B29" s="126">
        <v>0.30399999999999999</v>
      </c>
      <c r="C29" s="126">
        <v>0.24199999999999999</v>
      </c>
      <c r="D29" s="126">
        <v>0.17799999999999999</v>
      </c>
      <c r="E29" s="126">
        <v>0.115</v>
      </c>
      <c r="F29" s="126">
        <v>5.0999999999999997E-2</v>
      </c>
      <c r="G29" s="126"/>
    </row>
    <row r="30" spans="1:7" x14ac:dyDescent="0.25">
      <c r="A30" s="109">
        <v>3</v>
      </c>
      <c r="B30" s="126">
        <v>0.29899999999999999</v>
      </c>
      <c r="C30" s="126">
        <v>0.23599999999999999</v>
      </c>
      <c r="D30" s="126">
        <v>0.17299999999999999</v>
      </c>
      <c r="E30" s="126">
        <v>0.11</v>
      </c>
      <c r="F30" s="126">
        <v>4.5999999999999999E-2</v>
      </c>
      <c r="G30" s="126"/>
    </row>
    <row r="31" spans="1:7" x14ac:dyDescent="0.25">
      <c r="A31" s="109">
        <v>4</v>
      </c>
      <c r="B31" s="126">
        <v>0.29399999999999998</v>
      </c>
      <c r="C31" s="126">
        <v>0.23100000000000001</v>
      </c>
      <c r="D31" s="126">
        <v>0.16800000000000001</v>
      </c>
      <c r="E31" s="126">
        <v>0.104</v>
      </c>
      <c r="F31" s="126">
        <v>0.04</v>
      </c>
      <c r="G31" s="126"/>
    </row>
    <row r="32" spans="1:7" x14ac:dyDescent="0.25">
      <c r="A32" s="109">
        <v>5</v>
      </c>
      <c r="B32" s="126">
        <v>0.28899999999999998</v>
      </c>
      <c r="C32" s="126">
        <v>0.22600000000000001</v>
      </c>
      <c r="D32" s="126">
        <v>0.16300000000000001</v>
      </c>
      <c r="E32" s="126">
        <v>9.9000000000000005E-2</v>
      </c>
      <c r="F32" s="126">
        <v>3.5000000000000003E-2</v>
      </c>
      <c r="G32" s="126"/>
    </row>
    <row r="33" spans="1:7" x14ac:dyDescent="0.25">
      <c r="A33" s="109">
        <v>6</v>
      </c>
      <c r="B33" s="126">
        <v>0.28299999999999997</v>
      </c>
      <c r="C33" s="126">
        <v>0.221</v>
      </c>
      <c r="D33" s="126">
        <v>0.157</v>
      </c>
      <c r="E33" s="126">
        <v>9.4E-2</v>
      </c>
      <c r="F33" s="126">
        <v>2.9000000000000001E-2</v>
      </c>
      <c r="G33" s="126"/>
    </row>
    <row r="34" spans="1:7" x14ac:dyDescent="0.25">
      <c r="A34" s="109">
        <v>7</v>
      </c>
      <c r="B34" s="126">
        <v>0.27800000000000002</v>
      </c>
      <c r="C34" s="126">
        <v>0.215</v>
      </c>
      <c r="D34" s="126">
        <v>0.152</v>
      </c>
      <c r="E34" s="126">
        <v>8.7999999999999995E-2</v>
      </c>
      <c r="F34" s="126">
        <v>2.4E-2</v>
      </c>
      <c r="G34" s="126"/>
    </row>
    <row r="35" spans="1:7" x14ac:dyDescent="0.25">
      <c r="A35" s="109">
        <v>8</v>
      </c>
      <c r="B35" s="126">
        <v>0.27300000000000002</v>
      </c>
      <c r="C35" s="126">
        <v>0.21</v>
      </c>
      <c r="D35" s="126">
        <v>0.14699999999999999</v>
      </c>
      <c r="E35" s="126">
        <v>8.3000000000000004E-2</v>
      </c>
      <c r="F35" s="126">
        <v>1.9E-2</v>
      </c>
      <c r="G35" s="126"/>
    </row>
    <row r="36" spans="1:7" x14ac:dyDescent="0.25">
      <c r="A36" s="109">
        <v>9</v>
      </c>
      <c r="B36" s="126">
        <v>0.26800000000000002</v>
      </c>
      <c r="C36" s="126">
        <v>0.20499999999999999</v>
      </c>
      <c r="D36" s="126">
        <v>0.14099999999999999</v>
      </c>
      <c r="E36" s="126">
        <v>7.8E-2</v>
      </c>
      <c r="F36" s="126">
        <v>1.2999999999999999E-2</v>
      </c>
      <c r="G36" s="126"/>
    </row>
    <row r="37" spans="1:7" x14ac:dyDescent="0.25">
      <c r="A37" s="109">
        <v>10</v>
      </c>
      <c r="B37" s="126">
        <v>0.26200000000000001</v>
      </c>
      <c r="C37" s="126">
        <v>0.2</v>
      </c>
      <c r="D37" s="126">
        <v>0.13600000000000001</v>
      </c>
      <c r="E37" s="126">
        <v>7.1999999999999995E-2</v>
      </c>
      <c r="F37" s="126">
        <v>8.0000000000000002E-3</v>
      </c>
      <c r="G37" s="126"/>
    </row>
    <row r="38" spans="1:7" x14ac:dyDescent="0.25">
      <c r="A38" s="109">
        <v>11</v>
      </c>
      <c r="B38" s="126">
        <v>0.25700000000000001</v>
      </c>
      <c r="C38" s="126">
        <v>0.19400000000000001</v>
      </c>
      <c r="D38" s="126">
        <v>0.13100000000000001</v>
      </c>
      <c r="E38" s="126">
        <v>6.7000000000000004E-2</v>
      </c>
      <c r="F38" s="126">
        <v>3.0000000000000001E-3</v>
      </c>
      <c r="G38" s="126"/>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5" customHeight="1" x14ac:dyDescent="0.25">
      <c r="A44"/>
      <c r="B44"/>
    </row>
    <row r="45" spans="1:7" x14ac:dyDescent="0.25">
      <c r="A45"/>
      <c r="B45"/>
    </row>
    <row r="46" spans="1:7" ht="27.65"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749" priority="3" stopIfTrue="1">
      <formula>MOD(ROW(),2)=0</formula>
    </cfRule>
    <cfRule type="expression" dxfId="748" priority="4" stopIfTrue="1">
      <formula>MOD(ROW(),2)&lt;&gt;0</formula>
    </cfRule>
  </conditionalFormatting>
  <conditionalFormatting sqref="A26:A38">
    <cfRule type="expression" dxfId="747" priority="7" stopIfTrue="1">
      <formula>MOD(ROW(),2)=0</formula>
    </cfRule>
    <cfRule type="expression" dxfId="746" priority="8" stopIfTrue="1">
      <formula>MOD(ROW(),2)&lt;&gt;0</formula>
    </cfRule>
  </conditionalFormatting>
  <conditionalFormatting sqref="B17:B18 B20:B21">
    <cfRule type="expression" dxfId="745" priority="13" stopIfTrue="1">
      <formula>MOD(ROW(),2)=0</formula>
    </cfRule>
    <cfRule type="expression" dxfId="744" priority="14" stopIfTrue="1">
      <formula>MOD(ROW(),2)&lt;&gt;0</formula>
    </cfRule>
  </conditionalFormatting>
  <conditionalFormatting sqref="B19">
    <cfRule type="expression" dxfId="743" priority="1" stopIfTrue="1">
      <formula>MOD(ROW(),2)=0</formula>
    </cfRule>
    <cfRule type="expression" dxfId="742" priority="2" stopIfTrue="1">
      <formula>MOD(ROW(),2)&lt;&gt;0</formula>
    </cfRule>
  </conditionalFormatting>
  <conditionalFormatting sqref="B6:G6 C7:G7 B8:G16 C17:G21">
    <cfRule type="expression" dxfId="741" priority="25" stopIfTrue="1">
      <formula>MOD(ROW(),2)=0</formula>
    </cfRule>
    <cfRule type="expression" dxfId="740" priority="26" stopIfTrue="1">
      <formula>MOD(ROW(),2)&lt;&gt;0</formula>
    </cfRule>
  </conditionalFormatting>
  <conditionalFormatting sqref="B6:G21">
    <cfRule type="expression" dxfId="739" priority="11" stopIfTrue="1">
      <formula>MOD(ROW(),2)=0</formula>
    </cfRule>
    <cfRule type="expression" dxfId="738" priority="12" stopIfTrue="1">
      <formula>MOD(ROW(),2)&lt;&gt;0</formula>
    </cfRule>
  </conditionalFormatting>
  <conditionalFormatting sqref="B26:G38">
    <cfRule type="expression" dxfId="737" priority="9" stopIfTrue="1">
      <formula>MOD(ROW(),2)=0</formula>
    </cfRule>
    <cfRule type="expression" dxfId="736" priority="10" stopIfTrue="1">
      <formula>MOD(ROW(),2)&lt;&gt;0</formula>
    </cfRule>
  </conditionalFormatting>
  <hyperlinks>
    <hyperlink ref="B24" location="Assumptions!A1" display="Assumptions" xr:uid="{5BA7C4F8-1FC7-401B-9E52-CBCB68E41E9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dimension ref="A1:P65"/>
  <sheetViews>
    <sheetView workbookViewId="0"/>
  </sheetViews>
  <sheetFormatPr defaultColWidth="10" defaultRowHeight="12.5" x14ac:dyDescent="0.25"/>
  <cols>
    <col min="1" max="1" width="31.54296875" style="28" customWidth="1"/>
    <col min="2" max="7" width="22.54296875" style="28" customWidth="1"/>
    <col min="8" max="9" width="10" style="28"/>
    <col min="10" max="10" width="31.54296875" style="28" customWidth="1"/>
    <col min="11" max="16" width="22.54296875" style="28" customWidth="1"/>
    <col min="17" max="16384" width="10" style="28"/>
  </cols>
  <sheetData>
    <row r="1" spans="1:16" ht="20" x14ac:dyDescent="0.4">
      <c r="A1" s="53" t="s">
        <v>0</v>
      </c>
      <c r="B1" s="54"/>
      <c r="C1" s="54"/>
      <c r="D1" s="54"/>
      <c r="E1" s="54"/>
      <c r="F1" s="54"/>
      <c r="G1" s="54"/>
      <c r="H1" s="54"/>
      <c r="I1" s="54"/>
    </row>
    <row r="2" spans="1:16"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6" ht="15.5" x14ac:dyDescent="0.35">
      <c r="A3" s="57" t="str">
        <f>TABLE_FACTOR_TYPE_1&amp;" - x-"&amp;TABLE_SERIES_NUMBER_1</f>
        <v>ERF - x-412</v>
      </c>
      <c r="B3" s="56"/>
      <c r="C3" s="56"/>
      <c r="D3" s="56"/>
      <c r="E3" s="56"/>
      <c r="F3" s="56"/>
      <c r="G3" s="56"/>
      <c r="H3" s="56"/>
      <c r="I3" s="56"/>
    </row>
    <row r="4" spans="1:16" x14ac:dyDescent="0.25">
      <c r="A4" s="58"/>
    </row>
    <row r="6" spans="1:16" ht="13" x14ac:dyDescent="0.3">
      <c r="A6" s="86" t="s">
        <v>716</v>
      </c>
      <c r="B6" s="111" t="s">
        <v>717</v>
      </c>
      <c r="C6" s="111"/>
      <c r="D6" s="111"/>
      <c r="E6" s="111"/>
      <c r="F6" s="111"/>
      <c r="G6" s="111"/>
      <c r="J6" s="86" t="s">
        <v>716</v>
      </c>
      <c r="K6" s="111" t="s">
        <v>717</v>
      </c>
      <c r="L6" s="111"/>
      <c r="M6" s="111"/>
      <c r="N6" s="111"/>
      <c r="O6" s="111"/>
      <c r="P6" s="111"/>
    </row>
    <row r="7" spans="1:16" x14ac:dyDescent="0.25">
      <c r="A7" s="87" t="s">
        <v>797</v>
      </c>
      <c r="B7" s="111" t="s">
        <v>326</v>
      </c>
      <c r="C7" s="111"/>
      <c r="D7" s="111"/>
      <c r="E7" s="111"/>
      <c r="F7" s="111"/>
      <c r="G7" s="111"/>
      <c r="J7" s="87" t="s">
        <v>797</v>
      </c>
      <c r="K7" s="111" t="s">
        <v>326</v>
      </c>
      <c r="L7" s="111"/>
      <c r="M7" s="111"/>
      <c r="N7" s="111"/>
      <c r="O7" s="111"/>
      <c r="P7" s="111"/>
    </row>
    <row r="8" spans="1:16" x14ac:dyDescent="0.25">
      <c r="A8" s="87" t="s">
        <v>798</v>
      </c>
      <c r="B8" s="111" t="s">
        <v>93</v>
      </c>
      <c r="C8" s="111"/>
      <c r="D8" s="111"/>
      <c r="E8" s="111"/>
      <c r="F8" s="111"/>
      <c r="G8" s="111"/>
      <c r="J8" s="87" t="s">
        <v>798</v>
      </c>
      <c r="K8" s="111" t="s">
        <v>93</v>
      </c>
      <c r="L8" s="111"/>
      <c r="M8" s="111"/>
      <c r="N8" s="111"/>
      <c r="O8" s="111"/>
      <c r="P8" s="111"/>
    </row>
    <row r="9" spans="1:16" x14ac:dyDescent="0.25">
      <c r="A9" s="87" t="s">
        <v>300</v>
      </c>
      <c r="B9" s="111" t="s">
        <v>426</v>
      </c>
      <c r="C9" s="111"/>
      <c r="D9" s="111"/>
      <c r="E9" s="111"/>
      <c r="F9" s="111"/>
      <c r="G9" s="111"/>
      <c r="J9" s="87" t="s">
        <v>300</v>
      </c>
      <c r="K9" s="111" t="s">
        <v>426</v>
      </c>
      <c r="L9" s="111"/>
      <c r="M9" s="111"/>
      <c r="N9" s="111"/>
      <c r="O9" s="111"/>
      <c r="P9" s="111"/>
    </row>
    <row r="10" spans="1:16" x14ac:dyDescent="0.25">
      <c r="A10" s="87" t="s">
        <v>6</v>
      </c>
      <c r="B10" s="111" t="s">
        <v>477</v>
      </c>
      <c r="C10" s="111"/>
      <c r="D10" s="111"/>
      <c r="E10" s="111"/>
      <c r="F10" s="111"/>
      <c r="G10" s="111"/>
      <c r="J10" s="87" t="s">
        <v>6</v>
      </c>
      <c r="K10" s="111" t="s">
        <v>477</v>
      </c>
      <c r="L10" s="111"/>
      <c r="M10" s="111"/>
      <c r="N10" s="111"/>
      <c r="O10" s="111"/>
      <c r="P10" s="111"/>
    </row>
    <row r="11" spans="1:16" x14ac:dyDescent="0.25">
      <c r="A11" s="87" t="s">
        <v>301</v>
      </c>
      <c r="B11" s="111" t="s">
        <v>319</v>
      </c>
      <c r="C11" s="111"/>
      <c r="D11" s="111"/>
      <c r="E11" s="111"/>
      <c r="F11" s="111"/>
      <c r="G11" s="111"/>
      <c r="J11" s="87" t="s">
        <v>301</v>
      </c>
      <c r="K11" s="111" t="s">
        <v>319</v>
      </c>
      <c r="L11" s="111"/>
      <c r="M11" s="111"/>
      <c r="N11" s="111"/>
      <c r="O11" s="111"/>
      <c r="P11" s="111"/>
    </row>
    <row r="12" spans="1:16" x14ac:dyDescent="0.25">
      <c r="A12" s="87" t="s">
        <v>302</v>
      </c>
      <c r="B12" s="111" t="s">
        <v>446</v>
      </c>
      <c r="C12" s="111"/>
      <c r="D12" s="111"/>
      <c r="E12" s="111"/>
      <c r="F12" s="111"/>
      <c r="G12" s="111"/>
      <c r="J12" s="87" t="s">
        <v>302</v>
      </c>
      <c r="K12" s="111" t="s">
        <v>446</v>
      </c>
      <c r="L12" s="111"/>
      <c r="M12" s="111"/>
      <c r="N12" s="111"/>
      <c r="O12" s="111"/>
      <c r="P12" s="111"/>
    </row>
    <row r="13" spans="1:16" x14ac:dyDescent="0.25">
      <c r="A13" s="87" t="s">
        <v>813</v>
      </c>
      <c r="B13" s="111">
        <v>1</v>
      </c>
      <c r="C13" s="111"/>
      <c r="D13" s="111"/>
      <c r="E13" s="111"/>
      <c r="F13" s="111"/>
      <c r="G13" s="111"/>
      <c r="J13" s="87" t="s">
        <v>813</v>
      </c>
      <c r="K13" s="111">
        <v>1</v>
      </c>
      <c r="L13" s="111"/>
      <c r="M13" s="111"/>
      <c r="N13" s="111"/>
      <c r="O13" s="111"/>
      <c r="P13" s="111"/>
    </row>
    <row r="14" spans="1:16" x14ac:dyDescent="0.25">
      <c r="A14" s="87" t="s">
        <v>304</v>
      </c>
      <c r="B14" s="111">
        <v>412</v>
      </c>
      <c r="C14" s="111"/>
      <c r="D14" s="111"/>
      <c r="E14" s="111"/>
      <c r="F14" s="111"/>
      <c r="G14" s="111"/>
      <c r="J14" s="87" t="s">
        <v>304</v>
      </c>
      <c r="K14" s="111">
        <v>412</v>
      </c>
      <c r="L14" s="111"/>
      <c r="M14" s="111"/>
      <c r="N14" s="111"/>
      <c r="O14" s="111"/>
      <c r="P14" s="111"/>
    </row>
    <row r="15" spans="1:16" x14ac:dyDescent="0.25">
      <c r="A15" s="87" t="s">
        <v>727</v>
      </c>
      <c r="B15" s="111" t="s">
        <v>478</v>
      </c>
      <c r="C15" s="111"/>
      <c r="D15" s="111"/>
      <c r="E15" s="111"/>
      <c r="F15" s="111"/>
      <c r="G15" s="111"/>
      <c r="J15" s="87" t="s">
        <v>727</v>
      </c>
      <c r="K15" s="111" t="s">
        <v>481</v>
      </c>
      <c r="L15" s="111"/>
      <c r="M15" s="111"/>
      <c r="N15" s="111"/>
      <c r="O15" s="111"/>
      <c r="P15" s="111"/>
    </row>
    <row r="16" spans="1:16" x14ac:dyDescent="0.25">
      <c r="A16" s="87" t="s">
        <v>306</v>
      </c>
      <c r="B16" s="111" t="s">
        <v>479</v>
      </c>
      <c r="C16" s="111"/>
      <c r="D16" s="111"/>
      <c r="E16" s="111"/>
      <c r="F16" s="111"/>
      <c r="G16" s="111"/>
      <c r="J16" s="87" t="s">
        <v>306</v>
      </c>
      <c r="K16" s="111" t="s">
        <v>482</v>
      </c>
      <c r="L16" s="111"/>
      <c r="M16" s="111"/>
      <c r="N16" s="111"/>
      <c r="O16" s="111"/>
      <c r="P16" s="111"/>
    </row>
    <row r="17" spans="1:16" x14ac:dyDescent="0.25">
      <c r="A17" s="87" t="s">
        <v>800</v>
      </c>
      <c r="B17" s="111"/>
      <c r="C17" s="111"/>
      <c r="D17" s="111"/>
      <c r="E17" s="111"/>
      <c r="F17" s="111"/>
      <c r="G17" s="111"/>
      <c r="J17" s="87" t="s">
        <v>800</v>
      </c>
      <c r="K17" s="111"/>
      <c r="L17" s="111"/>
      <c r="M17" s="111"/>
      <c r="N17" s="111"/>
      <c r="O17" s="111"/>
      <c r="P17" s="111"/>
    </row>
    <row r="18" spans="1:16" x14ac:dyDescent="0.25">
      <c r="A18" s="87" t="s">
        <v>308</v>
      </c>
      <c r="B18" s="122">
        <v>45106</v>
      </c>
      <c r="C18" s="111"/>
      <c r="D18" s="111"/>
      <c r="E18" s="111"/>
      <c r="F18" s="111"/>
      <c r="G18" s="111"/>
      <c r="J18" s="87" t="s">
        <v>308</v>
      </c>
      <c r="K18" s="122">
        <v>45106</v>
      </c>
      <c r="L18" s="111"/>
      <c r="M18" s="111"/>
      <c r="N18" s="111"/>
      <c r="O18" s="111"/>
      <c r="P18" s="111"/>
    </row>
    <row r="19" spans="1:16" x14ac:dyDescent="0.25">
      <c r="A19" s="87" t="s">
        <v>309</v>
      </c>
      <c r="B19" s="122">
        <v>45200</v>
      </c>
      <c r="C19" s="111"/>
      <c r="D19" s="111"/>
      <c r="E19" s="111"/>
      <c r="F19" s="111"/>
      <c r="G19" s="111"/>
      <c r="J19" s="87" t="s">
        <v>309</v>
      </c>
      <c r="K19" s="122">
        <v>45200</v>
      </c>
      <c r="L19" s="111"/>
      <c r="M19" s="111"/>
      <c r="N19" s="111"/>
      <c r="O19" s="111"/>
      <c r="P19" s="111"/>
    </row>
    <row r="20" spans="1:16" x14ac:dyDescent="0.25">
      <c r="A20" s="87" t="s">
        <v>310</v>
      </c>
      <c r="B20" s="111" t="s">
        <v>324</v>
      </c>
      <c r="C20" s="111"/>
      <c r="D20" s="111"/>
      <c r="E20" s="111"/>
      <c r="F20" s="111"/>
      <c r="G20" s="111"/>
      <c r="J20" s="87" t="s">
        <v>310</v>
      </c>
      <c r="K20" s="111" t="s">
        <v>324</v>
      </c>
      <c r="L20" s="111"/>
      <c r="M20" s="111"/>
      <c r="N20" s="111"/>
      <c r="O20" s="111"/>
      <c r="P20" s="111"/>
    </row>
    <row r="21" spans="1:16" x14ac:dyDescent="0.25">
      <c r="A21" s="87" t="s">
        <v>311</v>
      </c>
      <c r="B21" s="111" t="s">
        <v>325</v>
      </c>
      <c r="C21" s="111"/>
      <c r="D21" s="111"/>
      <c r="E21" s="111"/>
      <c r="F21" s="111"/>
      <c r="G21" s="111"/>
      <c r="J21" s="87" t="s">
        <v>311</v>
      </c>
      <c r="K21" s="111" t="s">
        <v>325</v>
      </c>
      <c r="L21" s="111"/>
      <c r="M21" s="111"/>
      <c r="N21" s="111"/>
      <c r="O21" s="111"/>
      <c r="P21" s="111"/>
    </row>
    <row r="23" spans="1:16" x14ac:dyDescent="0.25">
      <c r="B23" s="104" t="str">
        <f>HYPERLINK("#'Factor List'!A1","Back to Factor List")</f>
        <v>Back to Factor List</v>
      </c>
    </row>
    <row r="24" spans="1:16" x14ac:dyDescent="0.25">
      <c r="B24" s="104" t="s">
        <v>13</v>
      </c>
    </row>
    <row r="26" spans="1:16" ht="13" x14ac:dyDescent="0.25">
      <c r="A26" s="108" t="s">
        <v>839</v>
      </c>
      <c r="B26" s="108">
        <v>50</v>
      </c>
      <c r="C26" s="108">
        <v>51</v>
      </c>
      <c r="D26" s="108">
        <v>52</v>
      </c>
      <c r="E26" s="108">
        <v>53</v>
      </c>
      <c r="F26" s="108">
        <v>54</v>
      </c>
      <c r="G26" s="108">
        <v>55</v>
      </c>
      <c r="J26" s="108" t="s">
        <v>839</v>
      </c>
      <c r="K26" s="108">
        <v>50</v>
      </c>
      <c r="L26" s="108">
        <v>51</v>
      </c>
      <c r="M26" s="108">
        <v>52</v>
      </c>
      <c r="N26" s="108">
        <v>53</v>
      </c>
      <c r="O26" s="108">
        <v>54</v>
      </c>
      <c r="P26" s="108">
        <v>55</v>
      </c>
    </row>
    <row r="27" spans="1:16" x14ac:dyDescent="0.25">
      <c r="A27" s="109">
        <v>0</v>
      </c>
      <c r="B27" s="126">
        <v>0.214</v>
      </c>
      <c r="C27" s="126">
        <v>0.17100000000000001</v>
      </c>
      <c r="D27" s="126">
        <v>0.128</v>
      </c>
      <c r="E27" s="126">
        <v>8.5000000000000006E-2</v>
      </c>
      <c r="F27" s="126">
        <v>4.2000000000000003E-2</v>
      </c>
      <c r="G27" s="126">
        <v>0</v>
      </c>
      <c r="J27" s="109">
        <v>0</v>
      </c>
      <c r="K27" s="126">
        <v>1.073</v>
      </c>
      <c r="L27" s="126">
        <v>1.0940000000000001</v>
      </c>
      <c r="M27" s="126">
        <v>1.1160000000000001</v>
      </c>
      <c r="N27" s="126">
        <v>1.139</v>
      </c>
      <c r="O27" s="126">
        <v>1.161</v>
      </c>
      <c r="P27" s="126">
        <v>1.1839999999999999</v>
      </c>
    </row>
    <row r="28" spans="1:16" x14ac:dyDescent="0.25">
      <c r="A28" s="109">
        <v>1</v>
      </c>
      <c r="B28" s="126">
        <v>0.21</v>
      </c>
      <c r="C28" s="126">
        <v>0.16700000000000001</v>
      </c>
      <c r="D28" s="126">
        <v>0.124</v>
      </c>
      <c r="E28" s="126">
        <v>8.1000000000000003E-2</v>
      </c>
      <c r="F28" s="126">
        <v>3.7999999999999999E-2</v>
      </c>
      <c r="G28" s="126"/>
      <c r="J28" s="109">
        <v>1</v>
      </c>
      <c r="K28" s="126">
        <v>1.075</v>
      </c>
      <c r="L28" s="126">
        <v>1.0960000000000001</v>
      </c>
      <c r="M28" s="126">
        <v>1.1180000000000001</v>
      </c>
      <c r="N28" s="126">
        <v>1.1399999999999999</v>
      </c>
      <c r="O28" s="126">
        <v>1.163</v>
      </c>
      <c r="P28" s="126"/>
    </row>
    <row r="29" spans="1:16" x14ac:dyDescent="0.25">
      <c r="A29" s="109">
        <v>2</v>
      </c>
      <c r="B29" s="126">
        <v>0.20699999999999999</v>
      </c>
      <c r="C29" s="126">
        <v>0.16400000000000001</v>
      </c>
      <c r="D29" s="126">
        <v>0.121</v>
      </c>
      <c r="E29" s="126">
        <v>7.8E-2</v>
      </c>
      <c r="F29" s="126">
        <v>3.4000000000000002E-2</v>
      </c>
      <c r="G29" s="126"/>
      <c r="J29" s="109">
        <v>2</v>
      </c>
      <c r="K29" s="126">
        <v>1.077</v>
      </c>
      <c r="L29" s="126">
        <v>1.0980000000000001</v>
      </c>
      <c r="M29" s="126">
        <v>1.1200000000000001</v>
      </c>
      <c r="N29" s="126">
        <v>1.1419999999999999</v>
      </c>
      <c r="O29" s="126">
        <v>1.165</v>
      </c>
      <c r="P29" s="126"/>
    </row>
    <row r="30" spans="1:16" x14ac:dyDescent="0.25">
      <c r="A30" s="109">
        <v>3</v>
      </c>
      <c r="B30" s="126">
        <v>0.20300000000000001</v>
      </c>
      <c r="C30" s="126">
        <v>0.16</v>
      </c>
      <c r="D30" s="126">
        <v>0.11700000000000001</v>
      </c>
      <c r="E30" s="126">
        <v>7.3999999999999996E-2</v>
      </c>
      <c r="F30" s="126">
        <v>3.1E-2</v>
      </c>
      <c r="G30" s="126"/>
      <c r="J30" s="109">
        <v>3</v>
      </c>
      <c r="K30" s="126">
        <v>1.0780000000000001</v>
      </c>
      <c r="L30" s="126">
        <v>1.1000000000000001</v>
      </c>
      <c r="M30" s="126">
        <v>1.1220000000000001</v>
      </c>
      <c r="N30" s="126">
        <v>1.1439999999999999</v>
      </c>
      <c r="O30" s="126">
        <v>1.167</v>
      </c>
      <c r="P30" s="126"/>
    </row>
    <row r="31" spans="1:16" x14ac:dyDescent="0.25">
      <c r="A31" s="109">
        <v>4</v>
      </c>
      <c r="B31" s="126">
        <v>0.2</v>
      </c>
      <c r="C31" s="126">
        <v>0.157</v>
      </c>
      <c r="D31" s="126">
        <v>0.113</v>
      </c>
      <c r="E31" s="126">
        <v>7.0000000000000007E-2</v>
      </c>
      <c r="F31" s="126">
        <v>2.7E-2</v>
      </c>
      <c r="G31" s="126"/>
      <c r="J31" s="109">
        <v>4</v>
      </c>
      <c r="K31" s="126">
        <v>1.08</v>
      </c>
      <c r="L31" s="126">
        <v>1.1020000000000001</v>
      </c>
      <c r="M31" s="126">
        <v>1.1240000000000001</v>
      </c>
      <c r="N31" s="126">
        <v>1.1459999999999999</v>
      </c>
      <c r="O31" s="126">
        <v>1.169</v>
      </c>
      <c r="P31" s="126"/>
    </row>
    <row r="32" spans="1:16" x14ac:dyDescent="0.25">
      <c r="A32" s="109">
        <v>5</v>
      </c>
      <c r="B32" s="126">
        <v>0.19600000000000001</v>
      </c>
      <c r="C32" s="126">
        <v>0.153</v>
      </c>
      <c r="D32" s="126">
        <v>0.11</v>
      </c>
      <c r="E32" s="126">
        <v>6.7000000000000004E-2</v>
      </c>
      <c r="F32" s="126">
        <v>2.3E-2</v>
      </c>
      <c r="G32" s="126"/>
      <c r="J32" s="109">
        <v>5</v>
      </c>
      <c r="K32" s="126">
        <v>1.0820000000000001</v>
      </c>
      <c r="L32" s="126">
        <v>1.103</v>
      </c>
      <c r="M32" s="126">
        <v>1.1259999999999999</v>
      </c>
      <c r="N32" s="126">
        <v>1.1479999999999999</v>
      </c>
      <c r="O32" s="126">
        <v>1.171</v>
      </c>
      <c r="P32" s="126"/>
    </row>
    <row r="33" spans="1:16" x14ac:dyDescent="0.25">
      <c r="A33" s="109">
        <v>6</v>
      </c>
      <c r="B33" s="126">
        <v>0.192</v>
      </c>
      <c r="C33" s="126">
        <v>0.14899999999999999</v>
      </c>
      <c r="D33" s="126">
        <v>0.106</v>
      </c>
      <c r="E33" s="126">
        <v>6.3E-2</v>
      </c>
      <c r="F33" s="126">
        <v>0.02</v>
      </c>
      <c r="G33" s="126"/>
      <c r="J33" s="109">
        <v>6</v>
      </c>
      <c r="K33" s="126">
        <v>1.0840000000000001</v>
      </c>
      <c r="L33" s="126">
        <v>1.105</v>
      </c>
      <c r="M33" s="126">
        <v>1.127</v>
      </c>
      <c r="N33" s="126">
        <v>1.1499999999999999</v>
      </c>
      <c r="O33" s="126">
        <v>1.173</v>
      </c>
      <c r="P33" s="126"/>
    </row>
    <row r="34" spans="1:16" x14ac:dyDescent="0.25">
      <c r="A34" s="109">
        <v>7</v>
      </c>
      <c r="B34" s="126">
        <v>0.189</v>
      </c>
      <c r="C34" s="126">
        <v>0.14599999999999999</v>
      </c>
      <c r="D34" s="126">
        <v>0.10299999999999999</v>
      </c>
      <c r="E34" s="126">
        <v>0.06</v>
      </c>
      <c r="F34" s="126">
        <v>1.6E-2</v>
      </c>
      <c r="G34" s="126"/>
      <c r="J34" s="109">
        <v>7</v>
      </c>
      <c r="K34" s="126">
        <v>1.085</v>
      </c>
      <c r="L34" s="126">
        <v>1.107</v>
      </c>
      <c r="M34" s="126">
        <v>1.129</v>
      </c>
      <c r="N34" s="126">
        <v>1.1519999999999999</v>
      </c>
      <c r="O34" s="126">
        <v>1.175</v>
      </c>
      <c r="P34" s="126"/>
    </row>
    <row r="35" spans="1:16" x14ac:dyDescent="0.25">
      <c r="A35" s="109">
        <v>8</v>
      </c>
      <c r="B35" s="126">
        <v>0.185</v>
      </c>
      <c r="C35" s="126">
        <v>0.14199999999999999</v>
      </c>
      <c r="D35" s="126">
        <v>9.9000000000000005E-2</v>
      </c>
      <c r="E35" s="126">
        <v>5.6000000000000001E-2</v>
      </c>
      <c r="F35" s="126">
        <v>1.2999999999999999E-2</v>
      </c>
      <c r="G35" s="126"/>
      <c r="J35" s="109">
        <v>8</v>
      </c>
      <c r="K35" s="126">
        <v>1.087</v>
      </c>
      <c r="L35" s="126">
        <v>1.109</v>
      </c>
      <c r="M35" s="126">
        <v>1.131</v>
      </c>
      <c r="N35" s="126">
        <v>1.1539999999999999</v>
      </c>
      <c r="O35" s="126">
        <v>1.177</v>
      </c>
      <c r="P35" s="126"/>
    </row>
    <row r="36" spans="1:16" x14ac:dyDescent="0.25">
      <c r="A36" s="109">
        <v>9</v>
      </c>
      <c r="B36" s="126">
        <v>0.182</v>
      </c>
      <c r="C36" s="126">
        <v>0.13900000000000001</v>
      </c>
      <c r="D36" s="126">
        <v>9.6000000000000002E-2</v>
      </c>
      <c r="E36" s="126">
        <v>5.1999999999999998E-2</v>
      </c>
      <c r="F36" s="126">
        <v>8.9999999999999993E-3</v>
      </c>
      <c r="G36" s="126"/>
      <c r="J36" s="109">
        <v>9</v>
      </c>
      <c r="K36" s="126">
        <v>1.089</v>
      </c>
      <c r="L36" s="126">
        <v>1.111</v>
      </c>
      <c r="M36" s="126">
        <v>1.133</v>
      </c>
      <c r="N36" s="126">
        <v>1.1559999999999999</v>
      </c>
      <c r="O36" s="126">
        <v>1.179</v>
      </c>
      <c r="P36" s="126"/>
    </row>
    <row r="37" spans="1:16" x14ac:dyDescent="0.25">
      <c r="A37" s="109">
        <v>10</v>
      </c>
      <c r="B37" s="126">
        <v>0.17799999999999999</v>
      </c>
      <c r="C37" s="126">
        <v>0.13500000000000001</v>
      </c>
      <c r="D37" s="126">
        <v>9.1999999999999998E-2</v>
      </c>
      <c r="E37" s="126">
        <v>4.9000000000000002E-2</v>
      </c>
      <c r="F37" s="126">
        <v>5.0000000000000001E-3</v>
      </c>
      <c r="G37" s="126"/>
      <c r="J37" s="109">
        <v>10</v>
      </c>
      <c r="K37" s="126">
        <v>1.091</v>
      </c>
      <c r="L37" s="126">
        <v>1.113</v>
      </c>
      <c r="M37" s="126">
        <v>1.135</v>
      </c>
      <c r="N37" s="126">
        <v>1.1579999999999999</v>
      </c>
      <c r="O37" s="126">
        <v>1.181</v>
      </c>
      <c r="P37" s="126"/>
    </row>
    <row r="38" spans="1:16" x14ac:dyDescent="0.25">
      <c r="A38" s="109">
        <v>11</v>
      </c>
      <c r="B38" s="126">
        <v>0.17399999999999999</v>
      </c>
      <c r="C38" s="126">
        <v>0.13100000000000001</v>
      </c>
      <c r="D38" s="126">
        <v>8.7999999999999995E-2</v>
      </c>
      <c r="E38" s="126">
        <v>4.4999999999999998E-2</v>
      </c>
      <c r="F38" s="126">
        <v>2E-3</v>
      </c>
      <c r="G38" s="126"/>
      <c r="J38" s="109">
        <v>11</v>
      </c>
      <c r="K38" s="126">
        <v>1.093</v>
      </c>
      <c r="L38" s="126">
        <v>1.1140000000000001</v>
      </c>
      <c r="M38" s="126">
        <v>1.137</v>
      </c>
      <c r="N38" s="126">
        <v>1.159</v>
      </c>
      <c r="O38" s="126">
        <v>1.1830000000000001</v>
      </c>
      <c r="P38" s="126"/>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5" customHeight="1" x14ac:dyDescent="0.25">
      <c r="A44"/>
      <c r="B44"/>
    </row>
    <row r="45" spans="1:16" x14ac:dyDescent="0.25">
      <c r="A45"/>
      <c r="B45"/>
    </row>
    <row r="46" spans="1:16" ht="27.65"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735" priority="5" stopIfTrue="1">
      <formula>MOD(ROW(),2)=0</formula>
    </cfRule>
    <cfRule type="expression" dxfId="734" priority="6" stopIfTrue="1">
      <formula>MOD(ROW(),2)&lt;&gt;0</formula>
    </cfRule>
  </conditionalFormatting>
  <conditionalFormatting sqref="A26:A38">
    <cfRule type="expression" dxfId="733" priority="13" stopIfTrue="1">
      <formula>MOD(ROW(),2)=0</formula>
    </cfRule>
    <cfRule type="expression" dxfId="732" priority="14" stopIfTrue="1">
      <formula>MOD(ROW(),2)&lt;&gt;0</formula>
    </cfRule>
  </conditionalFormatting>
  <conditionalFormatting sqref="B17:B18 B20:B21">
    <cfRule type="expression" dxfId="731" priority="24" stopIfTrue="1">
      <formula>MOD(ROW(),2)&lt;&gt;0</formula>
    </cfRule>
    <cfRule type="expression" dxfId="730" priority="23" stopIfTrue="1">
      <formula>MOD(ROW(),2)=0</formula>
    </cfRule>
  </conditionalFormatting>
  <conditionalFormatting sqref="B19">
    <cfRule type="expression" dxfId="729" priority="3" stopIfTrue="1">
      <formula>MOD(ROW(),2)=0</formula>
    </cfRule>
    <cfRule type="expression" dxfId="728" priority="4" stopIfTrue="1">
      <formula>MOD(ROW(),2)&lt;&gt;0</formula>
    </cfRule>
  </conditionalFormatting>
  <conditionalFormatting sqref="B6:G6 C7:G7 B8:G16 C17:G21">
    <cfRule type="expression" dxfId="727" priority="41" stopIfTrue="1">
      <formula>MOD(ROW(),2)=0</formula>
    </cfRule>
    <cfRule type="expression" dxfId="726" priority="42" stopIfTrue="1">
      <formula>MOD(ROW(),2)&lt;&gt;0</formula>
    </cfRule>
  </conditionalFormatting>
  <conditionalFormatting sqref="B6:G21">
    <cfRule type="expression" dxfId="725" priority="19" stopIfTrue="1">
      <formula>MOD(ROW(),2)=0</formula>
    </cfRule>
    <cfRule type="expression" dxfId="724" priority="20" stopIfTrue="1">
      <formula>MOD(ROW(),2)&lt;&gt;0</formula>
    </cfRule>
  </conditionalFormatting>
  <conditionalFormatting sqref="B26:G38">
    <cfRule type="expression" dxfId="723" priority="15" stopIfTrue="1">
      <formula>MOD(ROW(),2)=0</formula>
    </cfRule>
    <cfRule type="expression" dxfId="722" priority="16" stopIfTrue="1">
      <formula>MOD(ROW(),2)&lt;&gt;0</formula>
    </cfRule>
  </conditionalFormatting>
  <conditionalFormatting sqref="J6:J21">
    <cfRule type="expression" dxfId="721" priority="32" stopIfTrue="1">
      <formula>MOD(ROW(),2)&lt;&gt;0</formula>
    </cfRule>
    <cfRule type="expression" dxfId="720" priority="31" stopIfTrue="1">
      <formula>MOD(ROW(),2)=0</formula>
    </cfRule>
  </conditionalFormatting>
  <conditionalFormatting sqref="J26:J38">
    <cfRule type="expression" dxfId="719" priority="9" stopIfTrue="1">
      <formula>MOD(ROW(),2)=0</formula>
    </cfRule>
    <cfRule type="expression" dxfId="718" priority="10" stopIfTrue="1">
      <formula>MOD(ROW(),2)&lt;&gt;0</formula>
    </cfRule>
  </conditionalFormatting>
  <conditionalFormatting sqref="K17:K18 K20:K21">
    <cfRule type="expression" dxfId="717" priority="22" stopIfTrue="1">
      <formula>MOD(ROW(),2)&lt;&gt;0</formula>
    </cfRule>
    <cfRule type="expression" dxfId="716" priority="21" stopIfTrue="1">
      <formula>MOD(ROW(),2)=0</formula>
    </cfRule>
  </conditionalFormatting>
  <conditionalFormatting sqref="K19">
    <cfRule type="expression" dxfId="715" priority="2" stopIfTrue="1">
      <formula>MOD(ROW(),2)&lt;&gt;0</formula>
    </cfRule>
    <cfRule type="expression" dxfId="714" priority="1" stopIfTrue="1">
      <formula>MOD(ROW(),2)=0</formula>
    </cfRule>
  </conditionalFormatting>
  <conditionalFormatting sqref="K6:P6 L7:P7 K8:P16 L17:P21">
    <cfRule type="expression" dxfId="713" priority="49" stopIfTrue="1">
      <formula>MOD(ROW(),2)=0</formula>
    </cfRule>
    <cfRule type="expression" dxfId="712" priority="50" stopIfTrue="1">
      <formula>MOD(ROW(),2)&lt;&gt;0</formula>
    </cfRule>
  </conditionalFormatting>
  <conditionalFormatting sqref="K6:P21">
    <cfRule type="expression" dxfId="711" priority="18" stopIfTrue="1">
      <formula>MOD(ROW(),2)&lt;&gt;0</formula>
    </cfRule>
    <cfRule type="expression" dxfId="710" priority="17" stopIfTrue="1">
      <formula>MOD(ROW(),2)=0</formula>
    </cfRule>
  </conditionalFormatting>
  <conditionalFormatting sqref="K26:P38">
    <cfRule type="expression" dxfId="709" priority="12" stopIfTrue="1">
      <formula>MOD(ROW(),2)&lt;&gt;0</formula>
    </cfRule>
    <cfRule type="expression" dxfId="708" priority="11" stopIfTrue="1">
      <formula>MOD(ROW(),2)=0</formula>
    </cfRule>
  </conditionalFormatting>
  <hyperlinks>
    <hyperlink ref="B24" location="Assumptions!A1" display="Assumptions" xr:uid="{08BBE795-EAF1-446D-9E4E-C1B5831D965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6"/>
  <dimension ref="A1:M65"/>
  <sheetViews>
    <sheetView workbookViewId="0"/>
  </sheetViews>
  <sheetFormatPr defaultColWidth="32" defaultRowHeight="12.5" x14ac:dyDescent="0.25"/>
  <cols>
    <col min="1" max="1" width="32" style="28"/>
    <col min="2" max="13" width="25.453125" style="28" customWidth="1"/>
    <col min="14" max="16384" width="32" style="28"/>
  </cols>
  <sheetData>
    <row r="1" spans="1:13" ht="20" x14ac:dyDescent="0.4">
      <c r="A1" s="53" t="s">
        <v>0</v>
      </c>
      <c r="B1" s="54"/>
      <c r="C1" s="54"/>
      <c r="D1" s="54"/>
      <c r="E1" s="54"/>
      <c r="F1" s="54"/>
      <c r="G1" s="54"/>
      <c r="H1" s="54"/>
      <c r="I1" s="54"/>
    </row>
    <row r="2" spans="1:13"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3" ht="15.5" x14ac:dyDescent="0.35">
      <c r="A3" s="57" t="str">
        <f>TABLE_FACTOR_TYPE_1&amp;" - x-"&amp;TABLE_SERIES_NUMBER_1</f>
        <v>ERF - x-413</v>
      </c>
      <c r="B3" s="56"/>
      <c r="C3" s="56"/>
      <c r="D3" s="56"/>
      <c r="E3" s="56"/>
      <c r="F3" s="56"/>
      <c r="G3" s="56"/>
      <c r="H3" s="56"/>
      <c r="I3" s="56"/>
    </row>
    <row r="4" spans="1:13" x14ac:dyDescent="0.25">
      <c r="A4" s="58"/>
    </row>
    <row r="6" spans="1:13" ht="13" x14ac:dyDescent="0.3">
      <c r="A6" s="86" t="s">
        <v>716</v>
      </c>
      <c r="B6" s="111" t="s">
        <v>717</v>
      </c>
      <c r="C6" s="111"/>
      <c r="D6" s="111"/>
      <c r="E6" s="111"/>
      <c r="F6" s="111"/>
      <c r="G6" s="111"/>
      <c r="H6" s="111"/>
      <c r="I6" s="111"/>
      <c r="J6" s="111"/>
      <c r="K6" s="111"/>
      <c r="L6" s="111"/>
      <c r="M6" s="111"/>
    </row>
    <row r="7" spans="1:13" x14ac:dyDescent="0.25">
      <c r="A7" s="87" t="s">
        <v>797</v>
      </c>
      <c r="B7" s="111" t="s">
        <v>326</v>
      </c>
      <c r="C7" s="111"/>
      <c r="D7" s="111"/>
      <c r="E7" s="111"/>
      <c r="F7" s="111"/>
      <c r="G7" s="111"/>
      <c r="H7" s="111"/>
      <c r="I7" s="111"/>
      <c r="J7" s="111"/>
      <c r="K7" s="111"/>
      <c r="L7" s="111"/>
      <c r="M7" s="111"/>
    </row>
    <row r="8" spans="1:13" x14ac:dyDescent="0.25">
      <c r="A8" s="87" t="s">
        <v>798</v>
      </c>
      <c r="B8" s="111" t="s">
        <v>96</v>
      </c>
      <c r="C8" s="111"/>
      <c r="D8" s="111"/>
      <c r="E8" s="111"/>
      <c r="F8" s="111"/>
      <c r="G8" s="111"/>
      <c r="H8" s="111"/>
      <c r="I8" s="111"/>
      <c r="J8" s="111"/>
      <c r="K8" s="111"/>
      <c r="L8" s="111"/>
      <c r="M8" s="111"/>
    </row>
    <row r="9" spans="1:13" x14ac:dyDescent="0.25">
      <c r="A9" s="87" t="s">
        <v>300</v>
      </c>
      <c r="B9" s="111" t="s">
        <v>426</v>
      </c>
      <c r="C9" s="111"/>
      <c r="D9" s="111"/>
      <c r="E9" s="111"/>
      <c r="F9" s="111"/>
      <c r="G9" s="111"/>
      <c r="H9" s="111"/>
      <c r="I9" s="111"/>
      <c r="J9" s="111"/>
      <c r="K9" s="111"/>
      <c r="L9" s="111"/>
      <c r="M9" s="111"/>
    </row>
    <row r="10" spans="1:13" x14ac:dyDescent="0.25">
      <c r="A10" s="87" t="s">
        <v>6</v>
      </c>
      <c r="B10" s="111" t="s">
        <v>484</v>
      </c>
      <c r="C10" s="111"/>
      <c r="D10" s="111"/>
      <c r="E10" s="111"/>
      <c r="F10" s="111"/>
      <c r="G10" s="111"/>
      <c r="H10" s="111"/>
      <c r="I10" s="111"/>
      <c r="J10" s="111"/>
      <c r="K10" s="111"/>
      <c r="L10" s="111"/>
      <c r="M10" s="111"/>
    </row>
    <row r="11" spans="1:13" x14ac:dyDescent="0.25">
      <c r="A11" s="87" t="s">
        <v>301</v>
      </c>
      <c r="B11" s="111" t="s">
        <v>319</v>
      </c>
      <c r="C11" s="111"/>
      <c r="D11" s="111"/>
      <c r="E11" s="111"/>
      <c r="F11" s="111"/>
      <c r="G11" s="111"/>
      <c r="H11" s="111"/>
      <c r="I11" s="111"/>
      <c r="J11" s="111"/>
      <c r="K11" s="111"/>
      <c r="L11" s="111"/>
      <c r="M11" s="111"/>
    </row>
    <row r="12" spans="1:13" x14ac:dyDescent="0.25">
      <c r="A12" s="87" t="s">
        <v>302</v>
      </c>
      <c r="B12" s="111" t="s">
        <v>428</v>
      </c>
      <c r="C12" s="111"/>
      <c r="D12" s="111"/>
      <c r="E12" s="111"/>
      <c r="F12" s="111"/>
      <c r="G12" s="111"/>
      <c r="H12" s="111"/>
      <c r="I12" s="111"/>
      <c r="J12" s="111"/>
      <c r="K12" s="111"/>
      <c r="L12" s="111"/>
      <c r="M12" s="111"/>
    </row>
    <row r="13" spans="1:13" x14ac:dyDescent="0.25">
      <c r="A13" s="87" t="s">
        <v>813</v>
      </c>
      <c r="B13" s="111">
        <v>1</v>
      </c>
      <c r="C13" s="111"/>
      <c r="D13" s="111"/>
      <c r="E13" s="111"/>
      <c r="F13" s="111"/>
      <c r="G13" s="111"/>
      <c r="H13" s="111"/>
      <c r="I13" s="111"/>
      <c r="J13" s="111"/>
      <c r="K13" s="111"/>
      <c r="L13" s="111"/>
      <c r="M13" s="111"/>
    </row>
    <row r="14" spans="1:13" x14ac:dyDescent="0.25">
      <c r="A14" s="87" t="s">
        <v>304</v>
      </c>
      <c r="B14" s="111">
        <v>413</v>
      </c>
      <c r="C14" s="111"/>
      <c r="D14" s="111"/>
      <c r="E14" s="111"/>
      <c r="F14" s="111"/>
      <c r="G14" s="111"/>
      <c r="H14" s="111"/>
      <c r="I14" s="111"/>
      <c r="J14" s="111"/>
      <c r="K14" s="111"/>
      <c r="L14" s="111"/>
      <c r="M14" s="111"/>
    </row>
    <row r="15" spans="1:13" x14ac:dyDescent="0.25">
      <c r="A15" s="87" t="s">
        <v>727</v>
      </c>
      <c r="B15" s="111" t="s">
        <v>485</v>
      </c>
      <c r="C15" s="111"/>
      <c r="D15" s="111"/>
      <c r="E15" s="111"/>
      <c r="F15" s="111"/>
      <c r="G15" s="111"/>
      <c r="H15" s="111"/>
      <c r="I15" s="111"/>
      <c r="J15" s="111"/>
      <c r="K15" s="111"/>
      <c r="L15" s="111"/>
      <c r="M15" s="111"/>
    </row>
    <row r="16" spans="1:13" x14ac:dyDescent="0.25">
      <c r="A16" s="87" t="s">
        <v>306</v>
      </c>
      <c r="B16" s="111" t="s">
        <v>486</v>
      </c>
      <c r="C16" s="111"/>
      <c r="D16" s="111"/>
      <c r="E16" s="111"/>
      <c r="F16" s="111"/>
      <c r="G16" s="111"/>
      <c r="H16" s="111"/>
      <c r="I16" s="111"/>
      <c r="J16" s="111"/>
      <c r="K16" s="111"/>
      <c r="L16" s="111"/>
      <c r="M16" s="111"/>
    </row>
    <row r="17" spans="1:13" x14ac:dyDescent="0.25">
      <c r="A17" s="87" t="s">
        <v>800</v>
      </c>
      <c r="B17" s="111"/>
      <c r="C17" s="111"/>
      <c r="D17" s="111"/>
      <c r="E17" s="111"/>
      <c r="F17" s="111"/>
      <c r="G17" s="111"/>
      <c r="H17" s="111"/>
      <c r="I17" s="111"/>
      <c r="J17" s="111"/>
      <c r="K17" s="111"/>
      <c r="L17" s="111"/>
      <c r="M17" s="111"/>
    </row>
    <row r="18" spans="1:13" x14ac:dyDescent="0.25">
      <c r="A18" s="87" t="s">
        <v>308</v>
      </c>
      <c r="B18" s="122">
        <v>45106</v>
      </c>
      <c r="C18" s="111"/>
      <c r="D18" s="111"/>
      <c r="E18" s="111"/>
      <c r="F18" s="111"/>
      <c r="G18" s="111"/>
      <c r="H18" s="111"/>
      <c r="I18" s="111"/>
      <c r="J18" s="111"/>
      <c r="K18" s="111"/>
      <c r="L18" s="111"/>
      <c r="M18" s="111"/>
    </row>
    <row r="19" spans="1:13" x14ac:dyDescent="0.25">
      <c r="A19" s="87" t="s">
        <v>309</v>
      </c>
      <c r="B19" s="122">
        <v>45200</v>
      </c>
      <c r="C19" s="111"/>
      <c r="D19" s="111"/>
      <c r="E19" s="111"/>
      <c r="F19" s="111"/>
      <c r="G19" s="111"/>
      <c r="H19" s="111"/>
      <c r="I19" s="111"/>
      <c r="J19" s="111"/>
      <c r="K19" s="111"/>
      <c r="L19" s="111"/>
      <c r="M19" s="111"/>
    </row>
    <row r="20" spans="1:13" x14ac:dyDescent="0.25">
      <c r="A20" s="87" t="s">
        <v>310</v>
      </c>
      <c r="B20" s="111" t="s">
        <v>324</v>
      </c>
      <c r="C20" s="111"/>
      <c r="D20" s="111"/>
      <c r="E20" s="111"/>
      <c r="F20" s="111"/>
      <c r="G20" s="111"/>
      <c r="H20" s="111"/>
      <c r="I20" s="111"/>
      <c r="J20" s="111"/>
      <c r="K20" s="111"/>
      <c r="L20" s="111"/>
      <c r="M20" s="111"/>
    </row>
    <row r="21" spans="1:13" x14ac:dyDescent="0.25">
      <c r="A21" s="87" t="s">
        <v>311</v>
      </c>
      <c r="B21" s="111" t="s">
        <v>325</v>
      </c>
      <c r="C21" s="111"/>
      <c r="D21" s="111"/>
      <c r="E21" s="111"/>
      <c r="F21" s="111"/>
      <c r="G21" s="111"/>
      <c r="H21" s="111"/>
      <c r="I21" s="111"/>
      <c r="J21" s="111"/>
      <c r="K21" s="111"/>
      <c r="L21" s="111"/>
      <c r="M21" s="111"/>
    </row>
    <row r="23" spans="1:13" x14ac:dyDescent="0.25">
      <c r="B23" s="104" t="str">
        <f>HYPERLINK("#'Factor List'!A1","Back to Factor List")</f>
        <v>Back to Factor List</v>
      </c>
    </row>
    <row r="24" spans="1:13" x14ac:dyDescent="0.25">
      <c r="B24" s="104" t="s">
        <v>13</v>
      </c>
    </row>
    <row r="26" spans="1:13" ht="13" x14ac:dyDescent="0.25">
      <c r="A26" s="127" t="s">
        <v>839</v>
      </c>
      <c r="B26" s="127">
        <v>54</v>
      </c>
      <c r="C26" s="127">
        <v>55</v>
      </c>
      <c r="D26" s="127">
        <v>56</v>
      </c>
      <c r="E26" s="127">
        <v>57</v>
      </c>
      <c r="F26" s="127">
        <v>58</v>
      </c>
      <c r="G26" s="127">
        <v>59</v>
      </c>
      <c r="H26" s="127">
        <v>60</v>
      </c>
      <c r="I26" s="127">
        <v>61</v>
      </c>
      <c r="J26" s="127">
        <v>62</v>
      </c>
      <c r="K26" s="127">
        <v>63</v>
      </c>
      <c r="L26" s="127">
        <v>64</v>
      </c>
      <c r="M26" s="127">
        <v>65</v>
      </c>
    </row>
    <row r="27" spans="1:13" x14ac:dyDescent="0.25">
      <c r="A27" s="128">
        <v>0</v>
      </c>
      <c r="B27" s="129">
        <v>0.60199999999999998</v>
      </c>
      <c r="C27" s="129">
        <v>0.626</v>
      </c>
      <c r="D27" s="129">
        <v>0.65200000000000002</v>
      </c>
      <c r="E27" s="129">
        <v>0.68</v>
      </c>
      <c r="F27" s="129">
        <v>0.71</v>
      </c>
      <c r="G27" s="129">
        <v>0.74299999999999999</v>
      </c>
      <c r="H27" s="129">
        <v>0.77800000000000002</v>
      </c>
      <c r="I27" s="129">
        <v>0.81499999999999995</v>
      </c>
      <c r="J27" s="129">
        <v>0.85599999999999998</v>
      </c>
      <c r="K27" s="129">
        <v>0.90100000000000002</v>
      </c>
      <c r="L27" s="129">
        <v>0.94899999999999995</v>
      </c>
      <c r="M27" s="129">
        <v>1</v>
      </c>
    </row>
    <row r="28" spans="1:13" x14ac:dyDescent="0.25">
      <c r="A28" s="128">
        <v>1</v>
      </c>
      <c r="B28" s="129">
        <v>0.60399999999999998</v>
      </c>
      <c r="C28" s="129">
        <v>0.628</v>
      </c>
      <c r="D28" s="129">
        <v>0.65500000000000003</v>
      </c>
      <c r="E28" s="129">
        <v>0.68300000000000005</v>
      </c>
      <c r="F28" s="129">
        <v>0.71299999999999997</v>
      </c>
      <c r="G28" s="129">
        <v>0.746</v>
      </c>
      <c r="H28" s="129">
        <v>0.78100000000000003</v>
      </c>
      <c r="I28" s="129">
        <v>0.81899999999999995</v>
      </c>
      <c r="J28" s="129">
        <v>0.86</v>
      </c>
      <c r="K28" s="129">
        <v>0.90500000000000003</v>
      </c>
      <c r="L28" s="129">
        <v>0.95399999999999996</v>
      </c>
      <c r="M28" s="129"/>
    </row>
    <row r="29" spans="1:13" x14ac:dyDescent="0.25">
      <c r="A29" s="128">
        <v>2</v>
      </c>
      <c r="B29" s="129">
        <v>0.60599999999999998</v>
      </c>
      <c r="C29" s="129">
        <v>0.63100000000000001</v>
      </c>
      <c r="D29" s="129">
        <v>0.65700000000000003</v>
      </c>
      <c r="E29" s="129">
        <v>0.68500000000000005</v>
      </c>
      <c r="F29" s="129">
        <v>0.71599999999999997</v>
      </c>
      <c r="G29" s="129">
        <v>0.749</v>
      </c>
      <c r="H29" s="129">
        <v>0.78400000000000003</v>
      </c>
      <c r="I29" s="129">
        <v>0.82199999999999995</v>
      </c>
      <c r="J29" s="129">
        <v>0.86399999999999999</v>
      </c>
      <c r="K29" s="129">
        <v>0.90900000000000003</v>
      </c>
      <c r="L29" s="129">
        <v>0.95799999999999996</v>
      </c>
      <c r="M29" s="129"/>
    </row>
    <row r="30" spans="1:13" x14ac:dyDescent="0.25">
      <c r="A30" s="128">
        <v>3</v>
      </c>
      <c r="B30" s="129">
        <v>0.60799999999999998</v>
      </c>
      <c r="C30" s="129">
        <v>0.63300000000000001</v>
      </c>
      <c r="D30" s="129">
        <v>0.65900000000000003</v>
      </c>
      <c r="E30" s="129">
        <v>0.68799999999999994</v>
      </c>
      <c r="F30" s="129">
        <v>0.71799999999999997</v>
      </c>
      <c r="G30" s="129">
        <v>0.751</v>
      </c>
      <c r="H30" s="129">
        <v>0.78700000000000003</v>
      </c>
      <c r="I30" s="129">
        <v>0.82599999999999996</v>
      </c>
      <c r="J30" s="129">
        <v>0.86699999999999999</v>
      </c>
      <c r="K30" s="129">
        <v>0.91300000000000003</v>
      </c>
      <c r="L30" s="129">
        <v>0.96299999999999997</v>
      </c>
      <c r="M30" s="129"/>
    </row>
    <row r="31" spans="1:13" x14ac:dyDescent="0.25">
      <c r="A31" s="128">
        <v>4</v>
      </c>
      <c r="B31" s="129">
        <v>0.61</v>
      </c>
      <c r="C31" s="129">
        <v>0.63500000000000001</v>
      </c>
      <c r="D31" s="129">
        <v>0.66200000000000003</v>
      </c>
      <c r="E31" s="129">
        <v>0.69</v>
      </c>
      <c r="F31" s="129">
        <v>0.72099999999999997</v>
      </c>
      <c r="G31" s="129">
        <v>0.754</v>
      </c>
      <c r="H31" s="129">
        <v>0.79</v>
      </c>
      <c r="I31" s="129">
        <v>0.82899999999999996</v>
      </c>
      <c r="J31" s="129">
        <v>0.871</v>
      </c>
      <c r="K31" s="129">
        <v>0.91700000000000004</v>
      </c>
      <c r="L31" s="129">
        <v>0.96699999999999997</v>
      </c>
      <c r="M31" s="129"/>
    </row>
    <row r="32" spans="1:13" x14ac:dyDescent="0.25">
      <c r="A32" s="128">
        <v>5</v>
      </c>
      <c r="B32" s="129">
        <v>0.61199999999999999</v>
      </c>
      <c r="C32" s="129">
        <v>0.63700000000000001</v>
      </c>
      <c r="D32" s="129">
        <v>0.66400000000000003</v>
      </c>
      <c r="E32" s="129">
        <v>0.69299999999999995</v>
      </c>
      <c r="F32" s="129">
        <v>0.72399999999999998</v>
      </c>
      <c r="G32" s="129">
        <v>0.75700000000000001</v>
      </c>
      <c r="H32" s="129">
        <v>0.79300000000000004</v>
      </c>
      <c r="I32" s="129">
        <v>0.83199999999999996</v>
      </c>
      <c r="J32" s="129">
        <v>0.875</v>
      </c>
      <c r="K32" s="129">
        <v>0.92100000000000004</v>
      </c>
      <c r="L32" s="129">
        <v>0.97099999999999997</v>
      </c>
      <c r="M32" s="129"/>
    </row>
    <row r="33" spans="1:13" x14ac:dyDescent="0.25">
      <c r="A33" s="128">
        <v>6</v>
      </c>
      <c r="B33" s="129">
        <v>0.61399999999999999</v>
      </c>
      <c r="C33" s="129">
        <v>0.63900000000000001</v>
      </c>
      <c r="D33" s="129">
        <v>0.66600000000000004</v>
      </c>
      <c r="E33" s="129">
        <v>0.69499999999999995</v>
      </c>
      <c r="F33" s="129">
        <v>0.72699999999999998</v>
      </c>
      <c r="G33" s="129">
        <v>0.76</v>
      </c>
      <c r="H33" s="129">
        <v>0.79600000000000004</v>
      </c>
      <c r="I33" s="129">
        <v>0.83599999999999997</v>
      </c>
      <c r="J33" s="129">
        <v>0.879</v>
      </c>
      <c r="K33" s="129">
        <v>0.92500000000000004</v>
      </c>
      <c r="L33" s="129">
        <v>0.97599999999999998</v>
      </c>
      <c r="M33" s="129"/>
    </row>
    <row r="34" spans="1:13" x14ac:dyDescent="0.25">
      <c r="A34" s="128">
        <v>7</v>
      </c>
      <c r="B34" s="129">
        <v>0.61599999999999999</v>
      </c>
      <c r="C34" s="129">
        <v>0.64100000000000001</v>
      </c>
      <c r="D34" s="129">
        <v>0.66900000000000004</v>
      </c>
      <c r="E34" s="129">
        <v>0.69799999999999995</v>
      </c>
      <c r="F34" s="129">
        <v>0.72899999999999998</v>
      </c>
      <c r="G34" s="129">
        <v>0.76300000000000001</v>
      </c>
      <c r="H34" s="129">
        <v>0.8</v>
      </c>
      <c r="I34" s="129">
        <v>0.83899999999999997</v>
      </c>
      <c r="J34" s="129">
        <v>0.88200000000000001</v>
      </c>
      <c r="K34" s="129">
        <v>0.92900000000000005</v>
      </c>
      <c r="L34" s="129">
        <v>0.98</v>
      </c>
      <c r="M34" s="129"/>
    </row>
    <row r="35" spans="1:13" x14ac:dyDescent="0.25">
      <c r="A35" s="128">
        <v>8</v>
      </c>
      <c r="B35" s="129">
        <v>0.61799999999999999</v>
      </c>
      <c r="C35" s="129">
        <v>0.64400000000000002</v>
      </c>
      <c r="D35" s="129">
        <v>0.67100000000000004</v>
      </c>
      <c r="E35" s="129">
        <v>0.7</v>
      </c>
      <c r="F35" s="129">
        <v>0.73199999999999998</v>
      </c>
      <c r="G35" s="129">
        <v>0.76600000000000001</v>
      </c>
      <c r="H35" s="129">
        <v>0.80300000000000005</v>
      </c>
      <c r="I35" s="129">
        <v>0.84299999999999997</v>
      </c>
      <c r="J35" s="129">
        <v>0.88600000000000001</v>
      </c>
      <c r="K35" s="129">
        <v>0.93300000000000005</v>
      </c>
      <c r="L35" s="129">
        <v>0.98499999999999999</v>
      </c>
      <c r="M35" s="129"/>
    </row>
    <row r="36" spans="1:13" x14ac:dyDescent="0.25">
      <c r="A36" s="128">
        <v>9</v>
      </c>
      <c r="B36" s="129">
        <v>0.62</v>
      </c>
      <c r="C36" s="129">
        <v>0.64600000000000002</v>
      </c>
      <c r="D36" s="129">
        <v>0.67300000000000004</v>
      </c>
      <c r="E36" s="129">
        <v>0.70299999999999996</v>
      </c>
      <c r="F36" s="129">
        <v>0.73499999999999999</v>
      </c>
      <c r="G36" s="129">
        <v>0.76900000000000002</v>
      </c>
      <c r="H36" s="129">
        <v>0.80600000000000005</v>
      </c>
      <c r="I36" s="129">
        <v>0.84599999999999997</v>
      </c>
      <c r="J36" s="129">
        <v>0.89</v>
      </c>
      <c r="K36" s="129">
        <v>0.93700000000000006</v>
      </c>
      <c r="L36" s="129">
        <v>0.98899999999999999</v>
      </c>
      <c r="M36" s="129"/>
    </row>
    <row r="37" spans="1:13" x14ac:dyDescent="0.25">
      <c r="A37" s="128">
        <v>10</v>
      </c>
      <c r="B37" s="129">
        <v>0.622</v>
      </c>
      <c r="C37" s="129">
        <v>0.64800000000000002</v>
      </c>
      <c r="D37" s="129">
        <v>0.67600000000000005</v>
      </c>
      <c r="E37" s="129">
        <v>0.70499999999999996</v>
      </c>
      <c r="F37" s="129">
        <v>0.73699999999999999</v>
      </c>
      <c r="G37" s="129">
        <v>0.77200000000000002</v>
      </c>
      <c r="H37" s="129">
        <v>0.80900000000000005</v>
      </c>
      <c r="I37" s="129">
        <v>0.84899999999999998</v>
      </c>
      <c r="J37" s="129">
        <v>0.89300000000000002</v>
      </c>
      <c r="K37" s="129">
        <v>0.94099999999999995</v>
      </c>
      <c r="L37" s="129">
        <v>0.99299999999999999</v>
      </c>
      <c r="M37" s="129"/>
    </row>
    <row r="38" spans="1:13" x14ac:dyDescent="0.25">
      <c r="A38" s="128">
        <v>11</v>
      </c>
      <c r="B38" s="129">
        <v>0.624</v>
      </c>
      <c r="C38" s="129">
        <v>0.65</v>
      </c>
      <c r="D38" s="129">
        <v>0.67800000000000005</v>
      </c>
      <c r="E38" s="129">
        <v>0.70799999999999996</v>
      </c>
      <c r="F38" s="129">
        <v>0.74</v>
      </c>
      <c r="G38" s="129">
        <v>0.77500000000000002</v>
      </c>
      <c r="H38" s="129">
        <v>0.81200000000000006</v>
      </c>
      <c r="I38" s="129">
        <v>0.85299999999999998</v>
      </c>
      <c r="J38" s="129">
        <v>0.89700000000000002</v>
      </c>
      <c r="K38" s="129">
        <v>0.94499999999999995</v>
      </c>
      <c r="L38" s="129">
        <v>0.998</v>
      </c>
      <c r="M38" s="129"/>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5" customHeight="1" x14ac:dyDescent="0.25">
      <c r="A44"/>
      <c r="B44"/>
    </row>
    <row r="45" spans="1:13" x14ac:dyDescent="0.25">
      <c r="A45"/>
      <c r="B45"/>
    </row>
    <row r="46" spans="1:13" ht="27.65"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707" priority="3" stopIfTrue="1">
      <formula>MOD(ROW(),2)=0</formula>
    </cfRule>
    <cfRule type="expression" dxfId="706" priority="4" stopIfTrue="1">
      <formula>MOD(ROW(),2)&lt;&gt;0</formula>
    </cfRule>
  </conditionalFormatting>
  <conditionalFormatting sqref="A26:A38">
    <cfRule type="expression" dxfId="705" priority="7" stopIfTrue="1">
      <formula>MOD(ROW(),2)=0</formula>
    </cfRule>
    <cfRule type="expression" dxfId="704" priority="8" stopIfTrue="1">
      <formula>MOD(ROW(),2)&lt;&gt;0</formula>
    </cfRule>
  </conditionalFormatting>
  <conditionalFormatting sqref="B18 B20:B21">
    <cfRule type="expression" dxfId="703" priority="19" stopIfTrue="1">
      <formula>MOD(ROW(),2)=0</formula>
    </cfRule>
    <cfRule type="expression" dxfId="702" priority="20" stopIfTrue="1">
      <formula>MOD(ROW(),2)&lt;&gt;0</formula>
    </cfRule>
  </conditionalFormatting>
  <conditionalFormatting sqref="B19">
    <cfRule type="expression" dxfId="701" priority="1" stopIfTrue="1">
      <formula>MOD(ROW(),2)=0</formula>
    </cfRule>
    <cfRule type="expression" dxfId="700" priority="2" stopIfTrue="1">
      <formula>MOD(ROW(),2)&lt;&gt;0</formula>
    </cfRule>
  </conditionalFormatting>
  <conditionalFormatting sqref="B6:M6 C7:M7 C18:M21">
    <cfRule type="expression" dxfId="699" priority="29" stopIfTrue="1">
      <formula>MOD(ROW(),2)=0</formula>
    </cfRule>
    <cfRule type="expression" dxfId="698" priority="30" stopIfTrue="1">
      <formula>MOD(ROW(),2)&lt;&gt;0</formula>
    </cfRule>
  </conditionalFormatting>
  <conditionalFormatting sqref="B6:M21">
    <cfRule type="expression" dxfId="697" priority="11" stopIfTrue="1">
      <formula>MOD(ROW(),2)=0</formula>
    </cfRule>
    <cfRule type="expression" dxfId="696" priority="12" stopIfTrue="1">
      <formula>MOD(ROW(),2)&lt;&gt;0</formula>
    </cfRule>
  </conditionalFormatting>
  <conditionalFormatting sqref="B8:M17">
    <cfRule type="expression" dxfId="695" priority="13" stopIfTrue="1">
      <formula>MOD(ROW(),2)=0</formula>
    </cfRule>
    <cfRule type="expression" dxfId="694" priority="14" stopIfTrue="1">
      <formula>MOD(ROW(),2)&lt;&gt;0</formula>
    </cfRule>
  </conditionalFormatting>
  <conditionalFormatting sqref="B26:M38">
    <cfRule type="expression" dxfId="693" priority="9" stopIfTrue="1">
      <formula>MOD(ROW(),2)=0</formula>
    </cfRule>
    <cfRule type="expression" dxfId="692" priority="10" stopIfTrue="1">
      <formula>MOD(ROW(),2)&lt;&gt;0</formula>
    </cfRule>
  </conditionalFormatting>
  <hyperlinks>
    <hyperlink ref="B24" location="Assumptions!A1" display="Assumptions" xr:uid="{D2159AC1-8C23-4671-B3C9-F981F4F772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9"/>
  <dimension ref="A1:Q65"/>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c r="E1" s="54"/>
      <c r="F1" s="54"/>
      <c r="G1" s="54"/>
      <c r="H1" s="54"/>
      <c r="I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7" ht="15.5" x14ac:dyDescent="0.35">
      <c r="A3" s="57" t="str">
        <f>TABLE_FACTOR_TYPE_1&amp;" - x-"&amp;TABLE_SERIES_NUMBER_1</f>
        <v>LRF - x-416</v>
      </c>
      <c r="B3" s="56"/>
      <c r="C3" s="56"/>
      <c r="D3" s="56"/>
      <c r="E3" s="56"/>
      <c r="F3" s="56"/>
      <c r="G3" s="56"/>
      <c r="H3" s="56"/>
      <c r="I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316</v>
      </c>
      <c r="C7" s="111"/>
      <c r="D7" s="111"/>
      <c r="E7" s="111"/>
      <c r="F7" s="111"/>
      <c r="G7" s="111"/>
      <c r="H7" s="111"/>
      <c r="I7" s="111"/>
      <c r="J7" s="111"/>
      <c r="K7" s="111"/>
      <c r="L7" s="111"/>
      <c r="M7" s="111"/>
      <c r="N7" s="111"/>
      <c r="O7" s="111"/>
      <c r="P7" s="111"/>
      <c r="Q7" s="111"/>
    </row>
    <row r="8" spans="1:17" x14ac:dyDescent="0.25">
      <c r="A8" s="87" t="s">
        <v>798</v>
      </c>
      <c r="B8" s="111" t="s">
        <v>92</v>
      </c>
      <c r="C8" s="111"/>
      <c r="D8" s="111"/>
      <c r="E8" s="111"/>
      <c r="F8" s="111"/>
      <c r="G8" s="111"/>
      <c r="H8" s="111"/>
      <c r="I8" s="111"/>
      <c r="J8" s="111"/>
      <c r="K8" s="111"/>
      <c r="L8" s="111"/>
      <c r="M8" s="111"/>
      <c r="N8" s="111"/>
      <c r="O8" s="111"/>
      <c r="P8" s="111"/>
      <c r="Q8" s="111"/>
    </row>
    <row r="9" spans="1:17" x14ac:dyDescent="0.25">
      <c r="A9" s="87" t="s">
        <v>300</v>
      </c>
      <c r="B9" s="111" t="s">
        <v>488</v>
      </c>
      <c r="C9" s="111"/>
      <c r="D9" s="111"/>
      <c r="E9" s="111"/>
      <c r="F9" s="111"/>
      <c r="G9" s="111"/>
      <c r="H9" s="111"/>
      <c r="I9" s="111"/>
      <c r="J9" s="111"/>
      <c r="K9" s="111"/>
      <c r="L9" s="111"/>
      <c r="M9" s="111"/>
      <c r="N9" s="111"/>
      <c r="O9" s="111"/>
      <c r="P9" s="111"/>
      <c r="Q9" s="111"/>
    </row>
    <row r="10" spans="1:17" x14ac:dyDescent="0.25">
      <c r="A10" s="87" t="s">
        <v>6</v>
      </c>
      <c r="B10" s="111" t="s">
        <v>489</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490</v>
      </c>
      <c r="C12" s="111"/>
      <c r="D12" s="111"/>
      <c r="E12" s="111"/>
      <c r="F12" s="111"/>
      <c r="G12" s="111"/>
      <c r="H12" s="111"/>
      <c r="I12" s="111"/>
      <c r="J12" s="111"/>
      <c r="K12" s="111"/>
      <c r="L12" s="111"/>
      <c r="M12" s="111"/>
      <c r="N12" s="111"/>
      <c r="O12" s="111"/>
      <c r="P12" s="111"/>
      <c r="Q12" s="111"/>
    </row>
    <row r="13" spans="1:17" x14ac:dyDescent="0.25">
      <c r="A13" s="87" t="s">
        <v>813</v>
      </c>
      <c r="B13" s="111">
        <v>0</v>
      </c>
      <c r="C13" s="111"/>
      <c r="D13" s="111"/>
      <c r="E13" s="111"/>
      <c r="F13" s="111"/>
      <c r="G13" s="111"/>
      <c r="H13" s="111"/>
      <c r="I13" s="111"/>
      <c r="J13" s="111"/>
      <c r="K13" s="111"/>
      <c r="L13" s="111"/>
      <c r="M13" s="111"/>
      <c r="N13" s="111"/>
      <c r="O13" s="111"/>
      <c r="P13" s="111"/>
      <c r="Q13" s="111"/>
    </row>
    <row r="14" spans="1:17" x14ac:dyDescent="0.25">
      <c r="A14" s="87" t="s">
        <v>304</v>
      </c>
      <c r="B14" s="111">
        <v>416</v>
      </c>
      <c r="C14" s="111"/>
      <c r="D14" s="111"/>
      <c r="E14" s="111"/>
      <c r="F14" s="111"/>
      <c r="G14" s="111"/>
      <c r="H14" s="111"/>
      <c r="I14" s="111"/>
      <c r="J14" s="111"/>
      <c r="K14" s="111"/>
      <c r="L14" s="111"/>
      <c r="M14" s="111"/>
      <c r="N14" s="111"/>
      <c r="O14" s="111"/>
      <c r="P14" s="111"/>
      <c r="Q14" s="111"/>
    </row>
    <row r="15" spans="1:17" x14ac:dyDescent="0.25">
      <c r="A15" s="87" t="s">
        <v>727</v>
      </c>
      <c r="B15" s="111" t="s">
        <v>491</v>
      </c>
      <c r="C15" s="111"/>
      <c r="D15" s="111"/>
      <c r="E15" s="111"/>
      <c r="F15" s="111"/>
      <c r="G15" s="111"/>
      <c r="H15" s="111"/>
      <c r="I15" s="111"/>
      <c r="J15" s="111"/>
      <c r="K15" s="111"/>
      <c r="L15" s="111"/>
      <c r="M15" s="111"/>
      <c r="N15" s="111"/>
      <c r="O15" s="111"/>
      <c r="P15" s="111"/>
      <c r="Q15" s="111"/>
    </row>
    <row r="16" spans="1:17" x14ac:dyDescent="0.25">
      <c r="A16" s="87" t="s">
        <v>306</v>
      </c>
      <c r="B16" s="111" t="s">
        <v>492</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3" spans="1:17" x14ac:dyDescent="0.25">
      <c r="B23" s="104" t="str">
        <f>HYPERLINK("#'Factor List'!A1","Back to Factor List")</f>
        <v>Back to Factor List</v>
      </c>
    </row>
    <row r="24" spans="1:17" x14ac:dyDescent="0.25">
      <c r="B24" s="104" t="s">
        <v>13</v>
      </c>
    </row>
    <row r="26" spans="1:17" ht="13" x14ac:dyDescent="0.25">
      <c r="A26" s="108" t="s">
        <v>839</v>
      </c>
      <c r="B26" s="108">
        <v>65</v>
      </c>
      <c r="C26" s="108">
        <v>66</v>
      </c>
      <c r="D26" s="108">
        <v>67</v>
      </c>
      <c r="E26" s="108">
        <v>68</v>
      </c>
      <c r="F26" s="108">
        <v>69</v>
      </c>
      <c r="G26" s="108">
        <v>70</v>
      </c>
      <c r="H26" s="108">
        <v>71</v>
      </c>
      <c r="I26" s="108">
        <v>72</v>
      </c>
      <c r="J26" s="108">
        <v>73</v>
      </c>
      <c r="K26" s="108">
        <v>74</v>
      </c>
      <c r="L26" s="108">
        <v>75</v>
      </c>
      <c r="M26" s="108">
        <v>76</v>
      </c>
      <c r="N26" s="108">
        <v>77</v>
      </c>
      <c r="O26" s="108">
        <v>78</v>
      </c>
      <c r="P26" s="108">
        <v>79</v>
      </c>
      <c r="Q26" s="108">
        <v>80</v>
      </c>
    </row>
    <row r="27" spans="1:17" x14ac:dyDescent="0.25">
      <c r="A27" s="109">
        <v>0</v>
      </c>
      <c r="B27" s="126">
        <v>1</v>
      </c>
      <c r="C27" s="126">
        <v>1.0549999999999999</v>
      </c>
      <c r="D27" s="126">
        <v>1.119</v>
      </c>
      <c r="E27" s="126">
        <v>1.1890000000000001</v>
      </c>
      <c r="F27" s="126">
        <v>1.266</v>
      </c>
      <c r="G27" s="126">
        <v>1.349</v>
      </c>
      <c r="H27" s="126">
        <v>1.444</v>
      </c>
      <c r="I27" s="126">
        <v>1.5489999999999999</v>
      </c>
      <c r="J27" s="126">
        <v>1.665</v>
      </c>
      <c r="K27" s="126">
        <v>1.794</v>
      </c>
      <c r="L27" s="126">
        <v>1.929</v>
      </c>
      <c r="M27" s="126">
        <v>2.0859999999999999</v>
      </c>
      <c r="N27" s="126">
        <v>2.2610000000000001</v>
      </c>
      <c r="O27" s="126">
        <v>2.4550000000000001</v>
      </c>
      <c r="P27" s="126">
        <v>2.67</v>
      </c>
      <c r="Q27" s="126">
        <v>2.8969999999999998</v>
      </c>
    </row>
    <row r="28" spans="1:17" x14ac:dyDescent="0.25">
      <c r="A28" s="109">
        <v>1</v>
      </c>
      <c r="B28" s="126">
        <v>1.0049999999999999</v>
      </c>
      <c r="C28" s="126">
        <v>1.0609999999999999</v>
      </c>
      <c r="D28" s="126">
        <v>1.125</v>
      </c>
      <c r="E28" s="126">
        <v>1.1950000000000001</v>
      </c>
      <c r="F28" s="126">
        <v>1.2729999999999999</v>
      </c>
      <c r="G28" s="126">
        <v>1.357</v>
      </c>
      <c r="H28" s="126">
        <v>1.4530000000000001</v>
      </c>
      <c r="I28" s="126">
        <v>1.5589999999999999</v>
      </c>
      <c r="J28" s="126">
        <v>1.6759999999999999</v>
      </c>
      <c r="K28" s="126">
        <v>1.8049999999999999</v>
      </c>
      <c r="L28" s="126">
        <v>1.9419999999999999</v>
      </c>
      <c r="M28" s="126">
        <v>2.1</v>
      </c>
      <c r="N28" s="126">
        <v>2.2770000000000001</v>
      </c>
      <c r="O28" s="126">
        <v>2.4729999999999999</v>
      </c>
      <c r="P28" s="126">
        <v>2.6890000000000001</v>
      </c>
      <c r="Q28" s="126"/>
    </row>
    <row r="29" spans="1:17" x14ac:dyDescent="0.25">
      <c r="A29" s="109">
        <v>2</v>
      </c>
      <c r="B29" s="126">
        <v>1.0089999999999999</v>
      </c>
      <c r="C29" s="126">
        <v>1.0660000000000001</v>
      </c>
      <c r="D29" s="126">
        <v>1.131</v>
      </c>
      <c r="E29" s="126">
        <v>1.202</v>
      </c>
      <c r="F29" s="126">
        <v>1.28</v>
      </c>
      <c r="G29" s="126">
        <v>1.365</v>
      </c>
      <c r="H29" s="126">
        <v>1.462</v>
      </c>
      <c r="I29" s="126">
        <v>1.5680000000000001</v>
      </c>
      <c r="J29" s="126">
        <v>1.6870000000000001</v>
      </c>
      <c r="K29" s="126">
        <v>1.8160000000000001</v>
      </c>
      <c r="L29" s="126">
        <v>1.9550000000000001</v>
      </c>
      <c r="M29" s="126">
        <v>2.1150000000000002</v>
      </c>
      <c r="N29" s="126">
        <v>2.2930000000000001</v>
      </c>
      <c r="O29" s="126">
        <v>2.4910000000000001</v>
      </c>
      <c r="P29" s="126">
        <v>2.7080000000000002</v>
      </c>
      <c r="Q29" s="126"/>
    </row>
    <row r="30" spans="1:17" x14ac:dyDescent="0.25">
      <c r="A30" s="109">
        <v>3</v>
      </c>
      <c r="B30" s="126">
        <v>1.014</v>
      </c>
      <c r="C30" s="126">
        <v>1.071</v>
      </c>
      <c r="D30" s="126">
        <v>1.1359999999999999</v>
      </c>
      <c r="E30" s="126">
        <v>1.208</v>
      </c>
      <c r="F30" s="126">
        <v>1.2869999999999999</v>
      </c>
      <c r="G30" s="126">
        <v>1.373</v>
      </c>
      <c r="H30" s="126">
        <v>1.47</v>
      </c>
      <c r="I30" s="126">
        <v>1.5780000000000001</v>
      </c>
      <c r="J30" s="126">
        <v>1.6970000000000001</v>
      </c>
      <c r="K30" s="126">
        <v>1.827</v>
      </c>
      <c r="L30" s="126">
        <v>1.968</v>
      </c>
      <c r="M30" s="126">
        <v>2.129</v>
      </c>
      <c r="N30" s="126">
        <v>2.3090000000000002</v>
      </c>
      <c r="O30" s="126">
        <v>2.5089999999999999</v>
      </c>
      <c r="P30" s="126">
        <v>2.7269999999999999</v>
      </c>
      <c r="Q30" s="126"/>
    </row>
    <row r="31" spans="1:17" x14ac:dyDescent="0.25">
      <c r="A31" s="109">
        <v>4</v>
      </c>
      <c r="B31" s="126">
        <v>1.018</v>
      </c>
      <c r="C31" s="126">
        <v>1.0760000000000001</v>
      </c>
      <c r="D31" s="126">
        <v>1.1419999999999999</v>
      </c>
      <c r="E31" s="126">
        <v>1.2150000000000001</v>
      </c>
      <c r="F31" s="126">
        <v>1.294</v>
      </c>
      <c r="G31" s="126">
        <v>1.381</v>
      </c>
      <c r="H31" s="126">
        <v>1.4790000000000001</v>
      </c>
      <c r="I31" s="126">
        <v>1.5880000000000001</v>
      </c>
      <c r="J31" s="126">
        <v>1.708</v>
      </c>
      <c r="K31" s="126">
        <v>1.839</v>
      </c>
      <c r="L31" s="126">
        <v>1.9810000000000001</v>
      </c>
      <c r="M31" s="126">
        <v>2.1440000000000001</v>
      </c>
      <c r="N31" s="126">
        <v>2.3250000000000002</v>
      </c>
      <c r="O31" s="126">
        <v>2.5270000000000001</v>
      </c>
      <c r="P31" s="126">
        <v>2.746</v>
      </c>
      <c r="Q31" s="126"/>
    </row>
    <row r="32" spans="1:17" x14ac:dyDescent="0.25">
      <c r="A32" s="109">
        <v>5</v>
      </c>
      <c r="B32" s="126">
        <v>1.0229999999999999</v>
      </c>
      <c r="C32" s="126">
        <v>1.0820000000000001</v>
      </c>
      <c r="D32" s="126">
        <v>1.1479999999999999</v>
      </c>
      <c r="E32" s="126">
        <v>1.2210000000000001</v>
      </c>
      <c r="F32" s="126">
        <v>1.3009999999999999</v>
      </c>
      <c r="G32" s="126">
        <v>1.389</v>
      </c>
      <c r="H32" s="126">
        <v>1.488</v>
      </c>
      <c r="I32" s="126">
        <v>1.597</v>
      </c>
      <c r="J32" s="126">
        <v>1.7190000000000001</v>
      </c>
      <c r="K32" s="126">
        <v>1.85</v>
      </c>
      <c r="L32" s="126">
        <v>1.994</v>
      </c>
      <c r="M32" s="126">
        <v>2.1589999999999998</v>
      </c>
      <c r="N32" s="126">
        <v>2.3420000000000001</v>
      </c>
      <c r="O32" s="126">
        <v>2.5449999999999999</v>
      </c>
      <c r="P32" s="126">
        <v>2.7650000000000001</v>
      </c>
      <c r="Q32" s="126"/>
    </row>
    <row r="33" spans="1:17" x14ac:dyDescent="0.25">
      <c r="A33" s="109">
        <v>6</v>
      </c>
      <c r="B33" s="126">
        <v>1.028</v>
      </c>
      <c r="C33" s="126">
        <v>1.087</v>
      </c>
      <c r="D33" s="126">
        <v>1.1539999999999999</v>
      </c>
      <c r="E33" s="126">
        <v>1.228</v>
      </c>
      <c r="F33" s="126">
        <v>1.3080000000000001</v>
      </c>
      <c r="G33" s="126">
        <v>1.397</v>
      </c>
      <c r="H33" s="126">
        <v>1.4970000000000001</v>
      </c>
      <c r="I33" s="126">
        <v>1.607</v>
      </c>
      <c r="J33" s="126">
        <v>1.7290000000000001</v>
      </c>
      <c r="K33" s="126">
        <v>1.861</v>
      </c>
      <c r="L33" s="126">
        <v>2.0070000000000001</v>
      </c>
      <c r="M33" s="126">
        <v>2.173</v>
      </c>
      <c r="N33" s="126">
        <v>2.3580000000000001</v>
      </c>
      <c r="O33" s="126">
        <v>2.5630000000000002</v>
      </c>
      <c r="P33" s="126">
        <v>2.7839999999999998</v>
      </c>
      <c r="Q33" s="126"/>
    </row>
    <row r="34" spans="1:17" x14ac:dyDescent="0.25">
      <c r="A34" s="109">
        <v>7</v>
      </c>
      <c r="B34" s="126">
        <v>1.032</v>
      </c>
      <c r="C34" s="126">
        <v>1.0920000000000001</v>
      </c>
      <c r="D34" s="126">
        <v>1.1599999999999999</v>
      </c>
      <c r="E34" s="126">
        <v>1.234</v>
      </c>
      <c r="F34" s="126">
        <v>1.3149999999999999</v>
      </c>
      <c r="G34" s="126">
        <v>1.405</v>
      </c>
      <c r="H34" s="126">
        <v>1.5049999999999999</v>
      </c>
      <c r="I34" s="126">
        <v>1.617</v>
      </c>
      <c r="J34" s="126">
        <v>1.74</v>
      </c>
      <c r="K34" s="126">
        <v>1.8720000000000001</v>
      </c>
      <c r="L34" s="126">
        <v>2.02</v>
      </c>
      <c r="M34" s="126">
        <v>2.1880000000000002</v>
      </c>
      <c r="N34" s="126">
        <v>2.3740000000000001</v>
      </c>
      <c r="O34" s="126">
        <v>2.581</v>
      </c>
      <c r="P34" s="126">
        <v>2.8029999999999999</v>
      </c>
      <c r="Q34" s="126"/>
    </row>
    <row r="35" spans="1:17" x14ac:dyDescent="0.25">
      <c r="A35" s="109">
        <v>8</v>
      </c>
      <c r="B35" s="126">
        <v>1.0369999999999999</v>
      </c>
      <c r="C35" s="126">
        <v>1.0980000000000001</v>
      </c>
      <c r="D35" s="126">
        <v>1.1659999999999999</v>
      </c>
      <c r="E35" s="126">
        <v>1.2410000000000001</v>
      </c>
      <c r="F35" s="126">
        <v>1.3220000000000001</v>
      </c>
      <c r="G35" s="126">
        <v>1.413</v>
      </c>
      <c r="H35" s="126">
        <v>1.514</v>
      </c>
      <c r="I35" s="126">
        <v>1.6259999999999999</v>
      </c>
      <c r="J35" s="126">
        <v>1.7509999999999999</v>
      </c>
      <c r="K35" s="126">
        <v>1.8839999999999999</v>
      </c>
      <c r="L35" s="126">
        <v>2.0329999999999999</v>
      </c>
      <c r="M35" s="126">
        <v>2.202</v>
      </c>
      <c r="N35" s="126">
        <v>2.39</v>
      </c>
      <c r="O35" s="126">
        <v>2.5990000000000002</v>
      </c>
      <c r="P35" s="126">
        <v>2.8220000000000001</v>
      </c>
      <c r="Q35" s="126"/>
    </row>
    <row r="36" spans="1:17" x14ac:dyDescent="0.25">
      <c r="A36" s="109">
        <v>9</v>
      </c>
      <c r="B36" s="126">
        <v>1.0409999999999999</v>
      </c>
      <c r="C36" s="126">
        <v>1.103</v>
      </c>
      <c r="D36" s="126">
        <v>1.171</v>
      </c>
      <c r="E36" s="126">
        <v>1.2470000000000001</v>
      </c>
      <c r="F36" s="126">
        <v>1.329</v>
      </c>
      <c r="G36" s="126">
        <v>1.421</v>
      </c>
      <c r="H36" s="126">
        <v>1.5229999999999999</v>
      </c>
      <c r="I36" s="126">
        <v>1.6359999999999999</v>
      </c>
      <c r="J36" s="126">
        <v>1.7609999999999999</v>
      </c>
      <c r="K36" s="126">
        <v>1.895</v>
      </c>
      <c r="L36" s="126">
        <v>2.0459999999999998</v>
      </c>
      <c r="M36" s="126">
        <v>2.2170000000000001</v>
      </c>
      <c r="N36" s="126">
        <v>2.4060000000000001</v>
      </c>
      <c r="O36" s="126">
        <v>2.617</v>
      </c>
      <c r="P36" s="126">
        <v>2.84</v>
      </c>
      <c r="Q36" s="126"/>
    </row>
    <row r="37" spans="1:17" x14ac:dyDescent="0.25">
      <c r="A37" s="109">
        <v>10</v>
      </c>
      <c r="B37" s="126">
        <v>1.046</v>
      </c>
      <c r="C37" s="126">
        <v>1.1080000000000001</v>
      </c>
      <c r="D37" s="126">
        <v>1.177</v>
      </c>
      <c r="E37" s="126">
        <v>1.254</v>
      </c>
      <c r="F37" s="126">
        <v>1.3360000000000001</v>
      </c>
      <c r="G37" s="126">
        <v>1.4279999999999999</v>
      </c>
      <c r="H37" s="126">
        <v>1.532</v>
      </c>
      <c r="I37" s="126">
        <v>1.6459999999999999</v>
      </c>
      <c r="J37" s="126">
        <v>1.772</v>
      </c>
      <c r="K37" s="126">
        <v>1.9059999999999999</v>
      </c>
      <c r="L37" s="126">
        <v>2.0590000000000002</v>
      </c>
      <c r="M37" s="126">
        <v>2.2309999999999999</v>
      </c>
      <c r="N37" s="126">
        <v>2.423</v>
      </c>
      <c r="O37" s="126">
        <v>2.6349999999999998</v>
      </c>
      <c r="P37" s="126">
        <v>2.859</v>
      </c>
      <c r="Q37" s="126"/>
    </row>
    <row r="38" spans="1:17" x14ac:dyDescent="0.25">
      <c r="A38" s="109">
        <v>11</v>
      </c>
      <c r="B38" s="126">
        <v>1.0509999999999999</v>
      </c>
      <c r="C38" s="126">
        <v>1.1140000000000001</v>
      </c>
      <c r="D38" s="126">
        <v>1.1830000000000001</v>
      </c>
      <c r="E38" s="126">
        <v>1.26</v>
      </c>
      <c r="F38" s="126">
        <v>1.3420000000000001</v>
      </c>
      <c r="G38" s="126">
        <v>1.4359999999999999</v>
      </c>
      <c r="H38" s="126">
        <v>1.54</v>
      </c>
      <c r="I38" s="126">
        <v>1.655</v>
      </c>
      <c r="J38" s="126">
        <v>1.7829999999999999</v>
      </c>
      <c r="K38" s="126">
        <v>1.917</v>
      </c>
      <c r="L38" s="126">
        <v>2.073</v>
      </c>
      <c r="M38" s="126">
        <v>2.246</v>
      </c>
      <c r="N38" s="126">
        <v>2.4390000000000001</v>
      </c>
      <c r="O38" s="126">
        <v>2.6520000000000001</v>
      </c>
      <c r="P38" s="126">
        <v>2.8780000000000001</v>
      </c>
      <c r="Q38" s="126"/>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5" customHeight="1" x14ac:dyDescent="0.25">
      <c r="A44"/>
      <c r="B44"/>
    </row>
    <row r="45" spans="1:17" x14ac:dyDescent="0.25">
      <c r="A45"/>
      <c r="B45"/>
    </row>
    <row r="46" spans="1:17" ht="27.65"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691" priority="3" stopIfTrue="1">
      <formula>MOD(ROW(),2)=0</formula>
    </cfRule>
    <cfRule type="expression" dxfId="690" priority="4" stopIfTrue="1">
      <formula>MOD(ROW(),2)&lt;&gt;0</formula>
    </cfRule>
  </conditionalFormatting>
  <conditionalFormatting sqref="A26:A38">
    <cfRule type="expression" dxfId="689" priority="7" stopIfTrue="1">
      <formula>MOD(ROW(),2)=0</formula>
    </cfRule>
    <cfRule type="expression" dxfId="688" priority="8" stopIfTrue="1">
      <formula>MOD(ROW(),2)&lt;&gt;0</formula>
    </cfRule>
  </conditionalFormatting>
  <conditionalFormatting sqref="B18:B21">
    <cfRule type="expression" dxfId="687" priority="1" stopIfTrue="1">
      <formula>MOD(ROW(),2)=0</formula>
    </cfRule>
    <cfRule type="expression" dxfId="686" priority="2" stopIfTrue="1">
      <formula>MOD(ROW(),2)&lt;&gt;0</formula>
    </cfRule>
  </conditionalFormatting>
  <conditionalFormatting sqref="B6:Q21">
    <cfRule type="expression" dxfId="685" priority="21" stopIfTrue="1">
      <formula>MOD(ROW(),2)=0</formula>
    </cfRule>
    <cfRule type="expression" dxfId="684" priority="22" stopIfTrue="1">
      <formula>MOD(ROW(),2)&lt;&gt;0</formula>
    </cfRule>
  </conditionalFormatting>
  <conditionalFormatting sqref="B26:Q38">
    <cfRule type="expression" dxfId="683" priority="9" stopIfTrue="1">
      <formula>MOD(ROW(),2)=0</formula>
    </cfRule>
    <cfRule type="expression" dxfId="682" priority="10" stopIfTrue="1">
      <formula>MOD(ROW(),2)&lt;&gt;0</formula>
    </cfRule>
  </conditionalFormatting>
  <hyperlinks>
    <hyperlink ref="B24" location="Assumptions!A1" display="Assumptions" xr:uid="{9BDEBDF7-6509-45C3-A284-B41A9BABC5B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0"/>
  <dimension ref="A1:Q65"/>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c r="E1" s="54"/>
      <c r="F1" s="54"/>
      <c r="G1" s="54"/>
      <c r="H1" s="54"/>
      <c r="I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7" ht="15.5" x14ac:dyDescent="0.35">
      <c r="A3" s="57" t="str">
        <f>TABLE_FACTOR_TYPE_1&amp;" - x-"&amp;TABLE_SERIES_NUMBER_1</f>
        <v>LRF - x-417</v>
      </c>
      <c r="B3" s="56"/>
      <c r="C3" s="56"/>
      <c r="D3" s="56"/>
      <c r="E3" s="56"/>
      <c r="F3" s="56"/>
      <c r="G3" s="56"/>
      <c r="H3" s="56"/>
      <c r="I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316</v>
      </c>
      <c r="C7" s="111"/>
      <c r="D7" s="111"/>
      <c r="E7" s="111"/>
      <c r="F7" s="111"/>
      <c r="G7" s="111"/>
      <c r="H7" s="111"/>
      <c r="I7" s="111"/>
      <c r="J7" s="111"/>
      <c r="K7" s="111"/>
      <c r="L7" s="111"/>
      <c r="M7" s="111"/>
      <c r="N7" s="111"/>
      <c r="O7" s="111"/>
      <c r="P7" s="111"/>
      <c r="Q7" s="111"/>
    </row>
    <row r="8" spans="1:17" x14ac:dyDescent="0.25">
      <c r="A8" s="87" t="s">
        <v>798</v>
      </c>
      <c r="B8" s="111" t="s">
        <v>92</v>
      </c>
      <c r="C8" s="111"/>
      <c r="D8" s="111"/>
      <c r="E8" s="111"/>
      <c r="F8" s="111"/>
      <c r="G8" s="111"/>
      <c r="H8" s="111"/>
      <c r="I8" s="111"/>
      <c r="J8" s="111"/>
      <c r="K8" s="111"/>
      <c r="L8" s="111"/>
      <c r="M8" s="111"/>
      <c r="N8" s="111"/>
      <c r="O8" s="111"/>
      <c r="P8" s="111"/>
      <c r="Q8" s="111"/>
    </row>
    <row r="9" spans="1:17" x14ac:dyDescent="0.25">
      <c r="A9" s="87" t="s">
        <v>300</v>
      </c>
      <c r="B9" s="111" t="s">
        <v>488</v>
      </c>
      <c r="C9" s="111"/>
      <c r="D9" s="111"/>
      <c r="E9" s="111"/>
      <c r="F9" s="111"/>
      <c r="G9" s="111"/>
      <c r="H9" s="111"/>
      <c r="I9" s="111"/>
      <c r="J9" s="111"/>
      <c r="K9" s="111"/>
      <c r="L9" s="111"/>
      <c r="M9" s="111"/>
      <c r="N9" s="111"/>
      <c r="O9" s="111"/>
      <c r="P9" s="111"/>
      <c r="Q9" s="111"/>
    </row>
    <row r="10" spans="1:17" x14ac:dyDescent="0.25">
      <c r="A10" s="87" t="s">
        <v>6</v>
      </c>
      <c r="B10" s="111" t="s">
        <v>495</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490</v>
      </c>
      <c r="C12" s="111"/>
      <c r="D12" s="111"/>
      <c r="E12" s="111"/>
      <c r="F12" s="111"/>
      <c r="G12" s="111"/>
      <c r="H12" s="111"/>
      <c r="I12" s="111"/>
      <c r="J12" s="111"/>
      <c r="K12" s="111"/>
      <c r="L12" s="111"/>
      <c r="M12" s="111"/>
      <c r="N12" s="111"/>
      <c r="O12" s="111"/>
      <c r="P12" s="111"/>
      <c r="Q12" s="111"/>
    </row>
    <row r="13" spans="1:17" x14ac:dyDescent="0.25">
      <c r="A13" s="87" t="s">
        <v>813</v>
      </c>
      <c r="B13" s="111">
        <v>0</v>
      </c>
      <c r="C13" s="111"/>
      <c r="D13" s="111"/>
      <c r="E13" s="111"/>
      <c r="F13" s="111"/>
      <c r="G13" s="111"/>
      <c r="H13" s="111"/>
      <c r="I13" s="111"/>
      <c r="J13" s="111"/>
      <c r="K13" s="111"/>
      <c r="L13" s="111"/>
      <c r="M13" s="111"/>
      <c r="N13" s="111"/>
      <c r="O13" s="111"/>
      <c r="P13" s="111"/>
      <c r="Q13" s="111"/>
    </row>
    <row r="14" spans="1:17" x14ac:dyDescent="0.25">
      <c r="A14" s="87" t="s">
        <v>304</v>
      </c>
      <c r="B14" s="111">
        <v>417</v>
      </c>
      <c r="C14" s="111"/>
      <c r="D14" s="111"/>
      <c r="E14" s="111"/>
      <c r="F14" s="111"/>
      <c r="G14" s="111"/>
      <c r="H14" s="111"/>
      <c r="I14" s="111"/>
      <c r="J14" s="111"/>
      <c r="K14" s="111"/>
      <c r="L14" s="111"/>
      <c r="M14" s="111"/>
      <c r="N14" s="111"/>
      <c r="O14" s="111"/>
      <c r="P14" s="111"/>
      <c r="Q14" s="111"/>
    </row>
    <row r="15" spans="1:17" x14ac:dyDescent="0.25">
      <c r="A15" s="87" t="s">
        <v>727</v>
      </c>
      <c r="B15" s="111" t="s">
        <v>496</v>
      </c>
      <c r="C15" s="111"/>
      <c r="D15" s="111"/>
      <c r="E15" s="111"/>
      <c r="F15" s="111"/>
      <c r="G15" s="111"/>
      <c r="H15" s="111"/>
      <c r="I15" s="111"/>
      <c r="J15" s="111"/>
      <c r="K15" s="111"/>
      <c r="L15" s="111"/>
      <c r="M15" s="111"/>
      <c r="N15" s="111"/>
      <c r="O15" s="111"/>
      <c r="P15" s="111"/>
      <c r="Q15" s="111"/>
    </row>
    <row r="16" spans="1:17" x14ac:dyDescent="0.25">
      <c r="A16" s="87" t="s">
        <v>306</v>
      </c>
      <c r="B16" s="111" t="s">
        <v>497</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3" spans="1:17" x14ac:dyDescent="0.25">
      <c r="B23" s="104" t="str">
        <f>HYPERLINK("#'Factor List'!A1","Back to Factor List")</f>
        <v>Back to Factor List</v>
      </c>
    </row>
    <row r="24" spans="1:17" x14ac:dyDescent="0.25">
      <c r="B24" s="104" t="s">
        <v>13</v>
      </c>
    </row>
    <row r="26" spans="1:17" ht="13" x14ac:dyDescent="0.25">
      <c r="A26" s="108" t="s">
        <v>839</v>
      </c>
      <c r="B26" s="108">
        <v>65</v>
      </c>
      <c r="C26" s="108">
        <v>66</v>
      </c>
      <c r="D26" s="108">
        <v>67</v>
      </c>
      <c r="E26" s="108">
        <v>68</v>
      </c>
      <c r="F26" s="108">
        <v>69</v>
      </c>
      <c r="G26" s="108">
        <v>70</v>
      </c>
      <c r="H26" s="108">
        <v>71</v>
      </c>
      <c r="I26" s="108">
        <v>72</v>
      </c>
      <c r="J26" s="108">
        <v>73</v>
      </c>
      <c r="K26" s="108">
        <v>74</v>
      </c>
      <c r="L26" s="108">
        <v>75</v>
      </c>
      <c r="M26" s="108">
        <v>76</v>
      </c>
      <c r="N26" s="108">
        <v>77</v>
      </c>
      <c r="O26" s="108">
        <v>78</v>
      </c>
      <c r="P26" s="108">
        <v>79</v>
      </c>
      <c r="Q26" s="108">
        <v>80</v>
      </c>
    </row>
    <row r="27" spans="1:17" x14ac:dyDescent="0.25">
      <c r="A27" s="109">
        <v>0</v>
      </c>
      <c r="B27" s="126">
        <v>1</v>
      </c>
      <c r="C27" s="126">
        <v>1.0580000000000001</v>
      </c>
      <c r="D27" s="126">
        <v>1.125</v>
      </c>
      <c r="E27" s="126">
        <v>1.2</v>
      </c>
      <c r="F27" s="126">
        <v>1.282</v>
      </c>
      <c r="G27" s="126">
        <v>1.3740000000000001</v>
      </c>
      <c r="H27" s="126">
        <v>1.476</v>
      </c>
      <c r="I27" s="126">
        <v>1.589</v>
      </c>
      <c r="J27" s="126">
        <v>1.714</v>
      </c>
      <c r="K27" s="126">
        <v>1.853</v>
      </c>
      <c r="L27" s="126">
        <v>2.008</v>
      </c>
      <c r="M27" s="126">
        <v>2.1800000000000002</v>
      </c>
      <c r="N27" s="126">
        <v>2.371</v>
      </c>
      <c r="O27" s="126">
        <v>2.5840000000000001</v>
      </c>
      <c r="P27" s="126">
        <v>2.8210000000000002</v>
      </c>
      <c r="Q27" s="126">
        <v>3.0830000000000002</v>
      </c>
    </row>
    <row r="28" spans="1:17" x14ac:dyDescent="0.25">
      <c r="A28" s="109">
        <v>1</v>
      </c>
      <c r="B28" s="126">
        <v>1.0049999999999999</v>
      </c>
      <c r="C28" s="126">
        <v>1.0640000000000001</v>
      </c>
      <c r="D28" s="126">
        <v>1.131</v>
      </c>
      <c r="E28" s="126">
        <v>1.206</v>
      </c>
      <c r="F28" s="126">
        <v>1.29</v>
      </c>
      <c r="G28" s="126">
        <v>1.3819999999999999</v>
      </c>
      <c r="H28" s="126">
        <v>1.4850000000000001</v>
      </c>
      <c r="I28" s="126">
        <v>1.599</v>
      </c>
      <c r="J28" s="126">
        <v>1.726</v>
      </c>
      <c r="K28" s="126">
        <v>1.8660000000000001</v>
      </c>
      <c r="L28" s="126">
        <v>2.0219999999999998</v>
      </c>
      <c r="M28" s="126">
        <v>2.1960000000000002</v>
      </c>
      <c r="N28" s="126">
        <v>2.3889999999999998</v>
      </c>
      <c r="O28" s="126">
        <v>2.6040000000000001</v>
      </c>
      <c r="P28" s="126">
        <v>2.843</v>
      </c>
      <c r="Q28" s="126"/>
    </row>
    <row r="29" spans="1:17" x14ac:dyDescent="0.25">
      <c r="A29" s="109">
        <v>2</v>
      </c>
      <c r="B29" s="126">
        <v>1.01</v>
      </c>
      <c r="C29" s="126">
        <v>1.069</v>
      </c>
      <c r="D29" s="126">
        <v>1.1379999999999999</v>
      </c>
      <c r="E29" s="126">
        <v>1.2130000000000001</v>
      </c>
      <c r="F29" s="126">
        <v>1.2969999999999999</v>
      </c>
      <c r="G29" s="126">
        <v>1.391</v>
      </c>
      <c r="H29" s="126">
        <v>1.4950000000000001</v>
      </c>
      <c r="I29" s="126">
        <v>1.61</v>
      </c>
      <c r="J29" s="126">
        <v>1.7370000000000001</v>
      </c>
      <c r="K29" s="126">
        <v>1.879</v>
      </c>
      <c r="L29" s="126">
        <v>2.0369999999999999</v>
      </c>
      <c r="M29" s="126">
        <v>2.2120000000000002</v>
      </c>
      <c r="N29" s="126">
        <v>2.407</v>
      </c>
      <c r="O29" s="126">
        <v>2.6240000000000001</v>
      </c>
      <c r="P29" s="126">
        <v>2.8650000000000002</v>
      </c>
      <c r="Q29" s="126"/>
    </row>
    <row r="30" spans="1:17" x14ac:dyDescent="0.25">
      <c r="A30" s="109">
        <v>3</v>
      </c>
      <c r="B30" s="126">
        <v>1.0149999999999999</v>
      </c>
      <c r="C30" s="126">
        <v>1.075</v>
      </c>
      <c r="D30" s="126">
        <v>1.1439999999999999</v>
      </c>
      <c r="E30" s="126">
        <v>1.22</v>
      </c>
      <c r="F30" s="126">
        <v>1.3049999999999999</v>
      </c>
      <c r="G30" s="126">
        <v>1.399</v>
      </c>
      <c r="H30" s="126">
        <v>1.504</v>
      </c>
      <c r="I30" s="126">
        <v>1.62</v>
      </c>
      <c r="J30" s="126">
        <v>1.7490000000000001</v>
      </c>
      <c r="K30" s="126">
        <v>1.8919999999999999</v>
      </c>
      <c r="L30" s="126">
        <v>2.0510000000000002</v>
      </c>
      <c r="M30" s="126">
        <v>2.2280000000000002</v>
      </c>
      <c r="N30" s="126">
        <v>2.4249999999999998</v>
      </c>
      <c r="O30" s="126">
        <v>2.6440000000000001</v>
      </c>
      <c r="P30" s="126">
        <v>2.887</v>
      </c>
      <c r="Q30" s="126"/>
    </row>
    <row r="31" spans="1:17" x14ac:dyDescent="0.25">
      <c r="A31" s="109">
        <v>4</v>
      </c>
      <c r="B31" s="126">
        <v>1.0189999999999999</v>
      </c>
      <c r="C31" s="126">
        <v>1.08</v>
      </c>
      <c r="D31" s="126">
        <v>1.1499999999999999</v>
      </c>
      <c r="E31" s="126">
        <v>1.2270000000000001</v>
      </c>
      <c r="F31" s="126">
        <v>1.3129999999999999</v>
      </c>
      <c r="G31" s="126">
        <v>1.4079999999999999</v>
      </c>
      <c r="H31" s="126">
        <v>1.5129999999999999</v>
      </c>
      <c r="I31" s="126">
        <v>1.631</v>
      </c>
      <c r="J31" s="126">
        <v>1.76</v>
      </c>
      <c r="K31" s="126">
        <v>1.905</v>
      </c>
      <c r="L31" s="126">
        <v>2.0649999999999999</v>
      </c>
      <c r="M31" s="126">
        <v>2.2440000000000002</v>
      </c>
      <c r="N31" s="126">
        <v>2.4420000000000002</v>
      </c>
      <c r="O31" s="126">
        <v>2.6629999999999998</v>
      </c>
      <c r="P31" s="126">
        <v>2.9079999999999999</v>
      </c>
      <c r="Q31" s="126"/>
    </row>
    <row r="32" spans="1:17" x14ac:dyDescent="0.25">
      <c r="A32" s="109">
        <v>5</v>
      </c>
      <c r="B32" s="126">
        <v>1.024</v>
      </c>
      <c r="C32" s="126">
        <v>1.0860000000000001</v>
      </c>
      <c r="D32" s="126">
        <v>1.1559999999999999</v>
      </c>
      <c r="E32" s="126">
        <v>1.234</v>
      </c>
      <c r="F32" s="126">
        <v>1.32</v>
      </c>
      <c r="G32" s="126">
        <v>1.4159999999999999</v>
      </c>
      <c r="H32" s="126">
        <v>1.5229999999999999</v>
      </c>
      <c r="I32" s="126">
        <v>1.641</v>
      </c>
      <c r="J32" s="126">
        <v>1.772</v>
      </c>
      <c r="K32" s="126">
        <v>1.9179999999999999</v>
      </c>
      <c r="L32" s="126">
        <v>2.08</v>
      </c>
      <c r="M32" s="126">
        <v>2.2599999999999998</v>
      </c>
      <c r="N32" s="126">
        <v>2.46</v>
      </c>
      <c r="O32" s="126">
        <v>2.6829999999999998</v>
      </c>
      <c r="P32" s="126">
        <v>2.93</v>
      </c>
      <c r="Q32" s="126"/>
    </row>
    <row r="33" spans="1:17" x14ac:dyDescent="0.25">
      <c r="A33" s="109">
        <v>6</v>
      </c>
      <c r="B33" s="126">
        <v>1.0289999999999999</v>
      </c>
      <c r="C33" s="126">
        <v>1.0920000000000001</v>
      </c>
      <c r="D33" s="126">
        <v>1.1619999999999999</v>
      </c>
      <c r="E33" s="126">
        <v>1.2410000000000001</v>
      </c>
      <c r="F33" s="126">
        <v>1.3280000000000001</v>
      </c>
      <c r="G33" s="126">
        <v>1.425</v>
      </c>
      <c r="H33" s="126">
        <v>1.532</v>
      </c>
      <c r="I33" s="126">
        <v>1.651</v>
      </c>
      <c r="J33" s="126">
        <v>1.784</v>
      </c>
      <c r="K33" s="126">
        <v>1.931</v>
      </c>
      <c r="L33" s="126">
        <v>2.0939999999999999</v>
      </c>
      <c r="M33" s="126">
        <v>2.2759999999999998</v>
      </c>
      <c r="N33" s="126">
        <v>2.4780000000000002</v>
      </c>
      <c r="O33" s="126">
        <v>2.7029999999999998</v>
      </c>
      <c r="P33" s="126">
        <v>2.952</v>
      </c>
      <c r="Q33" s="126"/>
    </row>
    <row r="34" spans="1:17" x14ac:dyDescent="0.25">
      <c r="A34" s="109">
        <v>7</v>
      </c>
      <c r="B34" s="126">
        <v>1.034</v>
      </c>
      <c r="C34" s="126">
        <v>1.097</v>
      </c>
      <c r="D34" s="126">
        <v>1.169</v>
      </c>
      <c r="E34" s="126">
        <v>1.248</v>
      </c>
      <c r="F34" s="126">
        <v>1.3360000000000001</v>
      </c>
      <c r="G34" s="126">
        <v>1.4330000000000001</v>
      </c>
      <c r="H34" s="126">
        <v>1.542</v>
      </c>
      <c r="I34" s="126">
        <v>1.6619999999999999</v>
      </c>
      <c r="J34" s="126">
        <v>1.7949999999999999</v>
      </c>
      <c r="K34" s="126">
        <v>1.9430000000000001</v>
      </c>
      <c r="L34" s="126">
        <v>2.1080000000000001</v>
      </c>
      <c r="M34" s="126">
        <v>2.2919999999999998</v>
      </c>
      <c r="N34" s="126">
        <v>2.496</v>
      </c>
      <c r="O34" s="126">
        <v>2.722</v>
      </c>
      <c r="P34" s="126">
        <v>2.9740000000000002</v>
      </c>
      <c r="Q34" s="126"/>
    </row>
    <row r="35" spans="1:17" x14ac:dyDescent="0.25">
      <c r="A35" s="109">
        <v>8</v>
      </c>
      <c r="B35" s="126">
        <v>1.0389999999999999</v>
      </c>
      <c r="C35" s="126">
        <v>1.103</v>
      </c>
      <c r="D35" s="126">
        <v>1.175</v>
      </c>
      <c r="E35" s="126">
        <v>1.2549999999999999</v>
      </c>
      <c r="F35" s="126">
        <v>1.343</v>
      </c>
      <c r="G35" s="126">
        <v>1.4419999999999999</v>
      </c>
      <c r="H35" s="126">
        <v>1.5509999999999999</v>
      </c>
      <c r="I35" s="126">
        <v>1.6719999999999999</v>
      </c>
      <c r="J35" s="126">
        <v>1.8069999999999999</v>
      </c>
      <c r="K35" s="126">
        <v>1.956</v>
      </c>
      <c r="L35" s="126">
        <v>2.1230000000000002</v>
      </c>
      <c r="M35" s="126">
        <v>2.3079999999999998</v>
      </c>
      <c r="N35" s="126">
        <v>2.5129999999999999</v>
      </c>
      <c r="O35" s="126">
        <v>2.742</v>
      </c>
      <c r="P35" s="126">
        <v>2.996</v>
      </c>
      <c r="Q35" s="126"/>
    </row>
    <row r="36" spans="1:17" x14ac:dyDescent="0.25">
      <c r="A36" s="109">
        <v>9</v>
      </c>
      <c r="B36" s="126">
        <v>1.044</v>
      </c>
      <c r="C36" s="126">
        <v>1.1080000000000001</v>
      </c>
      <c r="D36" s="126">
        <v>1.181</v>
      </c>
      <c r="E36" s="126">
        <v>1.2609999999999999</v>
      </c>
      <c r="F36" s="126">
        <v>1.351</v>
      </c>
      <c r="G36" s="126">
        <v>1.45</v>
      </c>
      <c r="H36" s="126">
        <v>1.5609999999999999</v>
      </c>
      <c r="I36" s="126">
        <v>1.6830000000000001</v>
      </c>
      <c r="J36" s="126">
        <v>1.8180000000000001</v>
      </c>
      <c r="K36" s="126">
        <v>1.9690000000000001</v>
      </c>
      <c r="L36" s="126">
        <v>2.137</v>
      </c>
      <c r="M36" s="126">
        <v>2.3239999999999998</v>
      </c>
      <c r="N36" s="126">
        <v>2.5310000000000001</v>
      </c>
      <c r="O36" s="126">
        <v>2.762</v>
      </c>
      <c r="P36" s="126">
        <v>3.0179999999999998</v>
      </c>
      <c r="Q36" s="126"/>
    </row>
    <row r="37" spans="1:17" x14ac:dyDescent="0.25">
      <c r="A37" s="109">
        <v>10</v>
      </c>
      <c r="B37" s="126">
        <v>1.048</v>
      </c>
      <c r="C37" s="126">
        <v>1.1140000000000001</v>
      </c>
      <c r="D37" s="126">
        <v>1.1870000000000001</v>
      </c>
      <c r="E37" s="126">
        <v>1.268</v>
      </c>
      <c r="F37" s="126">
        <v>1.359</v>
      </c>
      <c r="G37" s="126">
        <v>1.4590000000000001</v>
      </c>
      <c r="H37" s="126">
        <v>1.57</v>
      </c>
      <c r="I37" s="126">
        <v>1.6930000000000001</v>
      </c>
      <c r="J37" s="126">
        <v>1.83</v>
      </c>
      <c r="K37" s="126">
        <v>1.982</v>
      </c>
      <c r="L37" s="126">
        <v>2.1509999999999998</v>
      </c>
      <c r="M37" s="126">
        <v>2.34</v>
      </c>
      <c r="N37" s="126">
        <v>2.5489999999999999</v>
      </c>
      <c r="O37" s="126">
        <v>2.782</v>
      </c>
      <c r="P37" s="126">
        <v>3.0390000000000001</v>
      </c>
      <c r="Q37" s="126"/>
    </row>
    <row r="38" spans="1:17" x14ac:dyDescent="0.25">
      <c r="A38" s="109">
        <v>11</v>
      </c>
      <c r="B38" s="126">
        <v>1.0529999999999999</v>
      </c>
      <c r="C38" s="126">
        <v>1.1200000000000001</v>
      </c>
      <c r="D38" s="126">
        <v>1.1930000000000001</v>
      </c>
      <c r="E38" s="126">
        <v>1.2749999999999999</v>
      </c>
      <c r="F38" s="126">
        <v>1.3660000000000001</v>
      </c>
      <c r="G38" s="126">
        <v>1.4670000000000001</v>
      </c>
      <c r="H38" s="126">
        <v>1.579</v>
      </c>
      <c r="I38" s="126">
        <v>1.704</v>
      </c>
      <c r="J38" s="126">
        <v>1.8420000000000001</v>
      </c>
      <c r="K38" s="126">
        <v>1.9950000000000001</v>
      </c>
      <c r="L38" s="126">
        <v>2.1659999999999999</v>
      </c>
      <c r="M38" s="126">
        <v>2.355</v>
      </c>
      <c r="N38" s="126">
        <v>2.5670000000000002</v>
      </c>
      <c r="O38" s="126">
        <v>2.8010000000000002</v>
      </c>
      <c r="P38" s="126">
        <v>3.0609999999999999</v>
      </c>
      <c r="Q38" s="126"/>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5" customHeight="1" x14ac:dyDescent="0.25">
      <c r="A44"/>
      <c r="B44"/>
    </row>
    <row r="45" spans="1:17" x14ac:dyDescent="0.25">
      <c r="A45"/>
      <c r="B45"/>
    </row>
    <row r="46" spans="1:17" ht="27.65"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681" priority="3" stopIfTrue="1">
      <formula>MOD(ROW(),2)=0</formula>
    </cfRule>
    <cfRule type="expression" dxfId="680" priority="4" stopIfTrue="1">
      <formula>MOD(ROW(),2)&lt;&gt;0</formula>
    </cfRule>
  </conditionalFormatting>
  <conditionalFormatting sqref="A26:A38">
    <cfRule type="expression" dxfId="679" priority="7" stopIfTrue="1">
      <formula>MOD(ROW(),2)=0</formula>
    </cfRule>
    <cfRule type="expression" dxfId="678" priority="8" stopIfTrue="1">
      <formula>MOD(ROW(),2)&lt;&gt;0</formula>
    </cfRule>
  </conditionalFormatting>
  <conditionalFormatting sqref="B18:B21">
    <cfRule type="expression" dxfId="677" priority="1" stopIfTrue="1">
      <formula>MOD(ROW(),2)=0</formula>
    </cfRule>
    <cfRule type="expression" dxfId="676" priority="2" stopIfTrue="1">
      <formula>MOD(ROW(),2)&lt;&gt;0</formula>
    </cfRule>
  </conditionalFormatting>
  <conditionalFormatting sqref="B6:Q21">
    <cfRule type="expression" dxfId="675" priority="21" stopIfTrue="1">
      <formula>MOD(ROW(),2)=0</formula>
    </cfRule>
    <cfRule type="expression" dxfId="674" priority="22" stopIfTrue="1">
      <formula>MOD(ROW(),2)&lt;&gt;0</formula>
    </cfRule>
  </conditionalFormatting>
  <conditionalFormatting sqref="B26:Q38">
    <cfRule type="expression" dxfId="673" priority="9" stopIfTrue="1">
      <formula>MOD(ROW(),2)=0</formula>
    </cfRule>
    <cfRule type="expression" dxfId="672" priority="10" stopIfTrue="1">
      <formula>MOD(ROW(),2)&lt;&gt;0</formula>
    </cfRule>
  </conditionalFormatting>
  <hyperlinks>
    <hyperlink ref="B24" location="Assumptions!A1" display="Assumptions" xr:uid="{14415895-631C-4EC8-96F2-C53BA7D011B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87"/>
  <dimension ref="A1:Q65"/>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row>
    <row r="2" spans="1:17" ht="15.5" x14ac:dyDescent="0.35">
      <c r="A2" s="55" t="s">
        <v>1</v>
      </c>
      <c r="B2" s="56"/>
      <c r="C2" s="56"/>
      <c r="D2" s="56"/>
    </row>
    <row r="3" spans="1:17" ht="15.5" x14ac:dyDescent="0.35">
      <c r="A3" s="57" t="str">
        <f>TABLE_FACTOR_TYPE_1&amp;" - x-"&amp;TABLE_SERIES_NUMBER_1</f>
        <v>LRF - x-418</v>
      </c>
      <c r="B3" s="56"/>
      <c r="C3" s="56"/>
      <c r="D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316</v>
      </c>
      <c r="C7" s="111"/>
      <c r="D7" s="111"/>
      <c r="E7" s="111"/>
      <c r="F7" s="111"/>
      <c r="G7" s="111"/>
      <c r="H7" s="111"/>
      <c r="I7" s="111"/>
      <c r="J7" s="111"/>
      <c r="K7" s="111"/>
      <c r="L7" s="111"/>
      <c r="M7" s="111"/>
      <c r="N7" s="111"/>
      <c r="O7" s="111"/>
      <c r="P7" s="111"/>
      <c r="Q7" s="111"/>
    </row>
    <row r="8" spans="1:17" x14ac:dyDescent="0.25">
      <c r="A8" s="87" t="s">
        <v>798</v>
      </c>
      <c r="B8" s="111" t="s">
        <v>92</v>
      </c>
      <c r="C8" s="111"/>
      <c r="D8" s="111"/>
      <c r="E8" s="111"/>
      <c r="F8" s="111"/>
      <c r="G8" s="111"/>
      <c r="H8" s="111"/>
      <c r="I8" s="111"/>
      <c r="J8" s="111"/>
      <c r="K8" s="111"/>
      <c r="L8" s="111"/>
      <c r="M8" s="111"/>
      <c r="N8" s="111"/>
      <c r="O8" s="111"/>
      <c r="P8" s="111"/>
      <c r="Q8" s="111"/>
    </row>
    <row r="9" spans="1:17" x14ac:dyDescent="0.25">
      <c r="A9" s="87" t="s">
        <v>300</v>
      </c>
      <c r="B9" s="111" t="s">
        <v>488</v>
      </c>
      <c r="C9" s="111"/>
      <c r="D9" s="111"/>
      <c r="E9" s="111"/>
      <c r="F9" s="111"/>
      <c r="G9" s="111"/>
      <c r="H9" s="111"/>
      <c r="I9" s="111"/>
      <c r="J9" s="111"/>
      <c r="K9" s="111"/>
      <c r="L9" s="111"/>
      <c r="M9" s="111"/>
      <c r="N9" s="111"/>
      <c r="O9" s="111"/>
      <c r="P9" s="111"/>
      <c r="Q9" s="111"/>
    </row>
    <row r="10" spans="1:17" x14ac:dyDescent="0.25">
      <c r="A10" s="87" t="s">
        <v>6</v>
      </c>
      <c r="B10" s="111" t="s">
        <v>499</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500</v>
      </c>
      <c r="C12" s="111"/>
      <c r="D12" s="111"/>
      <c r="E12" s="111"/>
      <c r="F12" s="111"/>
      <c r="G12" s="111"/>
      <c r="H12" s="111"/>
      <c r="I12" s="111"/>
      <c r="J12" s="111"/>
      <c r="K12" s="111"/>
      <c r="L12" s="111"/>
      <c r="M12" s="111"/>
      <c r="N12" s="111"/>
      <c r="O12" s="111"/>
      <c r="P12" s="111"/>
      <c r="Q12" s="111"/>
    </row>
    <row r="13" spans="1:17" x14ac:dyDescent="0.25">
      <c r="A13" s="87" t="s">
        <v>813</v>
      </c>
      <c r="B13" s="111">
        <v>0</v>
      </c>
      <c r="C13" s="111"/>
      <c r="D13" s="111"/>
      <c r="E13" s="111"/>
      <c r="F13" s="111"/>
      <c r="G13" s="111"/>
      <c r="H13" s="111"/>
      <c r="I13" s="111"/>
      <c r="J13" s="111"/>
      <c r="K13" s="111"/>
      <c r="L13" s="111"/>
      <c r="M13" s="111"/>
      <c r="N13" s="111"/>
      <c r="O13" s="111"/>
      <c r="P13" s="111"/>
      <c r="Q13" s="111"/>
    </row>
    <row r="14" spans="1:17" x14ac:dyDescent="0.25">
      <c r="A14" s="87" t="s">
        <v>304</v>
      </c>
      <c r="B14" s="111">
        <v>418</v>
      </c>
      <c r="C14" s="111"/>
      <c r="D14" s="111"/>
      <c r="E14" s="111"/>
      <c r="F14" s="111"/>
      <c r="G14" s="111"/>
      <c r="H14" s="111"/>
      <c r="I14" s="111"/>
      <c r="J14" s="111"/>
      <c r="K14" s="111"/>
      <c r="L14" s="111"/>
      <c r="M14" s="111"/>
      <c r="N14" s="111"/>
      <c r="O14" s="111"/>
      <c r="P14" s="111"/>
      <c r="Q14" s="111"/>
    </row>
    <row r="15" spans="1:17" x14ac:dyDescent="0.25">
      <c r="A15" s="87" t="s">
        <v>727</v>
      </c>
      <c r="B15" s="111" t="s">
        <v>501</v>
      </c>
      <c r="C15" s="111"/>
      <c r="D15" s="111"/>
      <c r="E15" s="111"/>
      <c r="F15" s="111"/>
      <c r="G15" s="111"/>
      <c r="H15" s="111"/>
      <c r="I15" s="111"/>
      <c r="J15" s="111"/>
      <c r="K15" s="111"/>
      <c r="L15" s="111"/>
      <c r="M15" s="111"/>
      <c r="N15" s="111"/>
      <c r="O15" s="111"/>
      <c r="P15" s="111"/>
      <c r="Q15" s="111"/>
    </row>
    <row r="16" spans="1:17" x14ac:dyDescent="0.25">
      <c r="A16" s="87" t="s">
        <v>306</v>
      </c>
      <c r="B16" s="111" t="s">
        <v>502</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3" spans="1:17" x14ac:dyDescent="0.25">
      <c r="B23" s="104" t="str">
        <f>HYPERLINK("#'Factor List'!A1","Back to Factor List")</f>
        <v>Back to Factor List</v>
      </c>
    </row>
    <row r="24" spans="1:17" x14ac:dyDescent="0.25">
      <c r="B24" s="104" t="s">
        <v>13</v>
      </c>
    </row>
    <row r="26" spans="1:17" ht="13" x14ac:dyDescent="0.25">
      <c r="A26" s="108" t="s">
        <v>839</v>
      </c>
      <c r="B26" s="108">
        <v>65</v>
      </c>
      <c r="C26" s="108">
        <v>66</v>
      </c>
      <c r="D26" s="108">
        <v>67</v>
      </c>
      <c r="E26" s="108">
        <v>68</v>
      </c>
      <c r="F26" s="108">
        <v>69</v>
      </c>
      <c r="G26" s="108">
        <v>70</v>
      </c>
      <c r="H26" s="108">
        <v>71</v>
      </c>
      <c r="I26" s="108">
        <v>72</v>
      </c>
      <c r="J26" s="108">
        <v>73</v>
      </c>
      <c r="K26" s="108">
        <v>74</v>
      </c>
      <c r="L26" s="108">
        <v>75</v>
      </c>
      <c r="M26" s="108">
        <v>76</v>
      </c>
      <c r="N26" s="108">
        <v>77</v>
      </c>
      <c r="O26" s="108">
        <v>78</v>
      </c>
      <c r="P26" s="108">
        <v>79</v>
      </c>
      <c r="Q26" s="108">
        <v>80</v>
      </c>
    </row>
    <row r="27" spans="1:17" x14ac:dyDescent="0.25">
      <c r="A27" s="109">
        <v>0</v>
      </c>
      <c r="B27" s="126">
        <v>1</v>
      </c>
      <c r="C27" s="126">
        <v>1.0529999999999999</v>
      </c>
      <c r="D27" s="126">
        <v>1.111</v>
      </c>
      <c r="E27" s="126">
        <v>1.1739999999999999</v>
      </c>
      <c r="F27" s="126">
        <v>1.244</v>
      </c>
      <c r="G27" s="126">
        <v>1.3180000000000001</v>
      </c>
      <c r="H27" s="126">
        <v>1.4019999999999999</v>
      </c>
      <c r="I27" s="126">
        <v>1.494</v>
      </c>
      <c r="J27" s="126">
        <v>1.595</v>
      </c>
      <c r="K27" s="126">
        <v>1.706</v>
      </c>
      <c r="L27" s="126">
        <v>1.821</v>
      </c>
      <c r="M27" s="126">
        <v>1.9550000000000001</v>
      </c>
      <c r="N27" s="126">
        <v>2.101</v>
      </c>
      <c r="O27" s="126">
        <v>2.2629999999999999</v>
      </c>
      <c r="P27" s="126">
        <v>2.44</v>
      </c>
      <c r="Q27" s="126">
        <v>2.625</v>
      </c>
    </row>
    <row r="28" spans="1:17" x14ac:dyDescent="0.25">
      <c r="A28" s="109">
        <v>1</v>
      </c>
      <c r="B28" s="126">
        <v>1.004</v>
      </c>
      <c r="C28" s="126">
        <v>1.0580000000000001</v>
      </c>
      <c r="D28" s="126">
        <v>1.1160000000000001</v>
      </c>
      <c r="E28" s="126">
        <v>1.18</v>
      </c>
      <c r="F28" s="126">
        <v>1.25</v>
      </c>
      <c r="G28" s="126">
        <v>1.325</v>
      </c>
      <c r="H28" s="126">
        <v>1.41</v>
      </c>
      <c r="I28" s="126">
        <v>1.502</v>
      </c>
      <c r="J28" s="126">
        <v>1.6040000000000001</v>
      </c>
      <c r="K28" s="126">
        <v>1.7150000000000001</v>
      </c>
      <c r="L28" s="126">
        <v>1.8320000000000001</v>
      </c>
      <c r="M28" s="126">
        <v>1.9670000000000001</v>
      </c>
      <c r="N28" s="126">
        <v>2.1150000000000002</v>
      </c>
      <c r="O28" s="126">
        <v>2.278</v>
      </c>
      <c r="P28" s="126">
        <v>2.456</v>
      </c>
      <c r="Q28" s="126"/>
    </row>
    <row r="29" spans="1:17" x14ac:dyDescent="0.25">
      <c r="A29" s="109">
        <v>2</v>
      </c>
      <c r="B29" s="126">
        <v>1.0089999999999999</v>
      </c>
      <c r="C29" s="126">
        <v>1.0629999999999999</v>
      </c>
      <c r="D29" s="126">
        <v>1.1220000000000001</v>
      </c>
      <c r="E29" s="126">
        <v>1.1859999999999999</v>
      </c>
      <c r="F29" s="126">
        <v>1.256</v>
      </c>
      <c r="G29" s="126">
        <v>1.3320000000000001</v>
      </c>
      <c r="H29" s="126">
        <v>1.417</v>
      </c>
      <c r="I29" s="126">
        <v>1.5109999999999999</v>
      </c>
      <c r="J29" s="126">
        <v>1.613</v>
      </c>
      <c r="K29" s="126">
        <v>1.7250000000000001</v>
      </c>
      <c r="L29" s="126">
        <v>1.843</v>
      </c>
      <c r="M29" s="126">
        <v>1.9790000000000001</v>
      </c>
      <c r="N29" s="126">
        <v>2.1280000000000001</v>
      </c>
      <c r="O29" s="126">
        <v>2.2919999999999998</v>
      </c>
      <c r="P29" s="126">
        <v>2.4710000000000001</v>
      </c>
      <c r="Q29" s="126"/>
    </row>
    <row r="30" spans="1:17" x14ac:dyDescent="0.25">
      <c r="A30" s="109">
        <v>3</v>
      </c>
      <c r="B30" s="126">
        <v>1.0129999999999999</v>
      </c>
      <c r="C30" s="126">
        <v>1.0680000000000001</v>
      </c>
      <c r="D30" s="126">
        <v>1.127</v>
      </c>
      <c r="E30" s="126">
        <v>1.1919999999999999</v>
      </c>
      <c r="F30" s="126">
        <v>1.2629999999999999</v>
      </c>
      <c r="G30" s="126">
        <v>1.339</v>
      </c>
      <c r="H30" s="126">
        <v>1.425</v>
      </c>
      <c r="I30" s="126">
        <v>1.5189999999999999</v>
      </c>
      <c r="J30" s="126">
        <v>1.623</v>
      </c>
      <c r="K30" s="126">
        <v>1.734</v>
      </c>
      <c r="L30" s="126">
        <v>1.8540000000000001</v>
      </c>
      <c r="M30" s="126">
        <v>1.9910000000000001</v>
      </c>
      <c r="N30" s="126">
        <v>2.1419999999999999</v>
      </c>
      <c r="O30" s="126">
        <v>2.3069999999999999</v>
      </c>
      <c r="P30" s="126">
        <v>2.4860000000000002</v>
      </c>
      <c r="Q30" s="126"/>
    </row>
    <row r="31" spans="1:17" x14ac:dyDescent="0.25">
      <c r="A31" s="109">
        <v>4</v>
      </c>
      <c r="B31" s="126">
        <v>1.018</v>
      </c>
      <c r="C31" s="126">
        <v>1.0720000000000001</v>
      </c>
      <c r="D31" s="126">
        <v>1.1319999999999999</v>
      </c>
      <c r="E31" s="126">
        <v>1.198</v>
      </c>
      <c r="F31" s="126">
        <v>1.2689999999999999</v>
      </c>
      <c r="G31" s="126">
        <v>1.3460000000000001</v>
      </c>
      <c r="H31" s="126">
        <v>1.4330000000000001</v>
      </c>
      <c r="I31" s="126">
        <v>1.528</v>
      </c>
      <c r="J31" s="126">
        <v>1.6319999999999999</v>
      </c>
      <c r="K31" s="126">
        <v>1.744</v>
      </c>
      <c r="L31" s="126">
        <v>1.8660000000000001</v>
      </c>
      <c r="M31" s="126">
        <v>2.004</v>
      </c>
      <c r="N31" s="126">
        <v>2.1549999999999998</v>
      </c>
      <c r="O31" s="126">
        <v>2.3220000000000001</v>
      </c>
      <c r="P31" s="126">
        <v>2.5019999999999998</v>
      </c>
      <c r="Q31" s="126"/>
    </row>
    <row r="32" spans="1:17" x14ac:dyDescent="0.25">
      <c r="A32" s="109">
        <v>5</v>
      </c>
      <c r="B32" s="126">
        <v>1.022</v>
      </c>
      <c r="C32" s="126">
        <v>1.077</v>
      </c>
      <c r="D32" s="126">
        <v>1.137</v>
      </c>
      <c r="E32" s="126">
        <v>1.2030000000000001</v>
      </c>
      <c r="F32" s="126">
        <v>1.2749999999999999</v>
      </c>
      <c r="G32" s="126">
        <v>1.353</v>
      </c>
      <c r="H32" s="126">
        <v>1.44</v>
      </c>
      <c r="I32" s="126">
        <v>1.536</v>
      </c>
      <c r="J32" s="126">
        <v>1.641</v>
      </c>
      <c r="K32" s="126">
        <v>1.754</v>
      </c>
      <c r="L32" s="126">
        <v>1.877</v>
      </c>
      <c r="M32" s="126">
        <v>2.016</v>
      </c>
      <c r="N32" s="126">
        <v>2.169</v>
      </c>
      <c r="O32" s="126">
        <v>2.3370000000000002</v>
      </c>
      <c r="P32" s="126">
        <v>2.5169999999999999</v>
      </c>
      <c r="Q32" s="126"/>
    </row>
    <row r="33" spans="1:17" x14ac:dyDescent="0.25">
      <c r="A33" s="109">
        <v>6</v>
      </c>
      <c r="B33" s="126">
        <v>1.0269999999999999</v>
      </c>
      <c r="C33" s="126">
        <v>1.0820000000000001</v>
      </c>
      <c r="D33" s="126">
        <v>1.143</v>
      </c>
      <c r="E33" s="126">
        <v>1.2090000000000001</v>
      </c>
      <c r="F33" s="126">
        <v>1.2809999999999999</v>
      </c>
      <c r="G33" s="126">
        <v>1.36</v>
      </c>
      <c r="H33" s="126">
        <v>1.448</v>
      </c>
      <c r="I33" s="126">
        <v>1.544</v>
      </c>
      <c r="J33" s="126">
        <v>1.65</v>
      </c>
      <c r="K33" s="126">
        <v>1.7629999999999999</v>
      </c>
      <c r="L33" s="126">
        <v>1.8879999999999999</v>
      </c>
      <c r="M33" s="126">
        <v>2.028</v>
      </c>
      <c r="N33" s="126">
        <v>2.1819999999999999</v>
      </c>
      <c r="O33" s="126">
        <v>2.3519999999999999</v>
      </c>
      <c r="P33" s="126">
        <v>2.5329999999999999</v>
      </c>
      <c r="Q33" s="126"/>
    </row>
    <row r="34" spans="1:17" x14ac:dyDescent="0.25">
      <c r="A34" s="109">
        <v>7</v>
      </c>
      <c r="B34" s="126">
        <v>1.0309999999999999</v>
      </c>
      <c r="C34" s="126">
        <v>1.087</v>
      </c>
      <c r="D34" s="126">
        <v>1.1479999999999999</v>
      </c>
      <c r="E34" s="126">
        <v>1.2150000000000001</v>
      </c>
      <c r="F34" s="126">
        <v>1.2869999999999999</v>
      </c>
      <c r="G34" s="126">
        <v>1.367</v>
      </c>
      <c r="H34" s="126">
        <v>1.456</v>
      </c>
      <c r="I34" s="126">
        <v>1.5529999999999999</v>
      </c>
      <c r="J34" s="126">
        <v>1.66</v>
      </c>
      <c r="K34" s="126">
        <v>1.7729999999999999</v>
      </c>
      <c r="L34" s="126">
        <v>1.899</v>
      </c>
      <c r="M34" s="126">
        <v>2.04</v>
      </c>
      <c r="N34" s="126">
        <v>2.1960000000000002</v>
      </c>
      <c r="O34" s="126">
        <v>2.3660000000000001</v>
      </c>
      <c r="P34" s="126">
        <v>2.548</v>
      </c>
      <c r="Q34" s="126"/>
    </row>
    <row r="35" spans="1:17" x14ac:dyDescent="0.25">
      <c r="A35" s="109">
        <v>8</v>
      </c>
      <c r="B35" s="126">
        <v>1.0349999999999999</v>
      </c>
      <c r="C35" s="126">
        <v>1.0920000000000001</v>
      </c>
      <c r="D35" s="126">
        <v>1.153</v>
      </c>
      <c r="E35" s="126">
        <v>1.2210000000000001</v>
      </c>
      <c r="F35" s="126">
        <v>1.2929999999999999</v>
      </c>
      <c r="G35" s="126">
        <v>1.3740000000000001</v>
      </c>
      <c r="H35" s="126">
        <v>1.4630000000000001</v>
      </c>
      <c r="I35" s="126">
        <v>1.5609999999999999</v>
      </c>
      <c r="J35" s="126">
        <v>1.669</v>
      </c>
      <c r="K35" s="126">
        <v>1.7829999999999999</v>
      </c>
      <c r="L35" s="126">
        <v>1.91</v>
      </c>
      <c r="M35" s="126">
        <v>2.0529999999999999</v>
      </c>
      <c r="N35" s="126">
        <v>2.2090000000000001</v>
      </c>
      <c r="O35" s="126">
        <v>2.3809999999999998</v>
      </c>
      <c r="P35" s="126">
        <v>2.5630000000000002</v>
      </c>
      <c r="Q35" s="126"/>
    </row>
    <row r="36" spans="1:17" x14ac:dyDescent="0.25">
      <c r="A36" s="109">
        <v>9</v>
      </c>
      <c r="B36" s="126">
        <v>1.04</v>
      </c>
      <c r="C36" s="126">
        <v>1.097</v>
      </c>
      <c r="D36" s="126">
        <v>1.159</v>
      </c>
      <c r="E36" s="126">
        <v>1.2270000000000001</v>
      </c>
      <c r="F36" s="126">
        <v>1.2989999999999999</v>
      </c>
      <c r="G36" s="126">
        <v>1.381</v>
      </c>
      <c r="H36" s="126">
        <v>1.4710000000000001</v>
      </c>
      <c r="I36" s="126">
        <v>1.57</v>
      </c>
      <c r="J36" s="126">
        <v>1.6779999999999999</v>
      </c>
      <c r="K36" s="126">
        <v>1.792</v>
      </c>
      <c r="L36" s="126">
        <v>1.921</v>
      </c>
      <c r="M36" s="126">
        <v>2.0649999999999999</v>
      </c>
      <c r="N36" s="126">
        <v>2.2229999999999999</v>
      </c>
      <c r="O36" s="126">
        <v>2.3959999999999999</v>
      </c>
      <c r="P36" s="126">
        <v>2.5790000000000002</v>
      </c>
      <c r="Q36" s="126"/>
    </row>
    <row r="37" spans="1:17" x14ac:dyDescent="0.25">
      <c r="A37" s="109">
        <v>10</v>
      </c>
      <c r="B37" s="126">
        <v>1.044</v>
      </c>
      <c r="C37" s="126">
        <v>1.101</v>
      </c>
      <c r="D37" s="126">
        <v>1.1639999999999999</v>
      </c>
      <c r="E37" s="126">
        <v>1.232</v>
      </c>
      <c r="F37" s="126">
        <v>1.306</v>
      </c>
      <c r="G37" s="126">
        <v>1.3879999999999999</v>
      </c>
      <c r="H37" s="126">
        <v>1.4790000000000001</v>
      </c>
      <c r="I37" s="126">
        <v>1.5780000000000001</v>
      </c>
      <c r="J37" s="126">
        <v>1.6870000000000001</v>
      </c>
      <c r="K37" s="126">
        <v>1.802</v>
      </c>
      <c r="L37" s="126">
        <v>1.9319999999999999</v>
      </c>
      <c r="M37" s="126">
        <v>2.077</v>
      </c>
      <c r="N37" s="126">
        <v>2.2360000000000002</v>
      </c>
      <c r="O37" s="126">
        <v>2.411</v>
      </c>
      <c r="P37" s="126">
        <v>2.5939999999999999</v>
      </c>
      <c r="Q37" s="126"/>
    </row>
    <row r="38" spans="1:17" x14ac:dyDescent="0.25">
      <c r="A38" s="109">
        <v>11</v>
      </c>
      <c r="B38" s="126">
        <v>1.0489999999999999</v>
      </c>
      <c r="C38" s="126">
        <v>1.1060000000000001</v>
      </c>
      <c r="D38" s="126">
        <v>1.169</v>
      </c>
      <c r="E38" s="126">
        <v>1.238</v>
      </c>
      <c r="F38" s="126">
        <v>1.3120000000000001</v>
      </c>
      <c r="G38" s="126">
        <v>1.395</v>
      </c>
      <c r="H38" s="126">
        <v>1.486</v>
      </c>
      <c r="I38" s="126">
        <v>1.587</v>
      </c>
      <c r="J38" s="126">
        <v>1.696</v>
      </c>
      <c r="K38" s="126">
        <v>1.8109999999999999</v>
      </c>
      <c r="L38" s="126">
        <v>1.9430000000000001</v>
      </c>
      <c r="M38" s="126">
        <v>2.089</v>
      </c>
      <c r="N38" s="126">
        <v>2.2490000000000001</v>
      </c>
      <c r="O38" s="126">
        <v>2.4249999999999998</v>
      </c>
      <c r="P38" s="126">
        <v>2.609</v>
      </c>
      <c r="Q38" s="126"/>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5" customHeight="1" x14ac:dyDescent="0.25">
      <c r="A44"/>
      <c r="B44"/>
    </row>
    <row r="45" spans="1:17" x14ac:dyDescent="0.25">
      <c r="A45"/>
      <c r="B45"/>
    </row>
    <row r="46" spans="1:17" ht="27.65"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671" priority="3" stopIfTrue="1">
      <formula>MOD(ROW(),2)=0</formula>
    </cfRule>
    <cfRule type="expression" dxfId="670" priority="4" stopIfTrue="1">
      <formula>MOD(ROW(),2)&lt;&gt;0</formula>
    </cfRule>
  </conditionalFormatting>
  <conditionalFormatting sqref="A26:A38">
    <cfRule type="expression" dxfId="669" priority="7" stopIfTrue="1">
      <formula>MOD(ROW(),2)=0</formula>
    </cfRule>
    <cfRule type="expression" dxfId="668" priority="8" stopIfTrue="1">
      <formula>MOD(ROW(),2)&lt;&gt;0</formula>
    </cfRule>
  </conditionalFormatting>
  <conditionalFormatting sqref="B18:B21">
    <cfRule type="expression" dxfId="667" priority="1" stopIfTrue="1">
      <formula>MOD(ROW(),2)=0</formula>
    </cfRule>
    <cfRule type="expression" dxfId="666" priority="2" stopIfTrue="1">
      <formula>MOD(ROW(),2)&lt;&gt;0</formula>
    </cfRule>
  </conditionalFormatting>
  <conditionalFormatting sqref="B6:Q21">
    <cfRule type="expression" dxfId="665" priority="17" stopIfTrue="1">
      <formula>MOD(ROW(),2)=0</formula>
    </cfRule>
    <cfRule type="expression" dxfId="664" priority="18" stopIfTrue="1">
      <formula>MOD(ROW(),2)&lt;&gt;0</formula>
    </cfRule>
  </conditionalFormatting>
  <conditionalFormatting sqref="B26:Q38">
    <cfRule type="expression" dxfId="663" priority="9" stopIfTrue="1">
      <formula>MOD(ROW(),2)=0</formula>
    </cfRule>
    <cfRule type="expression" dxfId="662" priority="10" stopIfTrue="1">
      <formula>MOD(ROW(),2)&lt;&gt;0</formula>
    </cfRule>
  </conditionalFormatting>
  <hyperlinks>
    <hyperlink ref="B24" location="Assumptions!A1" display="Assumptions" xr:uid="{583E6FB7-086A-4CBC-87DA-8A6FEF6ECBD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8"/>
  <dimension ref="A1:Q65"/>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row>
    <row r="2" spans="1:17" ht="15.5" x14ac:dyDescent="0.35">
      <c r="A2" s="55" t="s">
        <v>1</v>
      </c>
      <c r="B2" s="56"/>
      <c r="C2" s="56"/>
      <c r="D2" s="56"/>
    </row>
    <row r="3" spans="1:17" ht="15.5" x14ac:dyDescent="0.35">
      <c r="A3" s="57" t="str">
        <f>TABLE_FACTOR_TYPE_1&amp;" - x-"&amp;TABLE_SERIES_NUMBER_1</f>
        <v>LRF - x-419</v>
      </c>
      <c r="B3" s="56"/>
      <c r="C3" s="56"/>
      <c r="D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316</v>
      </c>
      <c r="C7" s="111"/>
      <c r="D7" s="111"/>
      <c r="E7" s="111"/>
      <c r="F7" s="111"/>
      <c r="G7" s="111"/>
      <c r="H7" s="111"/>
      <c r="I7" s="111"/>
      <c r="J7" s="111"/>
      <c r="K7" s="111"/>
      <c r="L7" s="111"/>
      <c r="M7" s="111"/>
      <c r="N7" s="111"/>
      <c r="O7" s="111"/>
      <c r="P7" s="111"/>
      <c r="Q7" s="111"/>
    </row>
    <row r="8" spans="1:17" x14ac:dyDescent="0.25">
      <c r="A8" s="87" t="s">
        <v>798</v>
      </c>
      <c r="B8" s="111" t="s">
        <v>92</v>
      </c>
      <c r="C8" s="111"/>
      <c r="D8" s="111"/>
      <c r="E8" s="111"/>
      <c r="F8" s="111"/>
      <c r="G8" s="111"/>
      <c r="H8" s="111"/>
      <c r="I8" s="111"/>
      <c r="J8" s="111"/>
      <c r="K8" s="111"/>
      <c r="L8" s="111"/>
      <c r="M8" s="111"/>
      <c r="N8" s="111"/>
      <c r="O8" s="111"/>
      <c r="P8" s="111"/>
      <c r="Q8" s="111"/>
    </row>
    <row r="9" spans="1:17" x14ac:dyDescent="0.25">
      <c r="A9" s="87" t="s">
        <v>300</v>
      </c>
      <c r="B9" s="111" t="s">
        <v>488</v>
      </c>
      <c r="C9" s="111"/>
      <c r="D9" s="111"/>
      <c r="E9" s="111"/>
      <c r="F9" s="111"/>
      <c r="G9" s="111"/>
      <c r="H9" s="111"/>
      <c r="I9" s="111"/>
      <c r="J9" s="111"/>
      <c r="K9" s="111"/>
      <c r="L9" s="111"/>
      <c r="M9" s="111"/>
      <c r="N9" s="111"/>
      <c r="O9" s="111"/>
      <c r="P9" s="111"/>
      <c r="Q9" s="111"/>
    </row>
    <row r="10" spans="1:17" x14ac:dyDescent="0.25">
      <c r="A10" s="87" t="s">
        <v>6</v>
      </c>
      <c r="B10" s="111" t="s">
        <v>505</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500</v>
      </c>
      <c r="C12" s="111"/>
      <c r="D12" s="111"/>
      <c r="E12" s="111"/>
      <c r="F12" s="111"/>
      <c r="G12" s="111"/>
      <c r="H12" s="111"/>
      <c r="I12" s="111"/>
      <c r="J12" s="111"/>
      <c r="K12" s="111"/>
      <c r="L12" s="111"/>
      <c r="M12" s="111"/>
      <c r="N12" s="111"/>
      <c r="O12" s="111"/>
      <c r="P12" s="111"/>
      <c r="Q12" s="111"/>
    </row>
    <row r="13" spans="1:17" x14ac:dyDescent="0.25">
      <c r="A13" s="87" t="s">
        <v>813</v>
      </c>
      <c r="B13" s="111">
        <v>0</v>
      </c>
      <c r="C13" s="111"/>
      <c r="D13" s="111"/>
      <c r="E13" s="111"/>
      <c r="F13" s="111"/>
      <c r="G13" s="111"/>
      <c r="H13" s="111"/>
      <c r="I13" s="111"/>
      <c r="J13" s="111"/>
      <c r="K13" s="111"/>
      <c r="L13" s="111"/>
      <c r="M13" s="111"/>
      <c r="N13" s="111"/>
      <c r="O13" s="111"/>
      <c r="P13" s="111"/>
      <c r="Q13" s="111"/>
    </row>
    <row r="14" spans="1:17" x14ac:dyDescent="0.25">
      <c r="A14" s="87" t="s">
        <v>304</v>
      </c>
      <c r="B14" s="111">
        <v>419</v>
      </c>
      <c r="C14" s="111"/>
      <c r="D14" s="111"/>
      <c r="E14" s="111"/>
      <c r="F14" s="111"/>
      <c r="G14" s="111"/>
      <c r="H14" s="111"/>
      <c r="I14" s="111"/>
      <c r="J14" s="111"/>
      <c r="K14" s="111"/>
      <c r="L14" s="111"/>
      <c r="M14" s="111"/>
      <c r="N14" s="111"/>
      <c r="O14" s="111"/>
      <c r="P14" s="111"/>
      <c r="Q14" s="111"/>
    </row>
    <row r="15" spans="1:17" x14ac:dyDescent="0.25">
      <c r="A15" s="87" t="s">
        <v>727</v>
      </c>
      <c r="B15" s="111" t="s">
        <v>506</v>
      </c>
      <c r="C15" s="111"/>
      <c r="D15" s="111"/>
      <c r="E15" s="111"/>
      <c r="F15" s="111"/>
      <c r="G15" s="111"/>
      <c r="H15" s="111"/>
      <c r="I15" s="111"/>
      <c r="J15" s="111"/>
      <c r="K15" s="111"/>
      <c r="L15" s="111"/>
      <c r="M15" s="111"/>
      <c r="N15" s="111"/>
      <c r="O15" s="111"/>
      <c r="P15" s="111"/>
      <c r="Q15" s="111"/>
    </row>
    <row r="16" spans="1:17" x14ac:dyDescent="0.25">
      <c r="A16" s="87" t="s">
        <v>306</v>
      </c>
      <c r="B16" s="111" t="s">
        <v>507</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3" spans="1:17" x14ac:dyDescent="0.25">
      <c r="B23" s="104" t="str">
        <f>HYPERLINK("#'Factor List'!A1","Back to Factor List")</f>
        <v>Back to Factor List</v>
      </c>
    </row>
    <row r="24" spans="1:17" x14ac:dyDescent="0.25">
      <c r="B24" s="104" t="s">
        <v>13</v>
      </c>
    </row>
    <row r="26" spans="1:17" ht="13" x14ac:dyDescent="0.25">
      <c r="A26" s="127" t="s">
        <v>839</v>
      </c>
      <c r="B26" s="127">
        <v>65</v>
      </c>
      <c r="C26" s="127">
        <v>66</v>
      </c>
      <c r="D26" s="127">
        <v>67</v>
      </c>
      <c r="E26" s="127">
        <v>68</v>
      </c>
      <c r="F26" s="127">
        <v>69</v>
      </c>
      <c r="G26" s="127">
        <v>70</v>
      </c>
      <c r="H26" s="127">
        <v>71</v>
      </c>
      <c r="I26" s="127">
        <v>72</v>
      </c>
      <c r="J26" s="127">
        <v>73</v>
      </c>
      <c r="K26" s="127">
        <v>74</v>
      </c>
      <c r="L26" s="127">
        <v>75</v>
      </c>
      <c r="M26" s="127">
        <v>76</v>
      </c>
      <c r="N26" s="127">
        <v>77</v>
      </c>
      <c r="O26" s="127">
        <v>78</v>
      </c>
      <c r="P26" s="127">
        <v>79</v>
      </c>
      <c r="Q26" s="127">
        <v>80</v>
      </c>
    </row>
    <row r="27" spans="1:17" x14ac:dyDescent="0.25">
      <c r="A27" s="128">
        <v>0</v>
      </c>
      <c r="B27" s="129">
        <v>1</v>
      </c>
      <c r="C27" s="129">
        <v>1.056</v>
      </c>
      <c r="D27" s="129">
        <v>1.117</v>
      </c>
      <c r="E27" s="129">
        <v>1.1839999999999999</v>
      </c>
      <c r="F27" s="129">
        <v>1.258</v>
      </c>
      <c r="G27" s="129">
        <v>1.339</v>
      </c>
      <c r="H27" s="129">
        <v>1.429</v>
      </c>
      <c r="I27" s="129">
        <v>1.5269999999999999</v>
      </c>
      <c r="J27" s="129">
        <v>1.6359999999999999</v>
      </c>
      <c r="K27" s="129">
        <v>1.7549999999999999</v>
      </c>
      <c r="L27" s="129">
        <v>1.8859999999999999</v>
      </c>
      <c r="M27" s="129">
        <v>2.0310000000000001</v>
      </c>
      <c r="N27" s="129">
        <v>2.19</v>
      </c>
      <c r="O27" s="129">
        <v>2.3650000000000002</v>
      </c>
      <c r="P27" s="129">
        <v>2.5579999999999998</v>
      </c>
      <c r="Q27" s="129">
        <v>2.7690000000000001</v>
      </c>
    </row>
    <row r="28" spans="1:17" x14ac:dyDescent="0.25">
      <c r="A28" s="128">
        <v>1</v>
      </c>
      <c r="B28" s="129">
        <v>1.0049999999999999</v>
      </c>
      <c r="C28" s="129">
        <v>1.0609999999999999</v>
      </c>
      <c r="D28" s="129">
        <v>1.1220000000000001</v>
      </c>
      <c r="E28" s="129">
        <v>1.19</v>
      </c>
      <c r="F28" s="129">
        <v>1.264</v>
      </c>
      <c r="G28" s="129">
        <v>1.347</v>
      </c>
      <c r="H28" s="129">
        <v>1.4370000000000001</v>
      </c>
      <c r="I28" s="129">
        <v>1.536</v>
      </c>
      <c r="J28" s="129">
        <v>1.6459999999999999</v>
      </c>
      <c r="K28" s="129">
        <v>1.766</v>
      </c>
      <c r="L28" s="129">
        <v>1.8979999999999999</v>
      </c>
      <c r="M28" s="129">
        <v>2.044</v>
      </c>
      <c r="N28" s="129">
        <v>2.2040000000000002</v>
      </c>
      <c r="O28" s="129">
        <v>2.3809999999999998</v>
      </c>
      <c r="P28" s="129">
        <v>2.5750000000000002</v>
      </c>
      <c r="Q28" s="129"/>
    </row>
    <row r="29" spans="1:17" x14ac:dyDescent="0.25">
      <c r="A29" s="128">
        <v>2</v>
      </c>
      <c r="B29" s="129">
        <v>1.0089999999999999</v>
      </c>
      <c r="C29" s="129">
        <v>1.0660000000000001</v>
      </c>
      <c r="D29" s="129">
        <v>1.1279999999999999</v>
      </c>
      <c r="E29" s="129">
        <v>1.196</v>
      </c>
      <c r="F29" s="129">
        <v>1.2709999999999999</v>
      </c>
      <c r="G29" s="129">
        <v>1.3540000000000001</v>
      </c>
      <c r="H29" s="129">
        <v>1.4450000000000001</v>
      </c>
      <c r="I29" s="129">
        <v>1.5449999999999999</v>
      </c>
      <c r="J29" s="129">
        <v>1.6559999999999999</v>
      </c>
      <c r="K29" s="129">
        <v>1.7769999999999999</v>
      </c>
      <c r="L29" s="129">
        <v>1.91</v>
      </c>
      <c r="M29" s="129">
        <v>2.0569999999999999</v>
      </c>
      <c r="N29" s="129">
        <v>2.2189999999999999</v>
      </c>
      <c r="O29" s="129">
        <v>2.3969999999999998</v>
      </c>
      <c r="P29" s="129">
        <v>2.593</v>
      </c>
      <c r="Q29" s="129"/>
    </row>
    <row r="30" spans="1:17" x14ac:dyDescent="0.25">
      <c r="A30" s="128">
        <v>3</v>
      </c>
      <c r="B30" s="129">
        <v>1.014</v>
      </c>
      <c r="C30" s="129">
        <v>1.071</v>
      </c>
      <c r="D30" s="129">
        <v>1.1339999999999999</v>
      </c>
      <c r="E30" s="129">
        <v>1.202</v>
      </c>
      <c r="F30" s="129">
        <v>1.278</v>
      </c>
      <c r="G30" s="129">
        <v>1.3620000000000001</v>
      </c>
      <c r="H30" s="129">
        <v>1.454</v>
      </c>
      <c r="I30" s="129">
        <v>1.554</v>
      </c>
      <c r="J30" s="129">
        <v>1.665</v>
      </c>
      <c r="K30" s="129">
        <v>1.788</v>
      </c>
      <c r="L30" s="129">
        <v>1.9219999999999999</v>
      </c>
      <c r="M30" s="129">
        <v>2.0699999999999998</v>
      </c>
      <c r="N30" s="129">
        <v>2.234</v>
      </c>
      <c r="O30" s="129">
        <v>2.4129999999999998</v>
      </c>
      <c r="P30" s="129">
        <v>2.6110000000000002</v>
      </c>
      <c r="Q30" s="129"/>
    </row>
    <row r="31" spans="1:17" x14ac:dyDescent="0.25">
      <c r="A31" s="128">
        <v>4</v>
      </c>
      <c r="B31" s="129">
        <v>1.0189999999999999</v>
      </c>
      <c r="C31" s="129">
        <v>1.0760000000000001</v>
      </c>
      <c r="D31" s="129">
        <v>1.139</v>
      </c>
      <c r="E31" s="129">
        <v>1.208</v>
      </c>
      <c r="F31" s="129">
        <v>1.2849999999999999</v>
      </c>
      <c r="G31" s="129">
        <v>1.369</v>
      </c>
      <c r="H31" s="129">
        <v>1.462</v>
      </c>
      <c r="I31" s="129">
        <v>1.5640000000000001</v>
      </c>
      <c r="J31" s="129">
        <v>1.675</v>
      </c>
      <c r="K31" s="129">
        <v>1.7989999999999999</v>
      </c>
      <c r="L31" s="129">
        <v>1.9339999999999999</v>
      </c>
      <c r="M31" s="129">
        <v>2.0840000000000001</v>
      </c>
      <c r="N31" s="129">
        <v>2.2480000000000002</v>
      </c>
      <c r="O31" s="129">
        <v>2.4289999999999998</v>
      </c>
      <c r="P31" s="129">
        <v>2.6280000000000001</v>
      </c>
      <c r="Q31" s="129"/>
    </row>
    <row r="32" spans="1:17" x14ac:dyDescent="0.25">
      <c r="A32" s="128">
        <v>5</v>
      </c>
      <c r="B32" s="129">
        <v>1.0229999999999999</v>
      </c>
      <c r="C32" s="129">
        <v>1.081</v>
      </c>
      <c r="D32" s="129">
        <v>1.145</v>
      </c>
      <c r="E32" s="129">
        <v>1.2150000000000001</v>
      </c>
      <c r="F32" s="129">
        <v>1.292</v>
      </c>
      <c r="G32" s="129">
        <v>1.377</v>
      </c>
      <c r="H32" s="129">
        <v>1.47</v>
      </c>
      <c r="I32" s="129">
        <v>1.573</v>
      </c>
      <c r="J32" s="129">
        <v>1.6850000000000001</v>
      </c>
      <c r="K32" s="129">
        <v>1.81</v>
      </c>
      <c r="L32" s="129">
        <v>1.946</v>
      </c>
      <c r="M32" s="129">
        <v>2.097</v>
      </c>
      <c r="N32" s="129">
        <v>2.2629999999999999</v>
      </c>
      <c r="O32" s="129">
        <v>2.4449999999999998</v>
      </c>
      <c r="P32" s="129">
        <v>2.6459999999999999</v>
      </c>
      <c r="Q32" s="129"/>
    </row>
    <row r="33" spans="1:17" x14ac:dyDescent="0.25">
      <c r="A33" s="128">
        <v>6</v>
      </c>
      <c r="B33" s="129">
        <v>1.028</v>
      </c>
      <c r="C33" s="129">
        <v>1.0860000000000001</v>
      </c>
      <c r="D33" s="129">
        <v>1.1499999999999999</v>
      </c>
      <c r="E33" s="129">
        <v>1.2210000000000001</v>
      </c>
      <c r="F33" s="129">
        <v>1.298</v>
      </c>
      <c r="G33" s="129">
        <v>1.3839999999999999</v>
      </c>
      <c r="H33" s="129">
        <v>1.478</v>
      </c>
      <c r="I33" s="129">
        <v>1.5820000000000001</v>
      </c>
      <c r="J33" s="129">
        <v>1.6950000000000001</v>
      </c>
      <c r="K33" s="129">
        <v>1.82</v>
      </c>
      <c r="L33" s="129">
        <v>1.958</v>
      </c>
      <c r="M33" s="129">
        <v>2.11</v>
      </c>
      <c r="N33" s="129">
        <v>2.278</v>
      </c>
      <c r="O33" s="129">
        <v>2.4620000000000002</v>
      </c>
      <c r="P33" s="129">
        <v>2.6629999999999998</v>
      </c>
      <c r="Q33" s="129"/>
    </row>
    <row r="34" spans="1:17" x14ac:dyDescent="0.25">
      <c r="A34" s="128">
        <v>7</v>
      </c>
      <c r="B34" s="129">
        <v>1.0329999999999999</v>
      </c>
      <c r="C34" s="129">
        <v>1.091</v>
      </c>
      <c r="D34" s="129">
        <v>1.1559999999999999</v>
      </c>
      <c r="E34" s="129">
        <v>1.2270000000000001</v>
      </c>
      <c r="F34" s="129">
        <v>1.3049999999999999</v>
      </c>
      <c r="G34" s="129">
        <v>1.391</v>
      </c>
      <c r="H34" s="129">
        <v>1.486</v>
      </c>
      <c r="I34" s="129">
        <v>1.591</v>
      </c>
      <c r="J34" s="129">
        <v>1.7050000000000001</v>
      </c>
      <c r="K34" s="129">
        <v>1.831</v>
      </c>
      <c r="L34" s="129">
        <v>1.97</v>
      </c>
      <c r="M34" s="129">
        <v>2.1240000000000001</v>
      </c>
      <c r="N34" s="129">
        <v>2.2919999999999998</v>
      </c>
      <c r="O34" s="129">
        <v>2.4780000000000002</v>
      </c>
      <c r="P34" s="129">
        <v>2.681</v>
      </c>
      <c r="Q34" s="129"/>
    </row>
    <row r="35" spans="1:17" x14ac:dyDescent="0.25">
      <c r="A35" s="128">
        <v>8</v>
      </c>
      <c r="B35" s="129">
        <v>1.0369999999999999</v>
      </c>
      <c r="C35" s="129">
        <v>1.0960000000000001</v>
      </c>
      <c r="D35" s="129">
        <v>1.1619999999999999</v>
      </c>
      <c r="E35" s="129">
        <v>1.2330000000000001</v>
      </c>
      <c r="F35" s="129">
        <v>1.3120000000000001</v>
      </c>
      <c r="G35" s="129">
        <v>1.399</v>
      </c>
      <c r="H35" s="129">
        <v>1.4950000000000001</v>
      </c>
      <c r="I35" s="129">
        <v>1.6</v>
      </c>
      <c r="J35" s="129">
        <v>1.7150000000000001</v>
      </c>
      <c r="K35" s="129">
        <v>1.8420000000000001</v>
      </c>
      <c r="L35" s="129">
        <v>1.982</v>
      </c>
      <c r="M35" s="129">
        <v>2.137</v>
      </c>
      <c r="N35" s="129">
        <v>2.3069999999999999</v>
      </c>
      <c r="O35" s="129">
        <v>2.4940000000000002</v>
      </c>
      <c r="P35" s="129">
        <v>2.6989999999999998</v>
      </c>
      <c r="Q35" s="129"/>
    </row>
    <row r="36" spans="1:17" x14ac:dyDescent="0.25">
      <c r="A36" s="128">
        <v>9</v>
      </c>
      <c r="B36" s="129">
        <v>1.042</v>
      </c>
      <c r="C36" s="129">
        <v>1.1020000000000001</v>
      </c>
      <c r="D36" s="129">
        <v>1.167</v>
      </c>
      <c r="E36" s="129">
        <v>1.2390000000000001</v>
      </c>
      <c r="F36" s="129">
        <v>1.319</v>
      </c>
      <c r="G36" s="129">
        <v>1.4059999999999999</v>
      </c>
      <c r="H36" s="129">
        <v>1.5029999999999999</v>
      </c>
      <c r="I36" s="129">
        <v>1.609</v>
      </c>
      <c r="J36" s="129">
        <v>1.7250000000000001</v>
      </c>
      <c r="K36" s="129">
        <v>1.853</v>
      </c>
      <c r="L36" s="129">
        <v>1.994</v>
      </c>
      <c r="M36" s="129">
        <v>2.15</v>
      </c>
      <c r="N36" s="129">
        <v>2.3210000000000002</v>
      </c>
      <c r="O36" s="129">
        <v>2.5099999999999998</v>
      </c>
      <c r="P36" s="129">
        <v>2.7160000000000002</v>
      </c>
      <c r="Q36" s="129"/>
    </row>
    <row r="37" spans="1:17" x14ac:dyDescent="0.25">
      <c r="A37" s="128">
        <v>10</v>
      </c>
      <c r="B37" s="129">
        <v>1.046</v>
      </c>
      <c r="C37" s="129">
        <v>1.107</v>
      </c>
      <c r="D37" s="129">
        <v>1.173</v>
      </c>
      <c r="E37" s="129">
        <v>1.2450000000000001</v>
      </c>
      <c r="F37" s="129">
        <v>1.3260000000000001</v>
      </c>
      <c r="G37" s="129">
        <v>1.4139999999999999</v>
      </c>
      <c r="H37" s="129">
        <v>1.5109999999999999</v>
      </c>
      <c r="I37" s="129">
        <v>1.6180000000000001</v>
      </c>
      <c r="J37" s="129">
        <v>1.7350000000000001</v>
      </c>
      <c r="K37" s="129">
        <v>1.8640000000000001</v>
      </c>
      <c r="L37" s="129">
        <v>2.0070000000000001</v>
      </c>
      <c r="M37" s="129">
        <v>2.1629999999999998</v>
      </c>
      <c r="N37" s="129">
        <v>2.3359999999999999</v>
      </c>
      <c r="O37" s="129">
        <v>2.5259999999999998</v>
      </c>
      <c r="P37" s="129">
        <v>2.734</v>
      </c>
      <c r="Q37" s="129"/>
    </row>
    <row r="38" spans="1:17" x14ac:dyDescent="0.25">
      <c r="A38" s="128">
        <v>11</v>
      </c>
      <c r="B38" s="129">
        <v>1.0509999999999999</v>
      </c>
      <c r="C38" s="129">
        <v>1.1120000000000001</v>
      </c>
      <c r="D38" s="129">
        <v>1.1779999999999999</v>
      </c>
      <c r="E38" s="129">
        <v>1.252</v>
      </c>
      <c r="F38" s="129">
        <v>1.3320000000000001</v>
      </c>
      <c r="G38" s="129">
        <v>1.421</v>
      </c>
      <c r="H38" s="129">
        <v>1.5189999999999999</v>
      </c>
      <c r="I38" s="129">
        <v>1.627</v>
      </c>
      <c r="J38" s="129">
        <v>1.7450000000000001</v>
      </c>
      <c r="K38" s="129">
        <v>1.875</v>
      </c>
      <c r="L38" s="129">
        <v>2.0190000000000001</v>
      </c>
      <c r="M38" s="129">
        <v>2.177</v>
      </c>
      <c r="N38" s="129">
        <v>2.351</v>
      </c>
      <c r="O38" s="129">
        <v>2.5419999999999998</v>
      </c>
      <c r="P38" s="129">
        <v>2.7509999999999999</v>
      </c>
      <c r="Q38" s="129"/>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5" customHeight="1" x14ac:dyDescent="0.25">
      <c r="A44"/>
      <c r="B44"/>
    </row>
    <row r="45" spans="1:17" x14ac:dyDescent="0.25">
      <c r="A45"/>
      <c r="B45"/>
    </row>
    <row r="46" spans="1:17" ht="27.65"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conditionalFormatting sqref="A6:A21">
    <cfRule type="expression" dxfId="661" priority="3" stopIfTrue="1">
      <formula>MOD(ROW(),2)=0</formula>
    </cfRule>
    <cfRule type="expression" dxfId="660" priority="4" stopIfTrue="1">
      <formula>MOD(ROW(),2)&lt;&gt;0</formula>
    </cfRule>
  </conditionalFormatting>
  <conditionalFormatting sqref="A26:A38">
    <cfRule type="expression" dxfId="659" priority="7" stopIfTrue="1">
      <formula>MOD(ROW(),2)=0</formula>
    </cfRule>
    <cfRule type="expression" dxfId="658" priority="8" stopIfTrue="1">
      <formula>MOD(ROW(),2)&lt;&gt;0</formula>
    </cfRule>
  </conditionalFormatting>
  <conditionalFormatting sqref="B18:B21">
    <cfRule type="expression" dxfId="657" priority="1" stopIfTrue="1">
      <formula>MOD(ROW(),2)=0</formula>
    </cfRule>
    <cfRule type="expression" dxfId="656" priority="2" stopIfTrue="1">
      <formula>MOD(ROW(),2)&lt;&gt;0</formula>
    </cfRule>
  </conditionalFormatting>
  <conditionalFormatting sqref="B6:Q21">
    <cfRule type="expression" dxfId="655" priority="17" stopIfTrue="1">
      <formula>MOD(ROW(),2)=0</formula>
    </cfRule>
    <cfRule type="expression" dxfId="654" priority="18" stopIfTrue="1">
      <formula>MOD(ROW(),2)&lt;&gt;0</formula>
    </cfRule>
  </conditionalFormatting>
  <conditionalFormatting sqref="B26:Q38">
    <cfRule type="expression" dxfId="653" priority="9" stopIfTrue="1">
      <formula>MOD(ROW(),2)=0</formula>
    </cfRule>
    <cfRule type="expression" dxfId="652" priority="10" stopIfTrue="1">
      <formula>MOD(ROW(),2)&lt;&gt;0</formula>
    </cfRule>
  </conditionalFormatting>
  <hyperlinks>
    <hyperlink ref="B24" location="Assumptions!A1" display="Assumptions" xr:uid="{7C64ADB0-9D14-40B9-B3FD-1AFD3570ED1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9"/>
  <dimension ref="A1:I63"/>
  <sheetViews>
    <sheetView workbookViewId="0"/>
  </sheetViews>
  <sheetFormatPr defaultColWidth="10" defaultRowHeight="12.5" x14ac:dyDescent="0.25"/>
  <cols>
    <col min="1" max="1" width="31.54296875" style="28" customWidth="1"/>
    <col min="2" max="2" width="22.54296875" style="28" customWidth="1"/>
    <col min="3" max="3" width="10.17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
        <v>1</v>
      </c>
      <c r="B2" s="56"/>
      <c r="C2" s="56"/>
      <c r="D2" s="56"/>
      <c r="E2" s="56"/>
      <c r="F2" s="56"/>
      <c r="G2" s="56"/>
      <c r="H2" s="56"/>
      <c r="I2" s="56"/>
    </row>
    <row r="3" spans="1:9" ht="15.5" x14ac:dyDescent="0.35">
      <c r="A3" s="57" t="str">
        <f>TABLE_FACTOR_TYPE_1&amp;" - x-"&amp;TABLE_SERIES_NUMBER_1</f>
        <v>ERF - x-420</v>
      </c>
      <c r="B3" s="56"/>
      <c r="C3" s="56"/>
      <c r="D3" s="56"/>
      <c r="E3" s="56"/>
      <c r="F3" s="56"/>
      <c r="G3" s="56"/>
      <c r="H3" s="56"/>
      <c r="I3" s="56"/>
    </row>
    <row r="4" spans="1:9" x14ac:dyDescent="0.25">
      <c r="A4" s="58"/>
    </row>
    <row r="6" spans="1:9" ht="13" x14ac:dyDescent="0.3">
      <c r="A6" s="86" t="s">
        <v>716</v>
      </c>
      <c r="B6" s="111" t="s">
        <v>717</v>
      </c>
    </row>
    <row r="7" spans="1:9" x14ac:dyDescent="0.25">
      <c r="A7" s="87" t="s">
        <v>797</v>
      </c>
      <c r="B7" s="111" t="s">
        <v>326</v>
      </c>
    </row>
    <row r="8" spans="1:9" x14ac:dyDescent="0.25">
      <c r="A8" s="87" t="s">
        <v>798</v>
      </c>
      <c r="B8" s="111" t="s">
        <v>444</v>
      </c>
    </row>
    <row r="9" spans="1:9" x14ac:dyDescent="0.25">
      <c r="A9" s="87" t="s">
        <v>300</v>
      </c>
      <c r="B9" s="111" t="s">
        <v>426</v>
      </c>
    </row>
    <row r="10" spans="1:9" x14ac:dyDescent="0.25">
      <c r="A10" s="87" t="s">
        <v>6</v>
      </c>
      <c r="B10" s="111" t="s">
        <v>511</v>
      </c>
    </row>
    <row r="11" spans="1:9" x14ac:dyDescent="0.25">
      <c r="A11" s="87" t="s">
        <v>301</v>
      </c>
      <c r="B11" s="111" t="s">
        <v>319</v>
      </c>
    </row>
    <row r="12" spans="1:9" x14ac:dyDescent="0.25">
      <c r="A12" s="87" t="s">
        <v>302</v>
      </c>
      <c r="B12" s="111"/>
    </row>
    <row r="13" spans="1:9" x14ac:dyDescent="0.25">
      <c r="A13" s="87" t="s">
        <v>813</v>
      </c>
      <c r="B13" s="111">
        <v>1</v>
      </c>
    </row>
    <row r="14" spans="1:9" x14ac:dyDescent="0.25">
      <c r="A14" s="87" t="s">
        <v>304</v>
      </c>
      <c r="B14" s="111">
        <v>420</v>
      </c>
    </row>
    <row r="15" spans="1:9" x14ac:dyDescent="0.25">
      <c r="A15" s="87" t="s">
        <v>727</v>
      </c>
      <c r="B15" s="111" t="s">
        <v>512</v>
      </c>
    </row>
    <row r="16" spans="1:9" x14ac:dyDescent="0.25">
      <c r="A16" s="87" t="s">
        <v>814</v>
      </c>
      <c r="B16" s="111" t="s">
        <v>513</v>
      </c>
    </row>
    <row r="17" spans="1:2" x14ac:dyDescent="0.25">
      <c r="A17" s="87" t="s">
        <v>800</v>
      </c>
      <c r="B17" s="111"/>
    </row>
    <row r="18" spans="1:2" x14ac:dyDescent="0.25">
      <c r="A18" s="87" t="s">
        <v>308</v>
      </c>
      <c r="B18" s="122">
        <v>45106</v>
      </c>
    </row>
    <row r="19" spans="1:2" x14ac:dyDescent="0.25">
      <c r="A19" s="87" t="s">
        <v>309</v>
      </c>
      <c r="B19" s="122">
        <v>45200</v>
      </c>
    </row>
    <row r="20" spans="1:2" x14ac:dyDescent="0.25">
      <c r="A20" s="87" t="s">
        <v>310</v>
      </c>
      <c r="B20" s="111" t="s">
        <v>324</v>
      </c>
    </row>
    <row r="21" spans="1:2" x14ac:dyDescent="0.25">
      <c r="A21" s="87" t="s">
        <v>311</v>
      </c>
      <c r="B21" s="111" t="s">
        <v>325</v>
      </c>
    </row>
    <row r="23" spans="1:2" x14ac:dyDescent="0.25">
      <c r="B23" s="104" t="str">
        <f>HYPERLINK("#'Factor List'!A1","Back to Factor List")</f>
        <v>Back to Factor List</v>
      </c>
    </row>
    <row r="24" spans="1:2" x14ac:dyDescent="0.25">
      <c r="B24" s="104" t="s">
        <v>13</v>
      </c>
    </row>
    <row r="26" spans="1:2" ht="13" x14ac:dyDescent="0.25">
      <c r="A26" s="176" t="s">
        <v>840</v>
      </c>
      <c r="B26" s="175" t="s">
        <v>841</v>
      </c>
    </row>
    <row r="27" spans="1:2" x14ac:dyDescent="0.25">
      <c r="A27" s="177">
        <v>60</v>
      </c>
      <c r="B27" s="178">
        <v>1.2470000000000001</v>
      </c>
    </row>
    <row r="28" spans="1:2" x14ac:dyDescent="0.25">
      <c r="A28" s="179">
        <v>65</v>
      </c>
      <c r="B28" s="174">
        <v>1.6</v>
      </c>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ht="39.65" customHeight="1" x14ac:dyDescent="0.25">
      <c r="A42"/>
      <c r="B42"/>
    </row>
    <row r="43" spans="1:2" x14ac:dyDescent="0.25">
      <c r="A43"/>
      <c r="B43"/>
    </row>
    <row r="44" spans="1:2" ht="27.65" customHeight="1"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sheetData>
  <conditionalFormatting sqref="A6:A21">
    <cfRule type="expression" dxfId="651" priority="3" stopIfTrue="1">
      <formula>MOD(ROW(),2)=0</formula>
    </cfRule>
    <cfRule type="expression" dxfId="650" priority="4" stopIfTrue="1">
      <formula>MOD(ROW(),2)&lt;&gt;0</formula>
    </cfRule>
  </conditionalFormatting>
  <conditionalFormatting sqref="B6">
    <cfRule type="expression" dxfId="649" priority="21" stopIfTrue="1">
      <formula>MOD(ROW(),2)=0</formula>
    </cfRule>
    <cfRule type="expression" dxfId="648" priority="22" stopIfTrue="1">
      <formula>MOD(ROW(),2)&lt;&gt;0</formula>
    </cfRule>
  </conditionalFormatting>
  <conditionalFormatting sqref="B6:B21">
    <cfRule type="expression" dxfId="647" priority="7" stopIfTrue="1">
      <formula>MOD(ROW(),2)=0</formula>
    </cfRule>
    <cfRule type="expression" dxfId="646" priority="8" stopIfTrue="1">
      <formula>MOD(ROW(),2)&lt;&gt;0</formula>
    </cfRule>
  </conditionalFormatting>
  <conditionalFormatting sqref="B8:B18 B20:B21">
    <cfRule type="expression" dxfId="645" priority="9" stopIfTrue="1">
      <formula>MOD(ROW(),2)=0</formula>
    </cfRule>
    <cfRule type="expression" dxfId="644" priority="10" stopIfTrue="1">
      <formula>MOD(ROW(),2)&lt;&gt;0</formula>
    </cfRule>
  </conditionalFormatting>
  <conditionalFormatting sqref="B19">
    <cfRule type="expression" dxfId="643" priority="1" stopIfTrue="1">
      <formula>MOD(ROW(),2)=0</formula>
    </cfRule>
    <cfRule type="expression" dxfId="642" priority="2" stopIfTrue="1">
      <formula>MOD(ROW(),2)&lt;&gt;0</formula>
    </cfRule>
  </conditionalFormatting>
  <hyperlinks>
    <hyperlink ref="B24" location="Assumptions!A1" display="Assumptions" xr:uid="{F1730954-BB2A-464F-BF29-0CB629A8F30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7"/>
  <dimension ref="A1:Q47"/>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c r="E1" s="54"/>
      <c r="F1" s="54"/>
      <c r="G1" s="54"/>
      <c r="H1" s="54"/>
      <c r="I1" s="54"/>
      <c r="J1" s="54"/>
      <c r="K1" s="54"/>
      <c r="L1" s="54"/>
      <c r="M1" s="54"/>
      <c r="N1" s="54"/>
      <c r="O1" s="54"/>
      <c r="P1" s="54"/>
      <c r="Q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c r="J2" s="56"/>
      <c r="K2" s="56"/>
      <c r="L2" s="56"/>
      <c r="M2" s="56"/>
      <c r="N2" s="56"/>
      <c r="O2" s="56"/>
      <c r="P2" s="56"/>
      <c r="Q2" s="56"/>
    </row>
    <row r="3" spans="1:17" ht="15.5" x14ac:dyDescent="0.35">
      <c r="A3" s="57" t="str">
        <f>TABLE_FACTOR_TYPE_1&amp;" - x-"&amp;TABLE_SERIES_NUMBER_1</f>
        <v>LRF - x-421</v>
      </c>
      <c r="B3" s="56"/>
      <c r="C3" s="56"/>
      <c r="D3" s="56"/>
      <c r="E3" s="56"/>
      <c r="F3" s="56"/>
      <c r="G3" s="56"/>
      <c r="H3" s="56"/>
      <c r="I3" s="56"/>
      <c r="J3" s="56"/>
      <c r="K3" s="56"/>
      <c r="L3" s="56"/>
      <c r="M3" s="56"/>
      <c r="N3" s="56"/>
      <c r="O3" s="56"/>
      <c r="P3" s="56"/>
      <c r="Q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326</v>
      </c>
      <c r="C7" s="111"/>
      <c r="D7" s="111"/>
      <c r="E7" s="111"/>
      <c r="F7" s="111"/>
      <c r="G7" s="111"/>
      <c r="H7" s="111"/>
      <c r="I7" s="111"/>
      <c r="J7" s="111"/>
      <c r="K7" s="111"/>
      <c r="L7" s="111"/>
      <c r="M7" s="111"/>
      <c r="N7" s="111"/>
      <c r="O7" s="111"/>
      <c r="P7" s="111"/>
      <c r="Q7" s="111"/>
    </row>
    <row r="8" spans="1:17" x14ac:dyDescent="0.25">
      <c r="A8" s="87" t="s">
        <v>798</v>
      </c>
      <c r="B8" s="111" t="s">
        <v>96</v>
      </c>
      <c r="C8" s="111"/>
      <c r="D8" s="111"/>
      <c r="E8" s="111"/>
      <c r="F8" s="111"/>
      <c r="G8" s="111"/>
      <c r="H8" s="111"/>
      <c r="I8" s="111"/>
      <c r="J8" s="111"/>
      <c r="K8" s="111"/>
      <c r="L8" s="111"/>
      <c r="M8" s="111"/>
      <c r="N8" s="111"/>
      <c r="O8" s="111"/>
      <c r="P8" s="111"/>
      <c r="Q8" s="111"/>
    </row>
    <row r="9" spans="1:17" x14ac:dyDescent="0.25">
      <c r="A9" s="87" t="s">
        <v>300</v>
      </c>
      <c r="B9" s="111" t="s">
        <v>488</v>
      </c>
      <c r="C9" s="111"/>
      <c r="D9" s="111"/>
      <c r="E9" s="111"/>
      <c r="F9" s="111"/>
      <c r="G9" s="111"/>
      <c r="H9" s="111"/>
      <c r="I9" s="111"/>
      <c r="J9" s="111"/>
      <c r="K9" s="111"/>
      <c r="L9" s="111"/>
      <c r="M9" s="111"/>
      <c r="N9" s="111"/>
      <c r="O9" s="111"/>
      <c r="P9" s="111"/>
      <c r="Q9" s="111"/>
    </row>
    <row r="10" spans="1:17" x14ac:dyDescent="0.25">
      <c r="A10" s="87" t="s">
        <v>6</v>
      </c>
      <c r="B10" s="111" t="s">
        <v>515</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490</v>
      </c>
      <c r="C12" s="111"/>
      <c r="D12" s="111"/>
      <c r="E12" s="111"/>
      <c r="F12" s="111"/>
      <c r="G12" s="111"/>
      <c r="H12" s="111"/>
      <c r="I12" s="111"/>
      <c r="J12" s="111"/>
      <c r="K12" s="111"/>
      <c r="L12" s="111"/>
      <c r="M12" s="111"/>
      <c r="N12" s="111"/>
      <c r="O12" s="111"/>
      <c r="P12" s="111"/>
      <c r="Q12" s="111"/>
    </row>
    <row r="13" spans="1:17" x14ac:dyDescent="0.25">
      <c r="A13" s="87" t="s">
        <v>813</v>
      </c>
      <c r="B13" s="111">
        <v>1</v>
      </c>
      <c r="C13" s="111"/>
      <c r="D13" s="111"/>
      <c r="E13" s="111"/>
      <c r="F13" s="111"/>
      <c r="G13" s="111"/>
      <c r="H13" s="111"/>
      <c r="I13" s="111"/>
      <c r="J13" s="111"/>
      <c r="K13" s="111"/>
      <c r="L13" s="111"/>
      <c r="M13" s="111"/>
      <c r="N13" s="111"/>
      <c r="O13" s="111"/>
      <c r="P13" s="111"/>
      <c r="Q13" s="111"/>
    </row>
    <row r="14" spans="1:17" x14ac:dyDescent="0.25">
      <c r="A14" s="87" t="s">
        <v>304</v>
      </c>
      <c r="B14" s="111">
        <v>421</v>
      </c>
      <c r="C14" s="111"/>
      <c r="D14" s="111"/>
      <c r="E14" s="111"/>
      <c r="F14" s="111"/>
      <c r="G14" s="111"/>
      <c r="H14" s="111"/>
      <c r="I14" s="111"/>
      <c r="J14" s="111"/>
      <c r="K14" s="111"/>
      <c r="L14" s="111"/>
      <c r="M14" s="111"/>
      <c r="N14" s="111"/>
      <c r="O14" s="111"/>
      <c r="P14" s="111"/>
      <c r="Q14" s="111"/>
    </row>
    <row r="15" spans="1:17" x14ac:dyDescent="0.25">
      <c r="A15" s="87" t="s">
        <v>727</v>
      </c>
      <c r="B15" s="111" t="s">
        <v>517</v>
      </c>
      <c r="C15" s="111"/>
      <c r="D15" s="111"/>
      <c r="E15" s="111"/>
      <c r="F15" s="111"/>
      <c r="G15" s="111"/>
      <c r="H15" s="111"/>
      <c r="I15" s="111"/>
      <c r="J15" s="111"/>
      <c r="K15" s="111"/>
      <c r="L15" s="111"/>
      <c r="M15" s="111"/>
      <c r="N15" s="111"/>
      <c r="O15" s="111"/>
      <c r="P15" s="111"/>
      <c r="Q15" s="111"/>
    </row>
    <row r="16" spans="1:17" x14ac:dyDescent="0.25">
      <c r="A16" s="87" t="s">
        <v>306</v>
      </c>
      <c r="B16" s="111" t="s">
        <v>518</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2" spans="1:17" x14ac:dyDescent="0.25">
      <c r="C22" s="104"/>
      <c r="D22" s="104"/>
      <c r="E22" s="104"/>
      <c r="F22" s="104"/>
      <c r="G22" s="104"/>
      <c r="H22" s="104"/>
      <c r="I22" s="104"/>
      <c r="J22" s="104"/>
      <c r="K22" s="104"/>
      <c r="L22" s="104"/>
      <c r="M22" s="104"/>
      <c r="N22" s="104"/>
      <c r="O22" s="104"/>
      <c r="P22" s="104"/>
      <c r="Q22" s="104"/>
    </row>
    <row r="23" spans="1:17" x14ac:dyDescent="0.25">
      <c r="B23" s="104" t="str">
        <f>HYPERLINK("#'Factor List'!A1","Back to Factor List")</f>
        <v>Back to Factor List</v>
      </c>
    </row>
    <row r="24" spans="1:17" x14ac:dyDescent="0.25">
      <c r="B24" s="104" t="s">
        <v>13</v>
      </c>
    </row>
    <row r="26" spans="1:17" ht="13" x14ac:dyDescent="0.25">
      <c r="A26" s="127" t="s">
        <v>839</v>
      </c>
      <c r="B26" s="127">
        <v>65</v>
      </c>
      <c r="C26" s="127">
        <v>66</v>
      </c>
      <c r="D26" s="127">
        <v>67</v>
      </c>
      <c r="E26" s="127">
        <v>68</v>
      </c>
      <c r="F26" s="127">
        <v>69</v>
      </c>
      <c r="G26" s="127">
        <v>70</v>
      </c>
      <c r="H26" s="127">
        <v>71</v>
      </c>
      <c r="I26" s="127">
        <v>72</v>
      </c>
      <c r="J26" s="127">
        <v>73</v>
      </c>
      <c r="K26" s="127">
        <v>74</v>
      </c>
      <c r="L26" s="127">
        <v>75</v>
      </c>
      <c r="M26" s="127">
        <v>76</v>
      </c>
      <c r="N26" s="127">
        <v>77</v>
      </c>
      <c r="O26" s="127">
        <v>78</v>
      </c>
      <c r="P26" s="127">
        <v>79</v>
      </c>
      <c r="Q26" s="127">
        <v>80</v>
      </c>
    </row>
    <row r="27" spans="1:17" x14ac:dyDescent="0.25">
      <c r="A27" s="128">
        <v>0</v>
      </c>
      <c r="B27" s="129">
        <v>1</v>
      </c>
      <c r="C27" s="129">
        <v>1.0549999999999999</v>
      </c>
      <c r="D27" s="129">
        <v>1.119</v>
      </c>
      <c r="E27" s="129">
        <v>1.1890000000000001</v>
      </c>
      <c r="F27" s="129">
        <v>1.266</v>
      </c>
      <c r="G27" s="129">
        <v>1.349</v>
      </c>
      <c r="H27" s="129">
        <v>1.444</v>
      </c>
      <c r="I27" s="129">
        <v>1.5489999999999999</v>
      </c>
      <c r="J27" s="129">
        <v>1.665</v>
      </c>
      <c r="K27" s="129">
        <v>1.794</v>
      </c>
      <c r="L27" s="129">
        <v>1.929</v>
      </c>
      <c r="M27" s="129">
        <v>2.0859999999999999</v>
      </c>
      <c r="N27" s="129">
        <v>2.2610000000000001</v>
      </c>
      <c r="O27" s="129">
        <v>2.4550000000000001</v>
      </c>
      <c r="P27" s="129">
        <v>2.67</v>
      </c>
      <c r="Q27" s="129">
        <v>2.8969999999999998</v>
      </c>
    </row>
    <row r="28" spans="1:17" x14ac:dyDescent="0.25">
      <c r="A28" s="128">
        <v>1</v>
      </c>
      <c r="B28" s="129">
        <v>1.0049999999999999</v>
      </c>
      <c r="C28" s="129">
        <v>1.0609999999999999</v>
      </c>
      <c r="D28" s="129">
        <v>1.125</v>
      </c>
      <c r="E28" s="129">
        <v>1.1950000000000001</v>
      </c>
      <c r="F28" s="129">
        <v>1.2729999999999999</v>
      </c>
      <c r="G28" s="129">
        <v>1.357</v>
      </c>
      <c r="H28" s="129">
        <v>1.4530000000000001</v>
      </c>
      <c r="I28" s="129">
        <v>1.5589999999999999</v>
      </c>
      <c r="J28" s="129">
        <v>1.6759999999999999</v>
      </c>
      <c r="K28" s="129">
        <v>1.8049999999999999</v>
      </c>
      <c r="L28" s="129">
        <v>1.9419999999999999</v>
      </c>
      <c r="M28" s="129">
        <v>2.1</v>
      </c>
      <c r="N28" s="129">
        <v>2.2770000000000001</v>
      </c>
      <c r="O28" s="129">
        <v>2.4729999999999999</v>
      </c>
      <c r="P28" s="129">
        <v>2.6890000000000001</v>
      </c>
      <c r="Q28" s="129"/>
    </row>
    <row r="29" spans="1:17" x14ac:dyDescent="0.25">
      <c r="A29" s="128">
        <v>2</v>
      </c>
      <c r="B29" s="129">
        <v>1.0089999999999999</v>
      </c>
      <c r="C29" s="129">
        <v>1.0660000000000001</v>
      </c>
      <c r="D29" s="129">
        <v>1.131</v>
      </c>
      <c r="E29" s="129">
        <v>1.202</v>
      </c>
      <c r="F29" s="129">
        <v>1.28</v>
      </c>
      <c r="G29" s="129">
        <v>1.365</v>
      </c>
      <c r="H29" s="129">
        <v>1.462</v>
      </c>
      <c r="I29" s="129">
        <v>1.5680000000000001</v>
      </c>
      <c r="J29" s="129">
        <v>1.6870000000000001</v>
      </c>
      <c r="K29" s="129">
        <v>1.8160000000000001</v>
      </c>
      <c r="L29" s="129">
        <v>1.9550000000000001</v>
      </c>
      <c r="M29" s="129">
        <v>2.1150000000000002</v>
      </c>
      <c r="N29" s="129">
        <v>2.2930000000000001</v>
      </c>
      <c r="O29" s="129">
        <v>2.4910000000000001</v>
      </c>
      <c r="P29" s="129">
        <v>2.7080000000000002</v>
      </c>
      <c r="Q29" s="129"/>
    </row>
    <row r="30" spans="1:17" x14ac:dyDescent="0.25">
      <c r="A30" s="128">
        <v>3</v>
      </c>
      <c r="B30" s="129">
        <v>1.014</v>
      </c>
      <c r="C30" s="129">
        <v>1.071</v>
      </c>
      <c r="D30" s="129">
        <v>1.1359999999999999</v>
      </c>
      <c r="E30" s="129">
        <v>1.208</v>
      </c>
      <c r="F30" s="129">
        <v>1.2869999999999999</v>
      </c>
      <c r="G30" s="129">
        <v>1.373</v>
      </c>
      <c r="H30" s="129">
        <v>1.47</v>
      </c>
      <c r="I30" s="129">
        <v>1.5780000000000001</v>
      </c>
      <c r="J30" s="129">
        <v>1.6970000000000001</v>
      </c>
      <c r="K30" s="129">
        <v>1.827</v>
      </c>
      <c r="L30" s="129">
        <v>1.968</v>
      </c>
      <c r="M30" s="129">
        <v>2.129</v>
      </c>
      <c r="N30" s="129">
        <v>2.3090000000000002</v>
      </c>
      <c r="O30" s="129">
        <v>2.5089999999999999</v>
      </c>
      <c r="P30" s="129">
        <v>2.7269999999999999</v>
      </c>
      <c r="Q30" s="129"/>
    </row>
    <row r="31" spans="1:17" x14ac:dyDescent="0.25">
      <c r="A31" s="128">
        <v>4</v>
      </c>
      <c r="B31" s="129">
        <v>1.018</v>
      </c>
      <c r="C31" s="129">
        <v>1.0760000000000001</v>
      </c>
      <c r="D31" s="129">
        <v>1.1419999999999999</v>
      </c>
      <c r="E31" s="129">
        <v>1.2150000000000001</v>
      </c>
      <c r="F31" s="129">
        <v>1.294</v>
      </c>
      <c r="G31" s="129">
        <v>1.381</v>
      </c>
      <c r="H31" s="129">
        <v>1.4790000000000001</v>
      </c>
      <c r="I31" s="129">
        <v>1.5880000000000001</v>
      </c>
      <c r="J31" s="129">
        <v>1.708</v>
      </c>
      <c r="K31" s="129">
        <v>1.839</v>
      </c>
      <c r="L31" s="129">
        <v>1.9810000000000001</v>
      </c>
      <c r="M31" s="129">
        <v>2.1440000000000001</v>
      </c>
      <c r="N31" s="129">
        <v>2.3250000000000002</v>
      </c>
      <c r="O31" s="129">
        <v>2.5270000000000001</v>
      </c>
      <c r="P31" s="129">
        <v>2.746</v>
      </c>
      <c r="Q31" s="129"/>
    </row>
    <row r="32" spans="1:17" x14ac:dyDescent="0.25">
      <c r="A32" s="128">
        <v>5</v>
      </c>
      <c r="B32" s="129">
        <v>1.0229999999999999</v>
      </c>
      <c r="C32" s="129">
        <v>1.0820000000000001</v>
      </c>
      <c r="D32" s="129">
        <v>1.1479999999999999</v>
      </c>
      <c r="E32" s="129">
        <v>1.2210000000000001</v>
      </c>
      <c r="F32" s="129">
        <v>1.3009999999999999</v>
      </c>
      <c r="G32" s="129">
        <v>1.389</v>
      </c>
      <c r="H32" s="129">
        <v>1.488</v>
      </c>
      <c r="I32" s="129">
        <v>1.597</v>
      </c>
      <c r="J32" s="129">
        <v>1.7190000000000001</v>
      </c>
      <c r="K32" s="129">
        <v>1.85</v>
      </c>
      <c r="L32" s="129">
        <v>1.994</v>
      </c>
      <c r="M32" s="129">
        <v>2.1589999999999998</v>
      </c>
      <c r="N32" s="129">
        <v>2.3420000000000001</v>
      </c>
      <c r="O32" s="129">
        <v>2.5449999999999999</v>
      </c>
      <c r="P32" s="129">
        <v>2.7650000000000001</v>
      </c>
      <c r="Q32" s="129"/>
    </row>
    <row r="33" spans="1:17" x14ac:dyDescent="0.25">
      <c r="A33" s="128">
        <v>6</v>
      </c>
      <c r="B33" s="129">
        <v>1.028</v>
      </c>
      <c r="C33" s="129">
        <v>1.087</v>
      </c>
      <c r="D33" s="129">
        <v>1.1539999999999999</v>
      </c>
      <c r="E33" s="129">
        <v>1.228</v>
      </c>
      <c r="F33" s="129">
        <v>1.3080000000000001</v>
      </c>
      <c r="G33" s="129">
        <v>1.397</v>
      </c>
      <c r="H33" s="129">
        <v>1.4970000000000001</v>
      </c>
      <c r="I33" s="129">
        <v>1.607</v>
      </c>
      <c r="J33" s="129">
        <v>1.7290000000000001</v>
      </c>
      <c r="K33" s="129">
        <v>1.861</v>
      </c>
      <c r="L33" s="129">
        <v>2.0070000000000001</v>
      </c>
      <c r="M33" s="129">
        <v>2.173</v>
      </c>
      <c r="N33" s="129">
        <v>2.3580000000000001</v>
      </c>
      <c r="O33" s="129">
        <v>2.5630000000000002</v>
      </c>
      <c r="P33" s="129">
        <v>2.7839999999999998</v>
      </c>
      <c r="Q33" s="129"/>
    </row>
    <row r="34" spans="1:17" x14ac:dyDescent="0.25">
      <c r="A34" s="128">
        <v>7</v>
      </c>
      <c r="B34" s="129">
        <v>1.032</v>
      </c>
      <c r="C34" s="129">
        <v>1.0920000000000001</v>
      </c>
      <c r="D34" s="129">
        <v>1.1599999999999999</v>
      </c>
      <c r="E34" s="129">
        <v>1.234</v>
      </c>
      <c r="F34" s="129">
        <v>1.3149999999999999</v>
      </c>
      <c r="G34" s="129">
        <v>1.405</v>
      </c>
      <c r="H34" s="129">
        <v>1.5049999999999999</v>
      </c>
      <c r="I34" s="129">
        <v>1.617</v>
      </c>
      <c r="J34" s="129">
        <v>1.74</v>
      </c>
      <c r="K34" s="129">
        <v>1.8720000000000001</v>
      </c>
      <c r="L34" s="129">
        <v>2.02</v>
      </c>
      <c r="M34" s="129">
        <v>2.1880000000000002</v>
      </c>
      <c r="N34" s="129">
        <v>2.3740000000000001</v>
      </c>
      <c r="O34" s="129">
        <v>2.581</v>
      </c>
      <c r="P34" s="129">
        <v>2.8029999999999999</v>
      </c>
      <c r="Q34" s="129"/>
    </row>
    <row r="35" spans="1:17" x14ac:dyDescent="0.25">
      <c r="A35" s="128">
        <v>8</v>
      </c>
      <c r="B35" s="129">
        <v>1.0369999999999999</v>
      </c>
      <c r="C35" s="129">
        <v>1.0980000000000001</v>
      </c>
      <c r="D35" s="129">
        <v>1.1659999999999999</v>
      </c>
      <c r="E35" s="129">
        <v>1.2410000000000001</v>
      </c>
      <c r="F35" s="129">
        <v>1.3220000000000001</v>
      </c>
      <c r="G35" s="129">
        <v>1.413</v>
      </c>
      <c r="H35" s="129">
        <v>1.514</v>
      </c>
      <c r="I35" s="129">
        <v>1.6259999999999999</v>
      </c>
      <c r="J35" s="129">
        <v>1.7509999999999999</v>
      </c>
      <c r="K35" s="129">
        <v>1.8839999999999999</v>
      </c>
      <c r="L35" s="129">
        <v>2.0329999999999999</v>
      </c>
      <c r="M35" s="129">
        <v>2.202</v>
      </c>
      <c r="N35" s="129">
        <v>2.39</v>
      </c>
      <c r="O35" s="129">
        <v>2.5990000000000002</v>
      </c>
      <c r="P35" s="129">
        <v>2.8220000000000001</v>
      </c>
      <c r="Q35" s="129"/>
    </row>
    <row r="36" spans="1:17" x14ac:dyDescent="0.25">
      <c r="A36" s="128">
        <v>9</v>
      </c>
      <c r="B36" s="129">
        <v>1.0409999999999999</v>
      </c>
      <c r="C36" s="129">
        <v>1.103</v>
      </c>
      <c r="D36" s="129">
        <v>1.171</v>
      </c>
      <c r="E36" s="129">
        <v>1.2470000000000001</v>
      </c>
      <c r="F36" s="129">
        <v>1.329</v>
      </c>
      <c r="G36" s="129">
        <v>1.421</v>
      </c>
      <c r="H36" s="129">
        <v>1.5229999999999999</v>
      </c>
      <c r="I36" s="129">
        <v>1.6359999999999999</v>
      </c>
      <c r="J36" s="129">
        <v>1.7609999999999999</v>
      </c>
      <c r="K36" s="129">
        <v>1.895</v>
      </c>
      <c r="L36" s="129">
        <v>2.0459999999999998</v>
      </c>
      <c r="M36" s="129">
        <v>2.2170000000000001</v>
      </c>
      <c r="N36" s="129">
        <v>2.4060000000000001</v>
      </c>
      <c r="O36" s="129">
        <v>2.617</v>
      </c>
      <c r="P36" s="129">
        <v>2.84</v>
      </c>
      <c r="Q36" s="129"/>
    </row>
    <row r="37" spans="1:17" x14ac:dyDescent="0.25">
      <c r="A37" s="128">
        <v>10</v>
      </c>
      <c r="B37" s="129">
        <v>1.046</v>
      </c>
      <c r="C37" s="129">
        <v>1.1080000000000001</v>
      </c>
      <c r="D37" s="129">
        <v>1.177</v>
      </c>
      <c r="E37" s="129">
        <v>1.254</v>
      </c>
      <c r="F37" s="129">
        <v>1.3360000000000001</v>
      </c>
      <c r="G37" s="129">
        <v>1.4279999999999999</v>
      </c>
      <c r="H37" s="129">
        <v>1.532</v>
      </c>
      <c r="I37" s="129">
        <v>1.6459999999999999</v>
      </c>
      <c r="J37" s="129">
        <v>1.772</v>
      </c>
      <c r="K37" s="129">
        <v>1.9059999999999999</v>
      </c>
      <c r="L37" s="129">
        <v>2.0590000000000002</v>
      </c>
      <c r="M37" s="129">
        <v>2.2309999999999999</v>
      </c>
      <c r="N37" s="129">
        <v>2.423</v>
      </c>
      <c r="O37" s="129">
        <v>2.6349999999999998</v>
      </c>
      <c r="P37" s="129">
        <v>2.859</v>
      </c>
      <c r="Q37" s="129"/>
    </row>
    <row r="38" spans="1:17" x14ac:dyDescent="0.25">
      <c r="A38" s="128">
        <v>11</v>
      </c>
      <c r="B38" s="129">
        <v>1.0509999999999999</v>
      </c>
      <c r="C38" s="129">
        <v>1.1140000000000001</v>
      </c>
      <c r="D38" s="129">
        <v>1.1830000000000001</v>
      </c>
      <c r="E38" s="129">
        <v>1.26</v>
      </c>
      <c r="F38" s="129">
        <v>1.3420000000000001</v>
      </c>
      <c r="G38" s="129">
        <v>1.4359999999999999</v>
      </c>
      <c r="H38" s="129">
        <v>1.54</v>
      </c>
      <c r="I38" s="129">
        <v>1.655</v>
      </c>
      <c r="J38" s="129">
        <v>1.7829999999999999</v>
      </c>
      <c r="K38" s="129">
        <v>1.917</v>
      </c>
      <c r="L38" s="129">
        <v>2.073</v>
      </c>
      <c r="M38" s="129">
        <v>2.246</v>
      </c>
      <c r="N38" s="129">
        <v>2.4390000000000001</v>
      </c>
      <c r="O38" s="129">
        <v>2.6520000000000001</v>
      </c>
      <c r="P38" s="129">
        <v>2.8780000000000001</v>
      </c>
      <c r="Q38" s="129"/>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row r="45" spans="1:17" x14ac:dyDescent="0.25">
      <c r="A45"/>
      <c r="B45"/>
      <c r="C45"/>
      <c r="D45"/>
      <c r="E45"/>
      <c r="F45"/>
      <c r="G45"/>
      <c r="H45"/>
      <c r="I45"/>
      <c r="J45"/>
      <c r="K45"/>
      <c r="L45"/>
      <c r="M45"/>
      <c r="N45"/>
      <c r="O45"/>
      <c r="P45"/>
      <c r="Q45"/>
    </row>
    <row r="46" spans="1:17" x14ac:dyDescent="0.25">
      <c r="A46"/>
      <c r="B46"/>
      <c r="C46"/>
      <c r="D46"/>
      <c r="E46"/>
      <c r="F46"/>
      <c r="G46"/>
      <c r="H46"/>
      <c r="I46"/>
      <c r="J46"/>
      <c r="K46"/>
      <c r="L46"/>
      <c r="M46"/>
      <c r="N46"/>
      <c r="O46"/>
      <c r="P46"/>
      <c r="Q46"/>
    </row>
    <row r="47" spans="1:17" x14ac:dyDescent="0.25">
      <c r="A47"/>
      <c r="B47"/>
      <c r="C47"/>
      <c r="D47"/>
      <c r="E47"/>
      <c r="F47"/>
      <c r="G47"/>
      <c r="H47"/>
      <c r="I47"/>
      <c r="J47"/>
      <c r="K47"/>
      <c r="L47"/>
      <c r="M47"/>
      <c r="N47"/>
      <c r="O47"/>
      <c r="P47"/>
      <c r="Q47"/>
    </row>
  </sheetData>
  <conditionalFormatting sqref="A6:A21">
    <cfRule type="expression" dxfId="641" priority="3" stopIfTrue="1">
      <formula>MOD(ROW(),2)=0</formula>
    </cfRule>
    <cfRule type="expression" dxfId="640" priority="4" stopIfTrue="1">
      <formula>MOD(ROW(),2)&lt;&gt;0</formula>
    </cfRule>
  </conditionalFormatting>
  <conditionalFormatting sqref="A26:A38">
    <cfRule type="expression" dxfId="639" priority="7" stopIfTrue="1">
      <formula>MOD(ROW(),2)=0</formula>
    </cfRule>
    <cfRule type="expression" dxfId="638" priority="8" stopIfTrue="1">
      <formula>MOD(ROW(),2)&lt;&gt;0</formula>
    </cfRule>
  </conditionalFormatting>
  <conditionalFormatting sqref="B19">
    <cfRule type="expression" dxfId="637" priority="1" stopIfTrue="1">
      <formula>MOD(ROW(),2)=0</formula>
    </cfRule>
    <cfRule type="expression" dxfId="636" priority="2" stopIfTrue="1">
      <formula>MOD(ROW(),2)&lt;&gt;0</formula>
    </cfRule>
  </conditionalFormatting>
  <conditionalFormatting sqref="B6:Q6 B8:Q16">
    <cfRule type="expression" dxfId="635" priority="31" stopIfTrue="1">
      <formula>MOD(ROW(),2)=0</formula>
    </cfRule>
    <cfRule type="expression" dxfId="634" priority="32" stopIfTrue="1">
      <formula>MOD(ROW(),2)&lt;&gt;0</formula>
    </cfRule>
  </conditionalFormatting>
  <conditionalFormatting sqref="B6:Q21">
    <cfRule type="expression" dxfId="633" priority="13" stopIfTrue="1">
      <formula>MOD(ROW(),2)=0</formula>
    </cfRule>
    <cfRule type="expression" dxfId="632" priority="14" stopIfTrue="1">
      <formula>MOD(ROW(),2)&lt;&gt;0</formula>
    </cfRule>
  </conditionalFormatting>
  <conditionalFormatting sqref="B17:Q17">
    <cfRule type="expression" dxfId="631" priority="11" stopIfTrue="1">
      <formula>MOD(ROW(),2)=0</formula>
    </cfRule>
    <cfRule type="expression" dxfId="630" priority="12" stopIfTrue="1">
      <formula>MOD(ROW(),2)&lt;&gt;0</formula>
    </cfRule>
  </conditionalFormatting>
  <conditionalFormatting sqref="B18:Q18">
    <cfRule type="expression" dxfId="629" priority="15" stopIfTrue="1">
      <formula>MOD(ROW(),2)=0</formula>
    </cfRule>
    <cfRule type="expression" dxfId="628" priority="16" stopIfTrue="1">
      <formula>MOD(ROW(),2)&lt;&gt;0</formula>
    </cfRule>
  </conditionalFormatting>
  <conditionalFormatting sqref="B26:Q38">
    <cfRule type="expression" dxfId="627" priority="9" stopIfTrue="1">
      <formula>MOD(ROW(),2)=0</formula>
    </cfRule>
    <cfRule type="expression" dxfId="626" priority="10" stopIfTrue="1">
      <formula>MOD(ROW(),2)&lt;&gt;0</formula>
    </cfRule>
  </conditionalFormatting>
  <conditionalFormatting sqref="C19:Q19 B20:Q21">
    <cfRule type="expression" dxfId="625" priority="21" stopIfTrue="1">
      <formula>MOD(ROW(),2)=0</formula>
    </cfRule>
    <cfRule type="expression" dxfId="624" priority="22" stopIfTrue="1">
      <formula>MOD(ROW(),2)&lt;&gt;0</formula>
    </cfRule>
  </conditionalFormatting>
  <hyperlinks>
    <hyperlink ref="B24" location="Assumptions!A1" display="Assumptions" xr:uid="{B5798278-A1D5-4927-835E-57A65986D8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heetViews>
  <sheetFormatPr defaultRowHeight="12.5" x14ac:dyDescent="0.25"/>
  <sheetData>
    <row r="1" spans="1:3" x14ac:dyDescent="0.25">
      <c r="A1" t="s">
        <v>107</v>
      </c>
    </row>
    <row r="3" spans="1:3" x14ac:dyDescent="0.25">
      <c r="A3" t="s">
        <v>108</v>
      </c>
      <c r="C3" t="s">
        <v>109</v>
      </c>
    </row>
    <row r="4" spans="1:3" x14ac:dyDescent="0.25">
      <c r="A4" t="s">
        <v>110</v>
      </c>
      <c r="C4" t="s">
        <v>111</v>
      </c>
    </row>
    <row r="5" spans="1:3" x14ac:dyDescent="0.25">
      <c r="A5" t="s">
        <v>112</v>
      </c>
      <c r="C5" t="s">
        <v>113</v>
      </c>
    </row>
    <row r="6" spans="1:3" x14ac:dyDescent="0.25">
      <c r="A6" t="s">
        <v>114</v>
      </c>
      <c r="C6" t="s">
        <v>115</v>
      </c>
    </row>
    <row r="7" spans="1:3" x14ac:dyDescent="0.25">
      <c r="A7" t="s">
        <v>116</v>
      </c>
      <c r="C7" t="s">
        <v>117</v>
      </c>
    </row>
    <row r="8" spans="1:3" x14ac:dyDescent="0.25">
      <c r="A8" t="s">
        <v>118</v>
      </c>
      <c r="C8" t="s">
        <v>119</v>
      </c>
    </row>
    <row r="9" spans="1:3" x14ac:dyDescent="0.25">
      <c r="A9" t="s">
        <v>120</v>
      </c>
      <c r="C9" t="s">
        <v>116</v>
      </c>
    </row>
    <row r="10" spans="1:3" x14ac:dyDescent="0.25">
      <c r="A10" t="s">
        <v>121</v>
      </c>
      <c r="C10" t="s">
        <v>122</v>
      </c>
    </row>
    <row r="11" spans="1:3" x14ac:dyDescent="0.25">
      <c r="A11" t="s">
        <v>123</v>
      </c>
      <c r="C11" t="s">
        <v>123</v>
      </c>
    </row>
    <row r="12" spans="1:3" x14ac:dyDescent="0.25">
      <c r="A12" t="s">
        <v>124</v>
      </c>
      <c r="C12" t="s">
        <v>125</v>
      </c>
    </row>
    <row r="13" spans="1:3" x14ac:dyDescent="0.25">
      <c r="A13" t="s">
        <v>126</v>
      </c>
      <c r="C13" t="s">
        <v>127</v>
      </c>
    </row>
    <row r="14" spans="1:3" x14ac:dyDescent="0.25">
      <c r="A14" t="s">
        <v>128</v>
      </c>
      <c r="C14" t="s">
        <v>129</v>
      </c>
    </row>
    <row r="15" spans="1:3" x14ac:dyDescent="0.25">
      <c r="A15" t="s">
        <v>130</v>
      </c>
      <c r="C15" t="s">
        <v>131</v>
      </c>
    </row>
    <row r="16" spans="1:3" x14ac:dyDescent="0.25">
      <c r="A16" t="s">
        <v>132</v>
      </c>
      <c r="C16" t="s">
        <v>133</v>
      </c>
    </row>
    <row r="17" spans="1:3" x14ac:dyDescent="0.25">
      <c r="A17" t="s">
        <v>134</v>
      </c>
      <c r="C17" t="s">
        <v>135</v>
      </c>
    </row>
    <row r="18" spans="1:3" x14ac:dyDescent="0.25">
      <c r="A18" t="s">
        <v>136</v>
      </c>
      <c r="C18" t="s">
        <v>137</v>
      </c>
    </row>
    <row r="19" spans="1:3" x14ac:dyDescent="0.25">
      <c r="A19" t="s">
        <v>138</v>
      </c>
      <c r="C19" t="s">
        <v>139</v>
      </c>
    </row>
    <row r="20" spans="1:3" x14ac:dyDescent="0.25">
      <c r="A20" t="s">
        <v>140</v>
      </c>
      <c r="C20" t="s">
        <v>141</v>
      </c>
    </row>
    <row r="21" spans="1:3" x14ac:dyDescent="0.25">
      <c r="A21" t="s">
        <v>142</v>
      </c>
      <c r="C21" t="s">
        <v>143</v>
      </c>
    </row>
    <row r="22" spans="1:3" x14ac:dyDescent="0.25">
      <c r="A22" t="s">
        <v>144</v>
      </c>
      <c r="C22" t="s">
        <v>145</v>
      </c>
    </row>
    <row r="23" spans="1:3" x14ac:dyDescent="0.25">
      <c r="A23" t="s">
        <v>146</v>
      </c>
      <c r="C23" t="s">
        <v>147</v>
      </c>
    </row>
    <row r="24" spans="1:3" x14ac:dyDescent="0.25">
      <c r="A24" t="s">
        <v>148</v>
      </c>
      <c r="C24" t="s">
        <v>149</v>
      </c>
    </row>
    <row r="25" spans="1:3" x14ac:dyDescent="0.25">
      <c r="A25" t="s">
        <v>150</v>
      </c>
      <c r="C25" t="s">
        <v>151</v>
      </c>
    </row>
    <row r="26" spans="1:3" x14ac:dyDescent="0.25">
      <c r="A26" t="s">
        <v>152</v>
      </c>
      <c r="C26" t="s">
        <v>153</v>
      </c>
    </row>
    <row r="27" spans="1:3" x14ac:dyDescent="0.25">
      <c r="A27" t="s">
        <v>154</v>
      </c>
      <c r="C27" t="s">
        <v>155</v>
      </c>
    </row>
    <row r="28" spans="1:3" x14ac:dyDescent="0.25">
      <c r="A28" t="s">
        <v>156</v>
      </c>
      <c r="C28" t="s">
        <v>157</v>
      </c>
    </row>
    <row r="29" spans="1:3" x14ac:dyDescent="0.25">
      <c r="A29" t="s">
        <v>158</v>
      </c>
      <c r="C29" t="s">
        <v>159</v>
      </c>
    </row>
    <row r="30" spans="1:3" x14ac:dyDescent="0.25">
      <c r="A30" t="s">
        <v>160</v>
      </c>
      <c r="C30" t="s">
        <v>161</v>
      </c>
    </row>
    <row r="31" spans="1:3" x14ac:dyDescent="0.25">
      <c r="A31" t="s">
        <v>162</v>
      </c>
      <c r="C31" t="s">
        <v>163</v>
      </c>
    </row>
    <row r="32" spans="1:3" x14ac:dyDescent="0.25">
      <c r="A32" t="s">
        <v>164</v>
      </c>
      <c r="C32" t="s">
        <v>165</v>
      </c>
    </row>
    <row r="33" spans="1:3" x14ac:dyDescent="0.25">
      <c r="A33" t="s">
        <v>166</v>
      </c>
      <c r="C33" t="s">
        <v>167</v>
      </c>
    </row>
    <row r="34" spans="1:3" x14ac:dyDescent="0.25">
      <c r="A34" t="s">
        <v>168</v>
      </c>
      <c r="C34" t="s">
        <v>169</v>
      </c>
    </row>
    <row r="35" spans="1:3" x14ac:dyDescent="0.25">
      <c r="A35" t="s">
        <v>170</v>
      </c>
      <c r="C35" t="s">
        <v>171</v>
      </c>
    </row>
    <row r="36" spans="1:3" x14ac:dyDescent="0.25">
      <c r="A36" t="s">
        <v>172</v>
      </c>
      <c r="C36" t="s">
        <v>57</v>
      </c>
    </row>
    <row r="37" spans="1:3" x14ac:dyDescent="0.25">
      <c r="A37" t="s">
        <v>173</v>
      </c>
    </row>
    <row r="38" spans="1:3" x14ac:dyDescent="0.25">
      <c r="A38" t="s">
        <v>174</v>
      </c>
    </row>
    <row r="39" spans="1:3" x14ac:dyDescent="0.25">
      <c r="A39" t="s">
        <v>175</v>
      </c>
    </row>
    <row r="40" spans="1:3" x14ac:dyDescent="0.25">
      <c r="A40" t="s">
        <v>176</v>
      </c>
    </row>
    <row r="41" spans="1:3" x14ac:dyDescent="0.25">
      <c r="A41" t="s">
        <v>177</v>
      </c>
    </row>
    <row r="42" spans="1:3" x14ac:dyDescent="0.25">
      <c r="A42" t="s">
        <v>178</v>
      </c>
    </row>
    <row r="43" spans="1:3" x14ac:dyDescent="0.25">
      <c r="A43" t="s">
        <v>179</v>
      </c>
    </row>
    <row r="44" spans="1:3" x14ac:dyDescent="0.25">
      <c r="A44" t="s">
        <v>180</v>
      </c>
    </row>
    <row r="45" spans="1:3" x14ac:dyDescent="0.25">
      <c r="A45" t="s">
        <v>181</v>
      </c>
    </row>
    <row r="46" spans="1:3" x14ac:dyDescent="0.25">
      <c r="A46" t="s">
        <v>182</v>
      </c>
    </row>
    <row r="47" spans="1:3" x14ac:dyDescent="0.25">
      <c r="A47" t="s">
        <v>183</v>
      </c>
    </row>
    <row r="48" spans="1:3" x14ac:dyDescent="0.25">
      <c r="A48" t="s">
        <v>184</v>
      </c>
    </row>
    <row r="49" spans="1:1" x14ac:dyDescent="0.25">
      <c r="A49" t="s">
        <v>185</v>
      </c>
    </row>
    <row r="50" spans="1:1" x14ac:dyDescent="0.25">
      <c r="A50" t="s">
        <v>186</v>
      </c>
    </row>
    <row r="51" spans="1:1" x14ac:dyDescent="0.25">
      <c r="A51" t="s">
        <v>187</v>
      </c>
    </row>
    <row r="52" spans="1:1" x14ac:dyDescent="0.25">
      <c r="A52" t="s">
        <v>188</v>
      </c>
    </row>
    <row r="53" spans="1:1" x14ac:dyDescent="0.25">
      <c r="A53" t="s">
        <v>189</v>
      </c>
    </row>
    <row r="54" spans="1:1" x14ac:dyDescent="0.25">
      <c r="A54" t="s">
        <v>190</v>
      </c>
    </row>
    <row r="55" spans="1:1" x14ac:dyDescent="0.25">
      <c r="A55" t="s">
        <v>191</v>
      </c>
    </row>
    <row r="56" spans="1:1" x14ac:dyDescent="0.25">
      <c r="A56" t="s">
        <v>192</v>
      </c>
    </row>
    <row r="57" spans="1:1" x14ac:dyDescent="0.25">
      <c r="A57" t="s">
        <v>193</v>
      </c>
    </row>
    <row r="58" spans="1:1" x14ac:dyDescent="0.25">
      <c r="A58" t="s">
        <v>194</v>
      </c>
    </row>
    <row r="59" spans="1:1" x14ac:dyDescent="0.25">
      <c r="A59" t="s">
        <v>195</v>
      </c>
    </row>
    <row r="60" spans="1:1" x14ac:dyDescent="0.25">
      <c r="A60" t="s">
        <v>196</v>
      </c>
    </row>
    <row r="61" spans="1:1" x14ac:dyDescent="0.25">
      <c r="A61" t="s">
        <v>197</v>
      </c>
    </row>
    <row r="62" spans="1:1" x14ac:dyDescent="0.25">
      <c r="A62" t="s">
        <v>198</v>
      </c>
    </row>
    <row r="63" spans="1:1" x14ac:dyDescent="0.25">
      <c r="A63" t="s">
        <v>199</v>
      </c>
    </row>
    <row r="64" spans="1:1" x14ac:dyDescent="0.25">
      <c r="A64" t="s">
        <v>200</v>
      </c>
    </row>
    <row r="65" spans="1:1" x14ac:dyDescent="0.25">
      <c r="A65" t="s">
        <v>201</v>
      </c>
    </row>
    <row r="66" spans="1:1" x14ac:dyDescent="0.25">
      <c r="A66" t="s">
        <v>202</v>
      </c>
    </row>
    <row r="67" spans="1:1" x14ac:dyDescent="0.25">
      <c r="A67" t="s">
        <v>203</v>
      </c>
    </row>
    <row r="68" spans="1:1" x14ac:dyDescent="0.25">
      <c r="A68" t="s">
        <v>204</v>
      </c>
    </row>
    <row r="69" spans="1:1" x14ac:dyDescent="0.25">
      <c r="A69" t="s">
        <v>205</v>
      </c>
    </row>
    <row r="70" spans="1:1" x14ac:dyDescent="0.25">
      <c r="A70" t="s">
        <v>206</v>
      </c>
    </row>
    <row r="71" spans="1:1" x14ac:dyDescent="0.25">
      <c r="A71" t="s">
        <v>207</v>
      </c>
    </row>
    <row r="72" spans="1:1" x14ac:dyDescent="0.25">
      <c r="A72" t="s">
        <v>208</v>
      </c>
    </row>
    <row r="73" spans="1:1" x14ac:dyDescent="0.25">
      <c r="A73" t="s">
        <v>209</v>
      </c>
    </row>
    <row r="74" spans="1:1" x14ac:dyDescent="0.25">
      <c r="A74" t="s">
        <v>210</v>
      </c>
    </row>
    <row r="75" spans="1:1" x14ac:dyDescent="0.25">
      <c r="A75" t="s">
        <v>211</v>
      </c>
    </row>
    <row r="76" spans="1:1" x14ac:dyDescent="0.25">
      <c r="A76" t="s">
        <v>212</v>
      </c>
    </row>
    <row r="77" spans="1:1" x14ac:dyDescent="0.25">
      <c r="A77" t="s">
        <v>213</v>
      </c>
    </row>
    <row r="78" spans="1:1" x14ac:dyDescent="0.25">
      <c r="A78" t="s">
        <v>214</v>
      </c>
    </row>
    <row r="79" spans="1:1" x14ac:dyDescent="0.25">
      <c r="A79" t="s">
        <v>215</v>
      </c>
    </row>
    <row r="80" spans="1:1" x14ac:dyDescent="0.25">
      <c r="A80" t="s">
        <v>216</v>
      </c>
    </row>
    <row r="81" spans="1:1" x14ac:dyDescent="0.25">
      <c r="A81" t="s">
        <v>217</v>
      </c>
    </row>
    <row r="82" spans="1:1" x14ac:dyDescent="0.25">
      <c r="A82" t="s">
        <v>218</v>
      </c>
    </row>
    <row r="83" spans="1:1" x14ac:dyDescent="0.25">
      <c r="A83" t="s">
        <v>219</v>
      </c>
    </row>
    <row r="84" spans="1:1" x14ac:dyDescent="0.25">
      <c r="A84" t="s">
        <v>220</v>
      </c>
    </row>
    <row r="85" spans="1:1" x14ac:dyDescent="0.25">
      <c r="A85" t="s">
        <v>221</v>
      </c>
    </row>
    <row r="86" spans="1:1" x14ac:dyDescent="0.25">
      <c r="A86" t="s">
        <v>222</v>
      </c>
    </row>
    <row r="87" spans="1:1" x14ac:dyDescent="0.25">
      <c r="A87" t="s">
        <v>223</v>
      </c>
    </row>
    <row r="88" spans="1:1" x14ac:dyDescent="0.25">
      <c r="A88" t="s">
        <v>224</v>
      </c>
    </row>
    <row r="89" spans="1:1" x14ac:dyDescent="0.25">
      <c r="A89" t="s">
        <v>225</v>
      </c>
    </row>
    <row r="90" spans="1:1" x14ac:dyDescent="0.25">
      <c r="A90" t="s">
        <v>226</v>
      </c>
    </row>
    <row r="91" spans="1:1" x14ac:dyDescent="0.25">
      <c r="A91" t="s">
        <v>227</v>
      </c>
    </row>
    <row r="92" spans="1:1" x14ac:dyDescent="0.25">
      <c r="A92" t="s">
        <v>228</v>
      </c>
    </row>
    <row r="93" spans="1:1" x14ac:dyDescent="0.25">
      <c r="A93" t="s">
        <v>229</v>
      </c>
    </row>
    <row r="94" spans="1:1" x14ac:dyDescent="0.25">
      <c r="A94" t="s">
        <v>230</v>
      </c>
    </row>
    <row r="95" spans="1:1" x14ac:dyDescent="0.25">
      <c r="A95" t="s">
        <v>231</v>
      </c>
    </row>
    <row r="96" spans="1:1" x14ac:dyDescent="0.25">
      <c r="A96" t="s">
        <v>232</v>
      </c>
    </row>
    <row r="97" spans="1:1" x14ac:dyDescent="0.25">
      <c r="A97" t="s">
        <v>233</v>
      </c>
    </row>
    <row r="98" spans="1:1" x14ac:dyDescent="0.25">
      <c r="A98" t="s">
        <v>234</v>
      </c>
    </row>
    <row r="99" spans="1:1" x14ac:dyDescent="0.25">
      <c r="A99" t="s">
        <v>235</v>
      </c>
    </row>
    <row r="100" spans="1:1" x14ac:dyDescent="0.25">
      <c r="A100" t="s">
        <v>236</v>
      </c>
    </row>
    <row r="101" spans="1:1" x14ac:dyDescent="0.25">
      <c r="A101" t="s">
        <v>237</v>
      </c>
    </row>
    <row r="102" spans="1:1" x14ac:dyDescent="0.25">
      <c r="A102" t="s">
        <v>238</v>
      </c>
    </row>
    <row r="103" spans="1:1" x14ac:dyDescent="0.25">
      <c r="A103" t="s">
        <v>239</v>
      </c>
    </row>
    <row r="104" spans="1:1" x14ac:dyDescent="0.25">
      <c r="A104" t="s">
        <v>240</v>
      </c>
    </row>
    <row r="105" spans="1:1" x14ac:dyDescent="0.25">
      <c r="A105" t="s">
        <v>241</v>
      </c>
    </row>
    <row r="106" spans="1:1" x14ac:dyDescent="0.25">
      <c r="A106" t="s">
        <v>242</v>
      </c>
    </row>
    <row r="107" spans="1:1" x14ac:dyDescent="0.25">
      <c r="A107" t="s">
        <v>243</v>
      </c>
    </row>
    <row r="108" spans="1:1" x14ac:dyDescent="0.25">
      <c r="A108" t="s">
        <v>244</v>
      </c>
    </row>
    <row r="109" spans="1:1" x14ac:dyDescent="0.25">
      <c r="A109" t="s">
        <v>245</v>
      </c>
    </row>
    <row r="110" spans="1:1" x14ac:dyDescent="0.25">
      <c r="A110" t="s">
        <v>246</v>
      </c>
    </row>
    <row r="111" spans="1:1" x14ac:dyDescent="0.25">
      <c r="A111" t="s">
        <v>247</v>
      </c>
    </row>
    <row r="112" spans="1:1" x14ac:dyDescent="0.25">
      <c r="A112" t="s">
        <v>248</v>
      </c>
    </row>
    <row r="113" spans="1:1" x14ac:dyDescent="0.25">
      <c r="A113" t="s">
        <v>249</v>
      </c>
    </row>
    <row r="114" spans="1:1" x14ac:dyDescent="0.25">
      <c r="A114" t="s">
        <v>250</v>
      </c>
    </row>
    <row r="115" spans="1:1" x14ac:dyDescent="0.25">
      <c r="A115" t="s">
        <v>251</v>
      </c>
    </row>
    <row r="116" spans="1:1" x14ac:dyDescent="0.25">
      <c r="A116" t="s">
        <v>252</v>
      </c>
    </row>
    <row r="117" spans="1:1" x14ac:dyDescent="0.25">
      <c r="A117" t="s">
        <v>253</v>
      </c>
    </row>
    <row r="118" spans="1:1" x14ac:dyDescent="0.25">
      <c r="A118" t="s">
        <v>254</v>
      </c>
    </row>
    <row r="119" spans="1:1" x14ac:dyDescent="0.25">
      <c r="A119" t="s">
        <v>255</v>
      </c>
    </row>
    <row r="120" spans="1:1" x14ac:dyDescent="0.25">
      <c r="A120" t="s">
        <v>256</v>
      </c>
    </row>
    <row r="121" spans="1:1" x14ac:dyDescent="0.25">
      <c r="A121" t="s">
        <v>257</v>
      </c>
    </row>
    <row r="122" spans="1:1" x14ac:dyDescent="0.25">
      <c r="A122" t="s">
        <v>258</v>
      </c>
    </row>
    <row r="123" spans="1:1" x14ac:dyDescent="0.25">
      <c r="A123" t="s">
        <v>259</v>
      </c>
    </row>
    <row r="124" spans="1:1" x14ac:dyDescent="0.25">
      <c r="A124" t="s">
        <v>260</v>
      </c>
    </row>
    <row r="125" spans="1:1" x14ac:dyDescent="0.25">
      <c r="A125" t="s">
        <v>261</v>
      </c>
    </row>
    <row r="126" spans="1:1" x14ac:dyDescent="0.25">
      <c r="A126" t="s">
        <v>262</v>
      </c>
    </row>
    <row r="127" spans="1:1" x14ac:dyDescent="0.25">
      <c r="A127" t="s">
        <v>263</v>
      </c>
    </row>
    <row r="128" spans="1:1" x14ac:dyDescent="0.25">
      <c r="A128" t="s">
        <v>264</v>
      </c>
    </row>
    <row r="129" spans="1:1" x14ac:dyDescent="0.25">
      <c r="A129" t="s">
        <v>265</v>
      </c>
    </row>
    <row r="130" spans="1:1" x14ac:dyDescent="0.25">
      <c r="A130" t="s">
        <v>266</v>
      </c>
    </row>
    <row r="131" spans="1:1" x14ac:dyDescent="0.25">
      <c r="A131" t="s">
        <v>267</v>
      </c>
    </row>
    <row r="132" spans="1:1" x14ac:dyDescent="0.25">
      <c r="A132" t="s">
        <v>268</v>
      </c>
    </row>
    <row r="133" spans="1:1" x14ac:dyDescent="0.25">
      <c r="A133" t="s">
        <v>269</v>
      </c>
    </row>
    <row r="134" spans="1:1" x14ac:dyDescent="0.25">
      <c r="A134" t="s">
        <v>270</v>
      </c>
    </row>
    <row r="135" spans="1:1" x14ac:dyDescent="0.25">
      <c r="A135" t="s">
        <v>271</v>
      </c>
    </row>
    <row r="136" spans="1:1" x14ac:dyDescent="0.25">
      <c r="A136" t="s">
        <v>272</v>
      </c>
    </row>
    <row r="137" spans="1:1" x14ac:dyDescent="0.25">
      <c r="A137" t="s">
        <v>273</v>
      </c>
    </row>
    <row r="138" spans="1:1" x14ac:dyDescent="0.25">
      <c r="A138" t="s">
        <v>274</v>
      </c>
    </row>
    <row r="139" spans="1:1" x14ac:dyDescent="0.25">
      <c r="A139" t="s">
        <v>275</v>
      </c>
    </row>
    <row r="140" spans="1:1" x14ac:dyDescent="0.25">
      <c r="A140" t="s">
        <v>276</v>
      </c>
    </row>
    <row r="141" spans="1:1" x14ac:dyDescent="0.25">
      <c r="A141" t="s">
        <v>277</v>
      </c>
    </row>
    <row r="142" spans="1:1" x14ac:dyDescent="0.25">
      <c r="A142" t="s">
        <v>278</v>
      </c>
    </row>
    <row r="143" spans="1:1" x14ac:dyDescent="0.25">
      <c r="A143" t="s">
        <v>279</v>
      </c>
    </row>
    <row r="144" spans="1:1" x14ac:dyDescent="0.25">
      <c r="A144" t="s">
        <v>280</v>
      </c>
    </row>
    <row r="145" spans="1:1" x14ac:dyDescent="0.25">
      <c r="A145" t="s">
        <v>281</v>
      </c>
    </row>
    <row r="146" spans="1:1" x14ac:dyDescent="0.25">
      <c r="A146" t="s">
        <v>282</v>
      </c>
    </row>
    <row r="147" spans="1:1" x14ac:dyDescent="0.25">
      <c r="A147" t="s">
        <v>283</v>
      </c>
    </row>
    <row r="148" spans="1:1" x14ac:dyDescent="0.25">
      <c r="A148" t="s">
        <v>284</v>
      </c>
    </row>
    <row r="149" spans="1:1" x14ac:dyDescent="0.25">
      <c r="A149" t="s">
        <v>285</v>
      </c>
    </row>
    <row r="150" spans="1:1" x14ac:dyDescent="0.25">
      <c r="A150" t="s">
        <v>286</v>
      </c>
    </row>
    <row r="151" spans="1:1" x14ac:dyDescent="0.25">
      <c r="A151" t="s">
        <v>287</v>
      </c>
    </row>
    <row r="152" spans="1:1" x14ac:dyDescent="0.25">
      <c r="A152" t="s">
        <v>288</v>
      </c>
    </row>
    <row r="153" spans="1:1" x14ac:dyDescent="0.25">
      <c r="A153" t="s">
        <v>289</v>
      </c>
    </row>
    <row r="154" spans="1:1" x14ac:dyDescent="0.25">
      <c r="A154" t="s">
        <v>290</v>
      </c>
    </row>
    <row r="155" spans="1:1" x14ac:dyDescent="0.25">
      <c r="A155" t="s">
        <v>291</v>
      </c>
    </row>
    <row r="156" spans="1:1" x14ac:dyDescent="0.25">
      <c r="A156" t="s">
        <v>292</v>
      </c>
    </row>
    <row r="157" spans="1:1" x14ac:dyDescent="0.25">
      <c r="A157" t="s">
        <v>293</v>
      </c>
    </row>
    <row r="158" spans="1:1" x14ac:dyDescent="0.25">
      <c r="A158" t="s">
        <v>294</v>
      </c>
    </row>
    <row r="159" spans="1:1" x14ac:dyDescent="0.25">
      <c r="A159" t="s">
        <v>295</v>
      </c>
    </row>
    <row r="160" spans="1:1" x14ac:dyDescent="0.25">
      <c r="A160" t="s">
        <v>296</v>
      </c>
    </row>
  </sheetData>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35"/>
  <dimension ref="A1:Q45"/>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c r="E1" s="54"/>
      <c r="F1" s="54"/>
      <c r="G1" s="54"/>
      <c r="H1" s="54"/>
      <c r="I1" s="54"/>
      <c r="J1" s="54"/>
      <c r="K1" s="54"/>
      <c r="L1" s="54"/>
      <c r="M1" s="54"/>
      <c r="N1" s="54"/>
      <c r="O1" s="54"/>
      <c r="P1" s="54"/>
      <c r="Q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c r="J2" s="56"/>
      <c r="K2" s="56"/>
      <c r="L2" s="56"/>
      <c r="M2" s="56"/>
      <c r="N2" s="56"/>
      <c r="O2" s="56"/>
      <c r="P2" s="56"/>
      <c r="Q2" s="56"/>
    </row>
    <row r="3" spans="1:17" ht="15.5" x14ac:dyDescent="0.35">
      <c r="A3" s="57" t="str">
        <f>TABLE_FACTOR_TYPE_1&amp;" - x-"&amp;TABLE_SERIES_NUMBER_1</f>
        <v>LRF - x-422</v>
      </c>
      <c r="B3" s="56"/>
      <c r="C3" s="56"/>
      <c r="D3" s="56"/>
      <c r="E3" s="56"/>
      <c r="F3" s="56"/>
      <c r="G3" s="56"/>
      <c r="H3" s="56"/>
      <c r="I3" s="56"/>
      <c r="J3" s="56"/>
      <c r="K3" s="56"/>
      <c r="L3" s="56"/>
      <c r="M3" s="56"/>
      <c r="N3" s="56"/>
      <c r="O3" s="56"/>
      <c r="P3" s="56"/>
      <c r="Q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326</v>
      </c>
      <c r="C7" s="111"/>
      <c r="D7" s="111"/>
      <c r="E7" s="111"/>
      <c r="F7" s="111"/>
      <c r="G7" s="111"/>
      <c r="H7" s="111"/>
      <c r="I7" s="111"/>
      <c r="J7" s="111"/>
      <c r="K7" s="111"/>
      <c r="L7" s="111"/>
      <c r="M7" s="111"/>
      <c r="N7" s="111"/>
      <c r="O7" s="111"/>
      <c r="P7" s="111"/>
      <c r="Q7" s="111"/>
    </row>
    <row r="8" spans="1:17" x14ac:dyDescent="0.25">
      <c r="A8" s="87" t="s">
        <v>798</v>
      </c>
      <c r="B8" s="111" t="s">
        <v>96</v>
      </c>
      <c r="C8" s="111"/>
      <c r="D8" s="111"/>
      <c r="E8" s="111"/>
      <c r="F8" s="111"/>
      <c r="G8" s="111"/>
      <c r="H8" s="111"/>
      <c r="I8" s="111"/>
      <c r="J8" s="111"/>
      <c r="K8" s="111"/>
      <c r="L8" s="111"/>
      <c r="M8" s="111"/>
      <c r="N8" s="111"/>
      <c r="O8" s="111"/>
      <c r="P8" s="111"/>
      <c r="Q8" s="111"/>
    </row>
    <row r="9" spans="1:17" x14ac:dyDescent="0.25">
      <c r="A9" s="87" t="s">
        <v>300</v>
      </c>
      <c r="B9" s="111" t="s">
        <v>488</v>
      </c>
      <c r="C9" s="111"/>
      <c r="D9" s="111"/>
      <c r="E9" s="111"/>
      <c r="F9" s="111"/>
      <c r="G9" s="111"/>
      <c r="H9" s="111"/>
      <c r="I9" s="111"/>
      <c r="J9" s="111"/>
      <c r="K9" s="111"/>
      <c r="L9" s="111"/>
      <c r="M9" s="111"/>
      <c r="N9" s="111"/>
      <c r="O9" s="111"/>
      <c r="P9" s="111"/>
      <c r="Q9" s="111"/>
    </row>
    <row r="10" spans="1:17" x14ac:dyDescent="0.25">
      <c r="A10" s="87" t="s">
        <v>6</v>
      </c>
      <c r="B10" s="111" t="s">
        <v>520</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490</v>
      </c>
      <c r="C12" s="111"/>
      <c r="D12" s="111"/>
      <c r="E12" s="111"/>
      <c r="F12" s="111"/>
      <c r="G12" s="111"/>
      <c r="H12" s="111"/>
      <c r="I12" s="111"/>
      <c r="J12" s="111"/>
      <c r="K12" s="111"/>
      <c r="L12" s="111"/>
      <c r="M12" s="111"/>
      <c r="N12" s="111"/>
      <c r="O12" s="111"/>
      <c r="P12" s="111"/>
      <c r="Q12" s="111"/>
    </row>
    <row r="13" spans="1:17" x14ac:dyDescent="0.25">
      <c r="A13" s="87" t="s">
        <v>813</v>
      </c>
      <c r="B13" s="111">
        <v>1</v>
      </c>
      <c r="C13" s="111"/>
      <c r="D13" s="111"/>
      <c r="E13" s="111"/>
      <c r="F13" s="111"/>
      <c r="G13" s="111"/>
      <c r="H13" s="111"/>
      <c r="I13" s="111"/>
      <c r="J13" s="111"/>
      <c r="K13" s="111"/>
      <c r="L13" s="111"/>
      <c r="M13" s="111"/>
      <c r="N13" s="111"/>
      <c r="O13" s="111"/>
      <c r="P13" s="111"/>
      <c r="Q13" s="111"/>
    </row>
    <row r="14" spans="1:17" x14ac:dyDescent="0.25">
      <c r="A14" s="87" t="s">
        <v>304</v>
      </c>
      <c r="B14" s="111">
        <v>422</v>
      </c>
      <c r="C14" s="111"/>
      <c r="D14" s="111"/>
      <c r="E14" s="111"/>
      <c r="F14" s="111"/>
      <c r="G14" s="111"/>
      <c r="H14" s="111"/>
      <c r="I14" s="111"/>
      <c r="J14" s="111"/>
      <c r="K14" s="111"/>
      <c r="L14" s="111"/>
      <c r="M14" s="111"/>
      <c r="N14" s="111"/>
      <c r="O14" s="111"/>
      <c r="P14" s="111"/>
      <c r="Q14" s="111"/>
    </row>
    <row r="15" spans="1:17" x14ac:dyDescent="0.25">
      <c r="A15" s="87" t="s">
        <v>727</v>
      </c>
      <c r="B15" s="111" t="s">
        <v>521</v>
      </c>
      <c r="C15" s="111"/>
      <c r="D15" s="111"/>
      <c r="E15" s="111"/>
      <c r="F15" s="111"/>
      <c r="G15" s="111"/>
      <c r="H15" s="111"/>
      <c r="I15" s="111"/>
      <c r="J15" s="111"/>
      <c r="K15" s="111"/>
      <c r="L15" s="111"/>
      <c r="M15" s="111"/>
      <c r="N15" s="111"/>
      <c r="O15" s="111"/>
      <c r="P15" s="111"/>
      <c r="Q15" s="111"/>
    </row>
    <row r="16" spans="1:17" x14ac:dyDescent="0.25">
      <c r="A16" s="87" t="s">
        <v>306</v>
      </c>
      <c r="B16" s="111" t="s">
        <v>522</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2" spans="1:17" x14ac:dyDescent="0.25">
      <c r="C22" s="104"/>
      <c r="D22" s="104"/>
      <c r="E22" s="104"/>
      <c r="F22" s="104"/>
      <c r="G22" s="104"/>
      <c r="H22" s="104"/>
      <c r="I22" s="104"/>
      <c r="J22" s="104"/>
      <c r="K22" s="104"/>
      <c r="L22" s="104"/>
      <c r="M22" s="104"/>
      <c r="N22" s="104"/>
      <c r="O22" s="104"/>
      <c r="P22" s="104"/>
      <c r="Q22" s="104"/>
    </row>
    <row r="23" spans="1:17" x14ac:dyDescent="0.25">
      <c r="B23" s="104" t="str">
        <f>HYPERLINK("#'Factor List'!A1","Back to Factor List")</f>
        <v>Back to Factor List</v>
      </c>
    </row>
    <row r="24" spans="1:17" x14ac:dyDescent="0.25">
      <c r="B24" s="104" t="s">
        <v>13</v>
      </c>
    </row>
    <row r="26" spans="1:17" ht="13" x14ac:dyDescent="0.25">
      <c r="A26" s="127" t="s">
        <v>839</v>
      </c>
      <c r="B26" s="127">
        <v>65</v>
      </c>
      <c r="C26" s="127">
        <v>66</v>
      </c>
      <c r="D26" s="127">
        <v>67</v>
      </c>
      <c r="E26" s="127">
        <v>68</v>
      </c>
      <c r="F26" s="127">
        <v>69</v>
      </c>
      <c r="G26" s="127">
        <v>70</v>
      </c>
      <c r="H26" s="127">
        <v>71</v>
      </c>
      <c r="I26" s="127">
        <v>72</v>
      </c>
      <c r="J26" s="127">
        <v>73</v>
      </c>
      <c r="K26" s="127">
        <v>74</v>
      </c>
      <c r="L26" s="127">
        <v>75</v>
      </c>
      <c r="M26" s="127">
        <v>76</v>
      </c>
      <c r="N26" s="127">
        <v>77</v>
      </c>
      <c r="O26" s="127">
        <v>78</v>
      </c>
      <c r="P26" s="127">
        <v>79</v>
      </c>
      <c r="Q26" s="127">
        <v>80</v>
      </c>
    </row>
    <row r="27" spans="1:17" x14ac:dyDescent="0.25">
      <c r="A27" s="128">
        <v>0</v>
      </c>
      <c r="B27" s="129">
        <v>1</v>
      </c>
      <c r="C27" s="129">
        <v>1.0580000000000001</v>
      </c>
      <c r="D27" s="129">
        <v>1.125</v>
      </c>
      <c r="E27" s="129">
        <v>1.2</v>
      </c>
      <c r="F27" s="129">
        <v>1.282</v>
      </c>
      <c r="G27" s="129">
        <v>1.3740000000000001</v>
      </c>
      <c r="H27" s="129">
        <v>1.476</v>
      </c>
      <c r="I27" s="129">
        <v>1.589</v>
      </c>
      <c r="J27" s="129">
        <v>1.714</v>
      </c>
      <c r="K27" s="129">
        <v>1.853</v>
      </c>
      <c r="L27" s="129">
        <v>2.008</v>
      </c>
      <c r="M27" s="129">
        <v>2.1800000000000002</v>
      </c>
      <c r="N27" s="129">
        <v>2.371</v>
      </c>
      <c r="O27" s="129">
        <v>2.5840000000000001</v>
      </c>
      <c r="P27" s="129">
        <v>2.8210000000000002</v>
      </c>
      <c r="Q27" s="129">
        <v>3.0830000000000002</v>
      </c>
    </row>
    <row r="28" spans="1:17" x14ac:dyDescent="0.25">
      <c r="A28" s="128">
        <v>1</v>
      </c>
      <c r="B28" s="129">
        <v>1.0049999999999999</v>
      </c>
      <c r="C28" s="129">
        <v>1.0640000000000001</v>
      </c>
      <c r="D28" s="129">
        <v>1.131</v>
      </c>
      <c r="E28" s="129">
        <v>1.206</v>
      </c>
      <c r="F28" s="129">
        <v>1.29</v>
      </c>
      <c r="G28" s="129">
        <v>1.3819999999999999</v>
      </c>
      <c r="H28" s="129">
        <v>1.4850000000000001</v>
      </c>
      <c r="I28" s="129">
        <v>1.599</v>
      </c>
      <c r="J28" s="129">
        <v>1.726</v>
      </c>
      <c r="K28" s="129">
        <v>1.8660000000000001</v>
      </c>
      <c r="L28" s="129">
        <v>2.0219999999999998</v>
      </c>
      <c r="M28" s="129">
        <v>2.1960000000000002</v>
      </c>
      <c r="N28" s="129">
        <v>2.3889999999999998</v>
      </c>
      <c r="O28" s="129">
        <v>2.6040000000000001</v>
      </c>
      <c r="P28" s="129">
        <v>2.843</v>
      </c>
      <c r="Q28" s="129"/>
    </row>
    <row r="29" spans="1:17" x14ac:dyDescent="0.25">
      <c r="A29" s="128">
        <v>2</v>
      </c>
      <c r="B29" s="129">
        <v>1.01</v>
      </c>
      <c r="C29" s="129">
        <v>1.069</v>
      </c>
      <c r="D29" s="129">
        <v>1.1379999999999999</v>
      </c>
      <c r="E29" s="129">
        <v>1.2130000000000001</v>
      </c>
      <c r="F29" s="129">
        <v>1.2969999999999999</v>
      </c>
      <c r="G29" s="129">
        <v>1.391</v>
      </c>
      <c r="H29" s="129">
        <v>1.4950000000000001</v>
      </c>
      <c r="I29" s="129">
        <v>1.61</v>
      </c>
      <c r="J29" s="129">
        <v>1.7370000000000001</v>
      </c>
      <c r="K29" s="129">
        <v>1.879</v>
      </c>
      <c r="L29" s="129">
        <v>2.0369999999999999</v>
      </c>
      <c r="M29" s="129">
        <v>2.2120000000000002</v>
      </c>
      <c r="N29" s="129">
        <v>2.407</v>
      </c>
      <c r="O29" s="129">
        <v>2.6240000000000001</v>
      </c>
      <c r="P29" s="129">
        <v>2.8650000000000002</v>
      </c>
      <c r="Q29" s="129"/>
    </row>
    <row r="30" spans="1:17" x14ac:dyDescent="0.25">
      <c r="A30" s="128">
        <v>3</v>
      </c>
      <c r="B30" s="129">
        <v>1.0149999999999999</v>
      </c>
      <c r="C30" s="129">
        <v>1.075</v>
      </c>
      <c r="D30" s="129">
        <v>1.1439999999999999</v>
      </c>
      <c r="E30" s="129">
        <v>1.22</v>
      </c>
      <c r="F30" s="129">
        <v>1.3049999999999999</v>
      </c>
      <c r="G30" s="129">
        <v>1.399</v>
      </c>
      <c r="H30" s="129">
        <v>1.504</v>
      </c>
      <c r="I30" s="129">
        <v>1.62</v>
      </c>
      <c r="J30" s="129">
        <v>1.7490000000000001</v>
      </c>
      <c r="K30" s="129">
        <v>1.8919999999999999</v>
      </c>
      <c r="L30" s="129">
        <v>2.0510000000000002</v>
      </c>
      <c r="M30" s="129">
        <v>2.2280000000000002</v>
      </c>
      <c r="N30" s="129">
        <v>2.4249999999999998</v>
      </c>
      <c r="O30" s="129">
        <v>2.6440000000000001</v>
      </c>
      <c r="P30" s="129">
        <v>2.887</v>
      </c>
      <c r="Q30" s="129"/>
    </row>
    <row r="31" spans="1:17" x14ac:dyDescent="0.25">
      <c r="A31" s="128">
        <v>4</v>
      </c>
      <c r="B31" s="129">
        <v>1.0189999999999999</v>
      </c>
      <c r="C31" s="129">
        <v>1.08</v>
      </c>
      <c r="D31" s="129">
        <v>1.1499999999999999</v>
      </c>
      <c r="E31" s="129">
        <v>1.2270000000000001</v>
      </c>
      <c r="F31" s="129">
        <v>1.3129999999999999</v>
      </c>
      <c r="G31" s="129">
        <v>1.4079999999999999</v>
      </c>
      <c r="H31" s="129">
        <v>1.5129999999999999</v>
      </c>
      <c r="I31" s="129">
        <v>1.631</v>
      </c>
      <c r="J31" s="129">
        <v>1.76</v>
      </c>
      <c r="K31" s="129">
        <v>1.905</v>
      </c>
      <c r="L31" s="129">
        <v>2.0649999999999999</v>
      </c>
      <c r="M31" s="129">
        <v>2.2440000000000002</v>
      </c>
      <c r="N31" s="129">
        <v>2.4420000000000002</v>
      </c>
      <c r="O31" s="129">
        <v>2.6629999999999998</v>
      </c>
      <c r="P31" s="129">
        <v>2.9079999999999999</v>
      </c>
      <c r="Q31" s="129"/>
    </row>
    <row r="32" spans="1:17" x14ac:dyDescent="0.25">
      <c r="A32" s="128">
        <v>5</v>
      </c>
      <c r="B32" s="129">
        <v>1.024</v>
      </c>
      <c r="C32" s="129">
        <v>1.0860000000000001</v>
      </c>
      <c r="D32" s="129">
        <v>1.1559999999999999</v>
      </c>
      <c r="E32" s="129">
        <v>1.234</v>
      </c>
      <c r="F32" s="129">
        <v>1.32</v>
      </c>
      <c r="G32" s="129">
        <v>1.4159999999999999</v>
      </c>
      <c r="H32" s="129">
        <v>1.5229999999999999</v>
      </c>
      <c r="I32" s="129">
        <v>1.641</v>
      </c>
      <c r="J32" s="129">
        <v>1.772</v>
      </c>
      <c r="K32" s="129">
        <v>1.9179999999999999</v>
      </c>
      <c r="L32" s="129">
        <v>2.08</v>
      </c>
      <c r="M32" s="129">
        <v>2.2599999999999998</v>
      </c>
      <c r="N32" s="129">
        <v>2.46</v>
      </c>
      <c r="O32" s="129">
        <v>2.6829999999999998</v>
      </c>
      <c r="P32" s="129">
        <v>2.93</v>
      </c>
      <c r="Q32" s="129"/>
    </row>
    <row r="33" spans="1:17" x14ac:dyDescent="0.25">
      <c r="A33" s="128">
        <v>6</v>
      </c>
      <c r="B33" s="129">
        <v>1.0289999999999999</v>
      </c>
      <c r="C33" s="129">
        <v>1.0920000000000001</v>
      </c>
      <c r="D33" s="129">
        <v>1.1619999999999999</v>
      </c>
      <c r="E33" s="129">
        <v>1.2410000000000001</v>
      </c>
      <c r="F33" s="129">
        <v>1.3280000000000001</v>
      </c>
      <c r="G33" s="129">
        <v>1.425</v>
      </c>
      <c r="H33" s="129">
        <v>1.532</v>
      </c>
      <c r="I33" s="129">
        <v>1.651</v>
      </c>
      <c r="J33" s="129">
        <v>1.784</v>
      </c>
      <c r="K33" s="129">
        <v>1.931</v>
      </c>
      <c r="L33" s="129">
        <v>2.0939999999999999</v>
      </c>
      <c r="M33" s="129">
        <v>2.2759999999999998</v>
      </c>
      <c r="N33" s="129">
        <v>2.4780000000000002</v>
      </c>
      <c r="O33" s="129">
        <v>2.7029999999999998</v>
      </c>
      <c r="P33" s="129">
        <v>2.952</v>
      </c>
      <c r="Q33" s="129"/>
    </row>
    <row r="34" spans="1:17" x14ac:dyDescent="0.25">
      <c r="A34" s="128">
        <v>7</v>
      </c>
      <c r="B34" s="129">
        <v>1.034</v>
      </c>
      <c r="C34" s="129">
        <v>1.097</v>
      </c>
      <c r="D34" s="129">
        <v>1.169</v>
      </c>
      <c r="E34" s="129">
        <v>1.248</v>
      </c>
      <c r="F34" s="129">
        <v>1.3360000000000001</v>
      </c>
      <c r="G34" s="129">
        <v>1.4330000000000001</v>
      </c>
      <c r="H34" s="129">
        <v>1.542</v>
      </c>
      <c r="I34" s="129">
        <v>1.6619999999999999</v>
      </c>
      <c r="J34" s="129">
        <v>1.7949999999999999</v>
      </c>
      <c r="K34" s="129">
        <v>1.9430000000000001</v>
      </c>
      <c r="L34" s="129">
        <v>2.1080000000000001</v>
      </c>
      <c r="M34" s="129">
        <v>2.2919999999999998</v>
      </c>
      <c r="N34" s="129">
        <v>2.496</v>
      </c>
      <c r="O34" s="129">
        <v>2.722</v>
      </c>
      <c r="P34" s="129">
        <v>2.9740000000000002</v>
      </c>
      <c r="Q34" s="129"/>
    </row>
    <row r="35" spans="1:17" x14ac:dyDescent="0.25">
      <c r="A35" s="128">
        <v>8</v>
      </c>
      <c r="B35" s="129">
        <v>1.0389999999999999</v>
      </c>
      <c r="C35" s="129">
        <v>1.103</v>
      </c>
      <c r="D35" s="129">
        <v>1.175</v>
      </c>
      <c r="E35" s="129">
        <v>1.2549999999999999</v>
      </c>
      <c r="F35" s="129">
        <v>1.343</v>
      </c>
      <c r="G35" s="129">
        <v>1.4419999999999999</v>
      </c>
      <c r="H35" s="129">
        <v>1.5509999999999999</v>
      </c>
      <c r="I35" s="129">
        <v>1.6719999999999999</v>
      </c>
      <c r="J35" s="129">
        <v>1.8069999999999999</v>
      </c>
      <c r="K35" s="129">
        <v>1.956</v>
      </c>
      <c r="L35" s="129">
        <v>2.1230000000000002</v>
      </c>
      <c r="M35" s="129">
        <v>2.3079999999999998</v>
      </c>
      <c r="N35" s="129">
        <v>2.5129999999999999</v>
      </c>
      <c r="O35" s="129">
        <v>2.742</v>
      </c>
      <c r="P35" s="129">
        <v>2.996</v>
      </c>
      <c r="Q35" s="129"/>
    </row>
    <row r="36" spans="1:17" x14ac:dyDescent="0.25">
      <c r="A36" s="128">
        <v>9</v>
      </c>
      <c r="B36" s="129">
        <v>1.044</v>
      </c>
      <c r="C36" s="129">
        <v>1.1080000000000001</v>
      </c>
      <c r="D36" s="129">
        <v>1.181</v>
      </c>
      <c r="E36" s="129">
        <v>1.2609999999999999</v>
      </c>
      <c r="F36" s="129">
        <v>1.351</v>
      </c>
      <c r="G36" s="129">
        <v>1.45</v>
      </c>
      <c r="H36" s="129">
        <v>1.5609999999999999</v>
      </c>
      <c r="I36" s="129">
        <v>1.6830000000000001</v>
      </c>
      <c r="J36" s="129">
        <v>1.8180000000000001</v>
      </c>
      <c r="K36" s="129">
        <v>1.9690000000000001</v>
      </c>
      <c r="L36" s="129">
        <v>2.137</v>
      </c>
      <c r="M36" s="129">
        <v>2.3239999999999998</v>
      </c>
      <c r="N36" s="129">
        <v>2.5310000000000001</v>
      </c>
      <c r="O36" s="129">
        <v>2.762</v>
      </c>
      <c r="P36" s="129">
        <v>3.0179999999999998</v>
      </c>
      <c r="Q36" s="129"/>
    </row>
    <row r="37" spans="1:17" x14ac:dyDescent="0.25">
      <c r="A37" s="128">
        <v>10</v>
      </c>
      <c r="B37" s="129">
        <v>1.048</v>
      </c>
      <c r="C37" s="129">
        <v>1.1140000000000001</v>
      </c>
      <c r="D37" s="129">
        <v>1.1870000000000001</v>
      </c>
      <c r="E37" s="129">
        <v>1.268</v>
      </c>
      <c r="F37" s="129">
        <v>1.359</v>
      </c>
      <c r="G37" s="129">
        <v>1.4590000000000001</v>
      </c>
      <c r="H37" s="129">
        <v>1.57</v>
      </c>
      <c r="I37" s="129">
        <v>1.6930000000000001</v>
      </c>
      <c r="J37" s="129">
        <v>1.83</v>
      </c>
      <c r="K37" s="129">
        <v>1.982</v>
      </c>
      <c r="L37" s="129">
        <v>2.1509999999999998</v>
      </c>
      <c r="M37" s="129">
        <v>2.34</v>
      </c>
      <c r="N37" s="129">
        <v>2.5489999999999999</v>
      </c>
      <c r="O37" s="129">
        <v>2.782</v>
      </c>
      <c r="P37" s="129">
        <v>3.0390000000000001</v>
      </c>
      <c r="Q37" s="129"/>
    </row>
    <row r="38" spans="1:17" x14ac:dyDescent="0.25">
      <c r="A38" s="128">
        <v>11</v>
      </c>
      <c r="B38" s="129">
        <v>1.0529999999999999</v>
      </c>
      <c r="C38" s="129">
        <v>1.1200000000000001</v>
      </c>
      <c r="D38" s="129">
        <v>1.1930000000000001</v>
      </c>
      <c r="E38" s="129">
        <v>1.2749999999999999</v>
      </c>
      <c r="F38" s="129">
        <v>1.3660000000000001</v>
      </c>
      <c r="G38" s="129">
        <v>1.4670000000000001</v>
      </c>
      <c r="H38" s="129">
        <v>1.579</v>
      </c>
      <c r="I38" s="129">
        <v>1.704</v>
      </c>
      <c r="J38" s="129">
        <v>1.8420000000000001</v>
      </c>
      <c r="K38" s="129">
        <v>1.9950000000000001</v>
      </c>
      <c r="L38" s="129">
        <v>2.1659999999999999</v>
      </c>
      <c r="M38" s="129">
        <v>2.355</v>
      </c>
      <c r="N38" s="129">
        <v>2.5670000000000002</v>
      </c>
      <c r="O38" s="129">
        <v>2.8010000000000002</v>
      </c>
      <c r="P38" s="129">
        <v>3.0609999999999999</v>
      </c>
      <c r="Q38" s="129"/>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row r="45" spans="1:17" x14ac:dyDescent="0.25">
      <c r="A45"/>
      <c r="B45"/>
      <c r="C45"/>
      <c r="D45"/>
      <c r="E45"/>
      <c r="F45"/>
      <c r="G45"/>
      <c r="H45"/>
      <c r="I45"/>
      <c r="J45"/>
      <c r="K45"/>
      <c r="L45"/>
      <c r="M45"/>
      <c r="N45"/>
      <c r="O45"/>
      <c r="P45"/>
      <c r="Q45"/>
    </row>
  </sheetData>
  <conditionalFormatting sqref="A6:A21">
    <cfRule type="expression" dxfId="623" priority="3" stopIfTrue="1">
      <formula>MOD(ROW(),2)=0</formula>
    </cfRule>
    <cfRule type="expression" dxfId="622" priority="4" stopIfTrue="1">
      <formula>MOD(ROW(),2)&lt;&gt;0</formula>
    </cfRule>
  </conditionalFormatting>
  <conditionalFormatting sqref="A26:A38">
    <cfRule type="expression" dxfId="621" priority="7" stopIfTrue="1">
      <formula>MOD(ROW(),2)=0</formula>
    </cfRule>
    <cfRule type="expression" dxfId="620" priority="8" stopIfTrue="1">
      <formula>MOD(ROW(),2)&lt;&gt;0</formula>
    </cfRule>
  </conditionalFormatting>
  <conditionalFormatting sqref="B19">
    <cfRule type="expression" dxfId="619" priority="1" stopIfTrue="1">
      <formula>MOD(ROW(),2)=0</formula>
    </cfRule>
    <cfRule type="expression" dxfId="618" priority="2" stopIfTrue="1">
      <formula>MOD(ROW(),2)&lt;&gt;0</formula>
    </cfRule>
  </conditionalFormatting>
  <conditionalFormatting sqref="B6:Q6 B8:Q16 B18:Q18">
    <cfRule type="expression" dxfId="617" priority="25" stopIfTrue="1">
      <formula>MOD(ROW(),2)=0</formula>
    </cfRule>
    <cfRule type="expression" dxfId="616" priority="26" stopIfTrue="1">
      <formula>MOD(ROW(),2)&lt;&gt;0</formula>
    </cfRule>
  </conditionalFormatting>
  <conditionalFormatting sqref="B6:Q21">
    <cfRule type="expression" dxfId="615" priority="13" stopIfTrue="1">
      <formula>MOD(ROW(),2)=0</formula>
    </cfRule>
    <cfRule type="expression" dxfId="614" priority="14" stopIfTrue="1">
      <formula>MOD(ROW(),2)&lt;&gt;0</formula>
    </cfRule>
  </conditionalFormatting>
  <conditionalFormatting sqref="B17:Q17">
    <cfRule type="expression" dxfId="613" priority="11" stopIfTrue="1">
      <formula>MOD(ROW(),2)=0</formula>
    </cfRule>
    <cfRule type="expression" dxfId="612" priority="12" stopIfTrue="1">
      <formula>MOD(ROW(),2)&lt;&gt;0</formula>
    </cfRule>
  </conditionalFormatting>
  <conditionalFormatting sqref="B26:Q38">
    <cfRule type="expression" dxfId="611" priority="9" stopIfTrue="1">
      <formula>MOD(ROW(),2)=0</formula>
    </cfRule>
    <cfRule type="expression" dxfId="610" priority="10" stopIfTrue="1">
      <formula>MOD(ROW(),2)&lt;&gt;0</formula>
    </cfRule>
  </conditionalFormatting>
  <conditionalFormatting sqref="C19:Q19 B20:Q21">
    <cfRule type="expression" dxfId="609" priority="19" stopIfTrue="1">
      <formula>MOD(ROW(),2)=0</formula>
    </cfRule>
    <cfRule type="expression" dxfId="608" priority="20" stopIfTrue="1">
      <formula>MOD(ROW(),2)&lt;&gt;0</formula>
    </cfRule>
  </conditionalFormatting>
  <hyperlinks>
    <hyperlink ref="B24" location="Assumptions!A1" display="Assumptions" xr:uid="{A9DB4321-BA0C-4562-93FF-7B0DA6B160C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36"/>
  <dimension ref="A1:Q46"/>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c r="E1" s="54"/>
      <c r="F1" s="54"/>
      <c r="G1" s="54"/>
      <c r="H1" s="54"/>
      <c r="I1" s="54"/>
      <c r="J1" s="54"/>
      <c r="K1" s="54"/>
      <c r="L1" s="54"/>
      <c r="M1" s="54"/>
      <c r="N1" s="54"/>
      <c r="O1" s="54"/>
      <c r="P1" s="54"/>
      <c r="Q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c r="J2" s="56"/>
      <c r="K2" s="56"/>
      <c r="L2" s="56"/>
      <c r="M2" s="56"/>
      <c r="N2" s="56"/>
      <c r="O2" s="56"/>
      <c r="P2" s="56"/>
      <c r="Q2" s="56"/>
    </row>
    <row r="3" spans="1:17" ht="15.5" x14ac:dyDescent="0.35">
      <c r="A3" s="57" t="str">
        <f>TABLE_FACTOR_TYPE_1&amp;" - x-"&amp;TABLE_SERIES_NUMBER_1</f>
        <v>LRF - x-423</v>
      </c>
      <c r="B3" s="56"/>
      <c r="C3" s="56"/>
      <c r="D3" s="56"/>
      <c r="E3" s="56"/>
      <c r="F3" s="56"/>
      <c r="G3" s="56"/>
      <c r="H3" s="56"/>
      <c r="I3" s="56"/>
      <c r="J3" s="56"/>
      <c r="K3" s="56"/>
      <c r="L3" s="56"/>
      <c r="M3" s="56"/>
      <c r="N3" s="56"/>
      <c r="O3" s="56"/>
      <c r="P3" s="56"/>
      <c r="Q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326</v>
      </c>
      <c r="C7" s="111"/>
      <c r="D7" s="111"/>
      <c r="E7" s="111"/>
      <c r="F7" s="111"/>
      <c r="G7" s="111"/>
      <c r="H7" s="111"/>
      <c r="I7" s="111"/>
      <c r="J7" s="111"/>
      <c r="K7" s="111"/>
      <c r="L7" s="111"/>
      <c r="M7" s="111"/>
      <c r="N7" s="111"/>
      <c r="O7" s="111"/>
      <c r="P7" s="111"/>
      <c r="Q7" s="111"/>
    </row>
    <row r="8" spans="1:17" x14ac:dyDescent="0.25">
      <c r="A8" s="87" t="s">
        <v>798</v>
      </c>
      <c r="B8" s="111" t="s">
        <v>96</v>
      </c>
      <c r="C8" s="111"/>
      <c r="D8" s="111"/>
      <c r="E8" s="111"/>
      <c r="F8" s="111"/>
      <c r="G8" s="111"/>
      <c r="H8" s="111"/>
      <c r="I8" s="111"/>
      <c r="J8" s="111"/>
      <c r="K8" s="111"/>
      <c r="L8" s="111"/>
      <c r="M8" s="111"/>
      <c r="N8" s="111"/>
      <c r="O8" s="111"/>
      <c r="P8" s="111"/>
      <c r="Q8" s="111"/>
    </row>
    <row r="9" spans="1:17" x14ac:dyDescent="0.25">
      <c r="A9" s="87" t="s">
        <v>300</v>
      </c>
      <c r="B9" s="111" t="s">
        <v>488</v>
      </c>
      <c r="C9" s="111"/>
      <c r="D9" s="111"/>
      <c r="E9" s="111"/>
      <c r="F9" s="111"/>
      <c r="G9" s="111"/>
      <c r="H9" s="111"/>
      <c r="I9" s="111"/>
      <c r="J9" s="111"/>
      <c r="K9" s="111"/>
      <c r="L9" s="111"/>
      <c r="M9" s="111"/>
      <c r="N9" s="111"/>
      <c r="O9" s="111"/>
      <c r="P9" s="111"/>
      <c r="Q9" s="111"/>
    </row>
    <row r="10" spans="1:17" x14ac:dyDescent="0.25">
      <c r="A10" s="87" t="s">
        <v>6</v>
      </c>
      <c r="B10" s="111" t="s">
        <v>524</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525</v>
      </c>
      <c r="C12" s="111"/>
      <c r="D12" s="111"/>
      <c r="E12" s="111"/>
      <c r="F12" s="111"/>
      <c r="G12" s="111"/>
      <c r="H12" s="111"/>
      <c r="I12" s="111"/>
      <c r="J12" s="111"/>
      <c r="K12" s="111"/>
      <c r="L12" s="111"/>
      <c r="M12" s="111"/>
      <c r="N12" s="111"/>
      <c r="O12" s="111"/>
      <c r="P12" s="111"/>
      <c r="Q12" s="111"/>
    </row>
    <row r="13" spans="1:17" x14ac:dyDescent="0.25">
      <c r="A13" s="87" t="s">
        <v>813</v>
      </c>
      <c r="B13" s="111">
        <v>1</v>
      </c>
      <c r="C13" s="111"/>
      <c r="D13" s="111"/>
      <c r="E13" s="111"/>
      <c r="F13" s="111"/>
      <c r="G13" s="111"/>
      <c r="H13" s="111"/>
      <c r="I13" s="111"/>
      <c r="J13" s="111"/>
      <c r="K13" s="111"/>
      <c r="L13" s="111"/>
      <c r="M13" s="111"/>
      <c r="N13" s="111"/>
      <c r="O13" s="111"/>
      <c r="P13" s="111"/>
      <c r="Q13" s="111"/>
    </row>
    <row r="14" spans="1:17" x14ac:dyDescent="0.25">
      <c r="A14" s="87" t="s">
        <v>304</v>
      </c>
      <c r="B14" s="111">
        <v>423</v>
      </c>
      <c r="C14" s="111"/>
      <c r="D14" s="111"/>
      <c r="E14" s="111"/>
      <c r="F14" s="111"/>
      <c r="G14" s="111"/>
      <c r="H14" s="111"/>
      <c r="I14" s="111"/>
      <c r="J14" s="111"/>
      <c r="K14" s="111"/>
      <c r="L14" s="111"/>
      <c r="M14" s="111"/>
      <c r="N14" s="111"/>
      <c r="O14" s="111"/>
      <c r="P14" s="111"/>
      <c r="Q14" s="111"/>
    </row>
    <row r="15" spans="1:17" x14ac:dyDescent="0.25">
      <c r="A15" s="87" t="s">
        <v>727</v>
      </c>
      <c r="B15" s="111" t="s">
        <v>526</v>
      </c>
      <c r="C15" s="111"/>
      <c r="D15" s="111"/>
      <c r="E15" s="111"/>
      <c r="F15" s="111"/>
      <c r="G15" s="111"/>
      <c r="H15" s="111"/>
      <c r="I15" s="111"/>
      <c r="J15" s="111"/>
      <c r="K15" s="111"/>
      <c r="L15" s="111"/>
      <c r="M15" s="111"/>
      <c r="N15" s="111"/>
      <c r="O15" s="111"/>
      <c r="P15" s="111"/>
      <c r="Q15" s="111"/>
    </row>
    <row r="16" spans="1:17" x14ac:dyDescent="0.25">
      <c r="A16" s="87" t="s">
        <v>306</v>
      </c>
      <c r="B16" s="111" t="s">
        <v>527</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2" spans="1:17" x14ac:dyDescent="0.25">
      <c r="C22" s="104"/>
      <c r="D22" s="104"/>
      <c r="E22" s="104"/>
      <c r="F22" s="104"/>
      <c r="G22" s="104"/>
      <c r="H22" s="104"/>
      <c r="I22" s="104"/>
      <c r="J22" s="104"/>
      <c r="K22" s="104"/>
      <c r="L22" s="104"/>
      <c r="M22" s="104"/>
      <c r="N22" s="104"/>
      <c r="O22" s="104"/>
      <c r="P22" s="104"/>
      <c r="Q22" s="104"/>
    </row>
    <row r="23" spans="1:17" x14ac:dyDescent="0.25">
      <c r="B23" s="104" t="str">
        <f>HYPERLINK("#'Factor List'!A1","Back to Factor List")</f>
        <v>Back to Factor List</v>
      </c>
    </row>
    <row r="24" spans="1:17" x14ac:dyDescent="0.25">
      <c r="B24" s="104" t="s">
        <v>13</v>
      </c>
    </row>
    <row r="26" spans="1:17" ht="13" x14ac:dyDescent="0.25">
      <c r="A26" s="127" t="s">
        <v>839</v>
      </c>
      <c r="B26" s="127">
        <v>65</v>
      </c>
      <c r="C26" s="127">
        <v>66</v>
      </c>
      <c r="D26" s="127">
        <v>67</v>
      </c>
      <c r="E26" s="127">
        <v>68</v>
      </c>
      <c r="F26" s="127">
        <v>69</v>
      </c>
      <c r="G26" s="127">
        <v>70</v>
      </c>
      <c r="H26" s="127">
        <v>71</v>
      </c>
      <c r="I26" s="127">
        <v>72</v>
      </c>
      <c r="J26" s="127">
        <v>73</v>
      </c>
      <c r="K26" s="127">
        <v>74</v>
      </c>
      <c r="L26" s="127">
        <v>75</v>
      </c>
      <c r="M26" s="127">
        <v>76</v>
      </c>
      <c r="N26" s="127">
        <v>77</v>
      </c>
      <c r="O26" s="127">
        <v>78</v>
      </c>
      <c r="P26" s="127">
        <v>79</v>
      </c>
      <c r="Q26" s="127">
        <v>80</v>
      </c>
    </row>
    <row r="27" spans="1:17" x14ac:dyDescent="0.25">
      <c r="A27" s="128">
        <v>0</v>
      </c>
      <c r="B27" s="129">
        <v>1</v>
      </c>
      <c r="C27" s="129">
        <v>1.0529999999999999</v>
      </c>
      <c r="D27" s="129">
        <v>1.111</v>
      </c>
      <c r="E27" s="129">
        <v>1.1739999999999999</v>
      </c>
      <c r="F27" s="129">
        <v>1.244</v>
      </c>
      <c r="G27" s="129">
        <v>1.3180000000000001</v>
      </c>
      <c r="H27" s="129">
        <v>1.4019999999999999</v>
      </c>
      <c r="I27" s="129">
        <v>1.494</v>
      </c>
      <c r="J27" s="129">
        <v>1.595</v>
      </c>
      <c r="K27" s="129">
        <v>1.706</v>
      </c>
      <c r="L27" s="129">
        <v>1.821</v>
      </c>
      <c r="M27" s="129">
        <v>1.9550000000000001</v>
      </c>
      <c r="N27" s="129">
        <v>2.101</v>
      </c>
      <c r="O27" s="129">
        <v>2.2629999999999999</v>
      </c>
      <c r="P27" s="129">
        <v>2.44</v>
      </c>
      <c r="Q27" s="129">
        <v>2.625</v>
      </c>
    </row>
    <row r="28" spans="1:17" x14ac:dyDescent="0.25">
      <c r="A28" s="128">
        <v>1</v>
      </c>
      <c r="B28" s="129">
        <v>1.004</v>
      </c>
      <c r="C28" s="129">
        <v>1.0580000000000001</v>
      </c>
      <c r="D28" s="129">
        <v>1.1160000000000001</v>
      </c>
      <c r="E28" s="129">
        <v>1.18</v>
      </c>
      <c r="F28" s="129">
        <v>1.25</v>
      </c>
      <c r="G28" s="129">
        <v>1.325</v>
      </c>
      <c r="H28" s="129">
        <v>1.41</v>
      </c>
      <c r="I28" s="129">
        <v>1.502</v>
      </c>
      <c r="J28" s="129">
        <v>1.6040000000000001</v>
      </c>
      <c r="K28" s="129">
        <v>1.7150000000000001</v>
      </c>
      <c r="L28" s="129">
        <v>1.8320000000000001</v>
      </c>
      <c r="M28" s="129">
        <v>1.9670000000000001</v>
      </c>
      <c r="N28" s="129">
        <v>2.1150000000000002</v>
      </c>
      <c r="O28" s="129">
        <v>2.278</v>
      </c>
      <c r="P28" s="129">
        <v>2.456</v>
      </c>
      <c r="Q28" s="129"/>
    </row>
    <row r="29" spans="1:17" x14ac:dyDescent="0.25">
      <c r="A29" s="128">
        <v>2</v>
      </c>
      <c r="B29" s="129">
        <v>1.0089999999999999</v>
      </c>
      <c r="C29" s="129">
        <v>1.0629999999999999</v>
      </c>
      <c r="D29" s="129">
        <v>1.1220000000000001</v>
      </c>
      <c r="E29" s="129">
        <v>1.1859999999999999</v>
      </c>
      <c r="F29" s="129">
        <v>1.256</v>
      </c>
      <c r="G29" s="129">
        <v>1.3320000000000001</v>
      </c>
      <c r="H29" s="129">
        <v>1.417</v>
      </c>
      <c r="I29" s="129">
        <v>1.5109999999999999</v>
      </c>
      <c r="J29" s="129">
        <v>1.613</v>
      </c>
      <c r="K29" s="129">
        <v>1.7250000000000001</v>
      </c>
      <c r="L29" s="129">
        <v>1.843</v>
      </c>
      <c r="M29" s="129">
        <v>1.9790000000000001</v>
      </c>
      <c r="N29" s="129">
        <v>2.1280000000000001</v>
      </c>
      <c r="O29" s="129">
        <v>2.2919999999999998</v>
      </c>
      <c r="P29" s="129">
        <v>2.4710000000000001</v>
      </c>
      <c r="Q29" s="129"/>
    </row>
    <row r="30" spans="1:17" x14ac:dyDescent="0.25">
      <c r="A30" s="128">
        <v>3</v>
      </c>
      <c r="B30" s="129">
        <v>1.0129999999999999</v>
      </c>
      <c r="C30" s="129">
        <v>1.0680000000000001</v>
      </c>
      <c r="D30" s="129">
        <v>1.127</v>
      </c>
      <c r="E30" s="129">
        <v>1.1919999999999999</v>
      </c>
      <c r="F30" s="129">
        <v>1.2629999999999999</v>
      </c>
      <c r="G30" s="129">
        <v>1.339</v>
      </c>
      <c r="H30" s="129">
        <v>1.425</v>
      </c>
      <c r="I30" s="129">
        <v>1.5189999999999999</v>
      </c>
      <c r="J30" s="129">
        <v>1.623</v>
      </c>
      <c r="K30" s="129">
        <v>1.734</v>
      </c>
      <c r="L30" s="129">
        <v>1.8540000000000001</v>
      </c>
      <c r="M30" s="129">
        <v>1.9910000000000001</v>
      </c>
      <c r="N30" s="129">
        <v>2.1419999999999999</v>
      </c>
      <c r="O30" s="129">
        <v>2.3069999999999999</v>
      </c>
      <c r="P30" s="129">
        <v>2.4860000000000002</v>
      </c>
      <c r="Q30" s="129"/>
    </row>
    <row r="31" spans="1:17" x14ac:dyDescent="0.25">
      <c r="A31" s="128">
        <v>4</v>
      </c>
      <c r="B31" s="129">
        <v>1.018</v>
      </c>
      <c r="C31" s="129">
        <v>1.0720000000000001</v>
      </c>
      <c r="D31" s="129">
        <v>1.1319999999999999</v>
      </c>
      <c r="E31" s="129">
        <v>1.198</v>
      </c>
      <c r="F31" s="129">
        <v>1.2689999999999999</v>
      </c>
      <c r="G31" s="129">
        <v>1.3460000000000001</v>
      </c>
      <c r="H31" s="129">
        <v>1.4330000000000001</v>
      </c>
      <c r="I31" s="129">
        <v>1.528</v>
      </c>
      <c r="J31" s="129">
        <v>1.6319999999999999</v>
      </c>
      <c r="K31" s="129">
        <v>1.744</v>
      </c>
      <c r="L31" s="129">
        <v>1.8660000000000001</v>
      </c>
      <c r="M31" s="129">
        <v>2.004</v>
      </c>
      <c r="N31" s="129">
        <v>2.1549999999999998</v>
      </c>
      <c r="O31" s="129">
        <v>2.3220000000000001</v>
      </c>
      <c r="P31" s="129">
        <v>2.5019999999999998</v>
      </c>
      <c r="Q31" s="129"/>
    </row>
    <row r="32" spans="1:17" x14ac:dyDescent="0.25">
      <c r="A32" s="128">
        <v>5</v>
      </c>
      <c r="B32" s="129">
        <v>1.022</v>
      </c>
      <c r="C32" s="129">
        <v>1.077</v>
      </c>
      <c r="D32" s="129">
        <v>1.137</v>
      </c>
      <c r="E32" s="129">
        <v>1.2030000000000001</v>
      </c>
      <c r="F32" s="129">
        <v>1.2749999999999999</v>
      </c>
      <c r="G32" s="129">
        <v>1.353</v>
      </c>
      <c r="H32" s="129">
        <v>1.44</v>
      </c>
      <c r="I32" s="129">
        <v>1.536</v>
      </c>
      <c r="J32" s="129">
        <v>1.641</v>
      </c>
      <c r="K32" s="129">
        <v>1.754</v>
      </c>
      <c r="L32" s="129">
        <v>1.877</v>
      </c>
      <c r="M32" s="129">
        <v>2.016</v>
      </c>
      <c r="N32" s="129">
        <v>2.169</v>
      </c>
      <c r="O32" s="129">
        <v>2.3370000000000002</v>
      </c>
      <c r="P32" s="129">
        <v>2.5169999999999999</v>
      </c>
      <c r="Q32" s="129"/>
    </row>
    <row r="33" spans="1:17" x14ac:dyDescent="0.25">
      <c r="A33" s="128">
        <v>6</v>
      </c>
      <c r="B33" s="129">
        <v>1.0269999999999999</v>
      </c>
      <c r="C33" s="129">
        <v>1.0820000000000001</v>
      </c>
      <c r="D33" s="129">
        <v>1.143</v>
      </c>
      <c r="E33" s="129">
        <v>1.2090000000000001</v>
      </c>
      <c r="F33" s="129">
        <v>1.2809999999999999</v>
      </c>
      <c r="G33" s="129">
        <v>1.36</v>
      </c>
      <c r="H33" s="129">
        <v>1.448</v>
      </c>
      <c r="I33" s="129">
        <v>1.544</v>
      </c>
      <c r="J33" s="129">
        <v>1.65</v>
      </c>
      <c r="K33" s="129">
        <v>1.7629999999999999</v>
      </c>
      <c r="L33" s="129">
        <v>1.8879999999999999</v>
      </c>
      <c r="M33" s="129">
        <v>2.028</v>
      </c>
      <c r="N33" s="129">
        <v>2.1819999999999999</v>
      </c>
      <c r="O33" s="129">
        <v>2.3519999999999999</v>
      </c>
      <c r="P33" s="129">
        <v>2.5329999999999999</v>
      </c>
      <c r="Q33" s="129"/>
    </row>
    <row r="34" spans="1:17" x14ac:dyDescent="0.25">
      <c r="A34" s="128">
        <v>7</v>
      </c>
      <c r="B34" s="129">
        <v>1.0309999999999999</v>
      </c>
      <c r="C34" s="129">
        <v>1.087</v>
      </c>
      <c r="D34" s="129">
        <v>1.1479999999999999</v>
      </c>
      <c r="E34" s="129">
        <v>1.2150000000000001</v>
      </c>
      <c r="F34" s="129">
        <v>1.2869999999999999</v>
      </c>
      <c r="G34" s="129">
        <v>1.367</v>
      </c>
      <c r="H34" s="129">
        <v>1.456</v>
      </c>
      <c r="I34" s="129">
        <v>1.5529999999999999</v>
      </c>
      <c r="J34" s="129">
        <v>1.66</v>
      </c>
      <c r="K34" s="129">
        <v>1.7729999999999999</v>
      </c>
      <c r="L34" s="129">
        <v>1.899</v>
      </c>
      <c r="M34" s="129">
        <v>2.04</v>
      </c>
      <c r="N34" s="129">
        <v>2.1960000000000002</v>
      </c>
      <c r="O34" s="129">
        <v>2.3660000000000001</v>
      </c>
      <c r="P34" s="129">
        <v>2.548</v>
      </c>
      <c r="Q34" s="129"/>
    </row>
    <row r="35" spans="1:17" x14ac:dyDescent="0.25">
      <c r="A35" s="128">
        <v>8</v>
      </c>
      <c r="B35" s="129">
        <v>1.0349999999999999</v>
      </c>
      <c r="C35" s="129">
        <v>1.0920000000000001</v>
      </c>
      <c r="D35" s="129">
        <v>1.153</v>
      </c>
      <c r="E35" s="129">
        <v>1.2210000000000001</v>
      </c>
      <c r="F35" s="129">
        <v>1.2929999999999999</v>
      </c>
      <c r="G35" s="129">
        <v>1.3740000000000001</v>
      </c>
      <c r="H35" s="129">
        <v>1.4630000000000001</v>
      </c>
      <c r="I35" s="129">
        <v>1.5609999999999999</v>
      </c>
      <c r="J35" s="129">
        <v>1.669</v>
      </c>
      <c r="K35" s="129">
        <v>1.7829999999999999</v>
      </c>
      <c r="L35" s="129">
        <v>1.91</v>
      </c>
      <c r="M35" s="129">
        <v>2.0529999999999999</v>
      </c>
      <c r="N35" s="129">
        <v>2.2090000000000001</v>
      </c>
      <c r="O35" s="129">
        <v>2.3809999999999998</v>
      </c>
      <c r="P35" s="129">
        <v>2.5630000000000002</v>
      </c>
      <c r="Q35" s="129"/>
    </row>
    <row r="36" spans="1:17" x14ac:dyDescent="0.25">
      <c r="A36" s="128">
        <v>9</v>
      </c>
      <c r="B36" s="129">
        <v>1.04</v>
      </c>
      <c r="C36" s="129">
        <v>1.097</v>
      </c>
      <c r="D36" s="129">
        <v>1.159</v>
      </c>
      <c r="E36" s="129">
        <v>1.2270000000000001</v>
      </c>
      <c r="F36" s="129">
        <v>1.2989999999999999</v>
      </c>
      <c r="G36" s="129">
        <v>1.381</v>
      </c>
      <c r="H36" s="129">
        <v>1.4710000000000001</v>
      </c>
      <c r="I36" s="129">
        <v>1.57</v>
      </c>
      <c r="J36" s="129">
        <v>1.6779999999999999</v>
      </c>
      <c r="K36" s="129">
        <v>1.792</v>
      </c>
      <c r="L36" s="129">
        <v>1.921</v>
      </c>
      <c r="M36" s="129">
        <v>2.0649999999999999</v>
      </c>
      <c r="N36" s="129">
        <v>2.2229999999999999</v>
      </c>
      <c r="O36" s="129">
        <v>2.3959999999999999</v>
      </c>
      <c r="P36" s="129">
        <v>2.5790000000000002</v>
      </c>
      <c r="Q36" s="129"/>
    </row>
    <row r="37" spans="1:17" x14ac:dyDescent="0.25">
      <c r="A37" s="128">
        <v>10</v>
      </c>
      <c r="B37" s="129">
        <v>1.044</v>
      </c>
      <c r="C37" s="129">
        <v>1.101</v>
      </c>
      <c r="D37" s="129">
        <v>1.1639999999999999</v>
      </c>
      <c r="E37" s="129">
        <v>1.232</v>
      </c>
      <c r="F37" s="129">
        <v>1.306</v>
      </c>
      <c r="G37" s="129">
        <v>1.3879999999999999</v>
      </c>
      <c r="H37" s="129">
        <v>1.4790000000000001</v>
      </c>
      <c r="I37" s="129">
        <v>1.5780000000000001</v>
      </c>
      <c r="J37" s="129">
        <v>1.6870000000000001</v>
      </c>
      <c r="K37" s="129">
        <v>1.802</v>
      </c>
      <c r="L37" s="129">
        <v>1.9319999999999999</v>
      </c>
      <c r="M37" s="129">
        <v>2.077</v>
      </c>
      <c r="N37" s="129">
        <v>2.2360000000000002</v>
      </c>
      <c r="O37" s="129">
        <v>2.411</v>
      </c>
      <c r="P37" s="129">
        <v>2.5939999999999999</v>
      </c>
      <c r="Q37" s="129"/>
    </row>
    <row r="38" spans="1:17" x14ac:dyDescent="0.25">
      <c r="A38" s="128">
        <v>11</v>
      </c>
      <c r="B38" s="129">
        <v>1.0489999999999999</v>
      </c>
      <c r="C38" s="129">
        <v>1.1060000000000001</v>
      </c>
      <c r="D38" s="129">
        <v>1.169</v>
      </c>
      <c r="E38" s="129">
        <v>1.238</v>
      </c>
      <c r="F38" s="129">
        <v>1.3120000000000001</v>
      </c>
      <c r="G38" s="129">
        <v>1.395</v>
      </c>
      <c r="H38" s="129">
        <v>1.486</v>
      </c>
      <c r="I38" s="129">
        <v>1.587</v>
      </c>
      <c r="J38" s="129">
        <v>1.696</v>
      </c>
      <c r="K38" s="129">
        <v>1.8109999999999999</v>
      </c>
      <c r="L38" s="129">
        <v>1.9430000000000001</v>
      </c>
      <c r="M38" s="129">
        <v>2.089</v>
      </c>
      <c r="N38" s="129">
        <v>2.2490000000000001</v>
      </c>
      <c r="O38" s="129">
        <v>2.4249999999999998</v>
      </c>
      <c r="P38" s="129">
        <v>2.609</v>
      </c>
      <c r="Q38" s="129"/>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row r="45" spans="1:17" x14ac:dyDescent="0.25">
      <c r="A45"/>
      <c r="B45"/>
      <c r="C45"/>
      <c r="D45"/>
      <c r="E45"/>
      <c r="F45"/>
      <c r="G45"/>
      <c r="H45"/>
      <c r="I45"/>
      <c r="J45"/>
      <c r="K45"/>
      <c r="L45"/>
      <c r="M45"/>
      <c r="N45"/>
      <c r="O45"/>
      <c r="P45"/>
      <c r="Q45"/>
    </row>
    <row r="46" spans="1:17" x14ac:dyDescent="0.25">
      <c r="A46"/>
      <c r="B46"/>
      <c r="C46"/>
      <c r="D46"/>
      <c r="E46"/>
      <c r="F46"/>
      <c r="G46"/>
      <c r="H46"/>
      <c r="I46"/>
      <c r="J46"/>
      <c r="K46"/>
      <c r="L46"/>
      <c r="M46"/>
      <c r="N46"/>
      <c r="O46"/>
      <c r="P46"/>
      <c r="Q46"/>
    </row>
  </sheetData>
  <conditionalFormatting sqref="A6:A21">
    <cfRule type="expression" dxfId="607" priority="3" stopIfTrue="1">
      <formula>MOD(ROW(),2)=0</formula>
    </cfRule>
    <cfRule type="expression" dxfId="606" priority="4" stopIfTrue="1">
      <formula>MOD(ROW(),2)&lt;&gt;0</formula>
    </cfRule>
  </conditionalFormatting>
  <conditionalFormatting sqref="A26:A38">
    <cfRule type="expression" dxfId="605" priority="7" stopIfTrue="1">
      <formula>MOD(ROW(),2)=0</formula>
    </cfRule>
    <cfRule type="expression" dxfId="604" priority="8" stopIfTrue="1">
      <formula>MOD(ROW(),2)&lt;&gt;0</formula>
    </cfRule>
  </conditionalFormatting>
  <conditionalFormatting sqref="B19">
    <cfRule type="expression" dxfId="603" priority="1" stopIfTrue="1">
      <formula>MOD(ROW(),2)=0</formula>
    </cfRule>
    <cfRule type="expression" dxfId="602" priority="2" stopIfTrue="1">
      <formula>MOD(ROW(),2)&lt;&gt;0</formula>
    </cfRule>
  </conditionalFormatting>
  <conditionalFormatting sqref="B6:Q6">
    <cfRule type="expression" dxfId="601" priority="21" stopIfTrue="1">
      <formula>MOD(ROW(),2)=0</formula>
    </cfRule>
    <cfRule type="expression" dxfId="600" priority="22" stopIfTrue="1">
      <formula>MOD(ROW(),2)&lt;&gt;0</formula>
    </cfRule>
  </conditionalFormatting>
  <conditionalFormatting sqref="B6:Q21">
    <cfRule type="expression" dxfId="599" priority="11" stopIfTrue="1">
      <formula>MOD(ROW(),2)=0</formula>
    </cfRule>
    <cfRule type="expression" dxfId="598" priority="12" stopIfTrue="1">
      <formula>MOD(ROW(),2)&lt;&gt;0</formula>
    </cfRule>
  </conditionalFormatting>
  <conditionalFormatting sqref="B8:Q18 C19:Q19 B20:Q21">
    <cfRule type="expression" dxfId="597" priority="17" stopIfTrue="1">
      <formula>MOD(ROW(),2)=0</formula>
    </cfRule>
    <cfRule type="expression" dxfId="596" priority="18" stopIfTrue="1">
      <formula>MOD(ROW(),2)&lt;&gt;0</formula>
    </cfRule>
  </conditionalFormatting>
  <conditionalFormatting sqref="B26:Q38">
    <cfRule type="expression" dxfId="595" priority="9" stopIfTrue="1">
      <formula>MOD(ROW(),2)=0</formula>
    </cfRule>
    <cfRule type="expression" dxfId="594" priority="10" stopIfTrue="1">
      <formula>MOD(ROW(),2)&lt;&gt;0</formula>
    </cfRule>
  </conditionalFormatting>
  <hyperlinks>
    <hyperlink ref="B24" location="Assumptions!A1" display="Assumptions" xr:uid="{5FBAEEE5-F89A-433F-82A3-823E9ACC763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8"/>
  <dimension ref="A1:Q44"/>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c r="E1" s="54"/>
      <c r="F1" s="54"/>
      <c r="G1" s="54"/>
      <c r="H1" s="54"/>
      <c r="I1" s="54"/>
      <c r="J1" s="54"/>
      <c r="K1" s="54"/>
      <c r="L1" s="54"/>
      <c r="M1" s="54"/>
      <c r="N1" s="54"/>
      <c r="O1" s="54"/>
      <c r="P1" s="54"/>
      <c r="Q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c r="J2" s="56"/>
      <c r="K2" s="56"/>
      <c r="L2" s="56"/>
      <c r="M2" s="56"/>
      <c r="N2" s="56"/>
      <c r="O2" s="56"/>
      <c r="P2" s="56"/>
      <c r="Q2" s="56"/>
    </row>
    <row r="3" spans="1:17" ht="15.5" x14ac:dyDescent="0.35">
      <c r="A3" s="57" t="str">
        <f>TABLE_FACTOR_TYPE_1&amp;" - x-"&amp;TABLE_SERIES_NUMBER_1</f>
        <v>LRF - x-424</v>
      </c>
      <c r="B3" s="56"/>
      <c r="C3" s="56"/>
      <c r="D3" s="56"/>
      <c r="E3" s="56"/>
      <c r="F3" s="56"/>
      <c r="G3" s="56"/>
      <c r="H3" s="56"/>
      <c r="I3" s="56"/>
      <c r="J3" s="56"/>
      <c r="K3" s="56"/>
      <c r="L3" s="56"/>
      <c r="M3" s="56"/>
      <c r="N3" s="56"/>
      <c r="O3" s="56"/>
      <c r="P3" s="56"/>
      <c r="Q3" s="56"/>
    </row>
    <row r="4" spans="1:17" x14ac:dyDescent="0.25">
      <c r="A4" s="58"/>
    </row>
    <row r="6" spans="1:17" ht="13" x14ac:dyDescent="0.3">
      <c r="A6" s="86" t="s">
        <v>716</v>
      </c>
      <c r="B6" s="111" t="s">
        <v>717</v>
      </c>
      <c r="C6" s="111"/>
      <c r="D6" s="111"/>
      <c r="E6" s="111"/>
      <c r="F6" s="111"/>
      <c r="G6" s="111"/>
      <c r="H6" s="111"/>
      <c r="I6" s="111"/>
      <c r="J6" s="111"/>
      <c r="K6" s="111"/>
      <c r="L6" s="111"/>
      <c r="M6" s="111"/>
      <c r="N6" s="111"/>
      <c r="O6" s="111"/>
      <c r="P6" s="111"/>
      <c r="Q6" s="111"/>
    </row>
    <row r="7" spans="1:17" x14ac:dyDescent="0.25">
      <c r="A7" s="87" t="s">
        <v>797</v>
      </c>
      <c r="B7" s="111" t="s">
        <v>326</v>
      </c>
      <c r="C7" s="111"/>
      <c r="D7" s="111"/>
      <c r="E7" s="111"/>
      <c r="F7" s="111"/>
      <c r="G7" s="111"/>
      <c r="H7" s="111"/>
      <c r="I7" s="111"/>
      <c r="J7" s="111"/>
      <c r="K7" s="111"/>
      <c r="L7" s="111"/>
      <c r="M7" s="111"/>
      <c r="N7" s="111"/>
      <c r="O7" s="111"/>
      <c r="P7" s="111"/>
      <c r="Q7" s="111"/>
    </row>
    <row r="8" spans="1:17" x14ac:dyDescent="0.25">
      <c r="A8" s="87" t="s">
        <v>798</v>
      </c>
      <c r="B8" s="111" t="s">
        <v>96</v>
      </c>
      <c r="C8" s="111"/>
      <c r="D8" s="111"/>
      <c r="E8" s="111"/>
      <c r="F8" s="111"/>
      <c r="G8" s="111"/>
      <c r="H8" s="111"/>
      <c r="I8" s="111"/>
      <c r="J8" s="111"/>
      <c r="K8" s="111"/>
      <c r="L8" s="111"/>
      <c r="M8" s="111"/>
      <c r="N8" s="111"/>
      <c r="O8" s="111"/>
      <c r="P8" s="111"/>
      <c r="Q8" s="111"/>
    </row>
    <row r="9" spans="1:17" x14ac:dyDescent="0.25">
      <c r="A9" s="87" t="s">
        <v>300</v>
      </c>
      <c r="B9" s="111" t="s">
        <v>488</v>
      </c>
      <c r="C9" s="111"/>
      <c r="D9" s="111"/>
      <c r="E9" s="111"/>
      <c r="F9" s="111"/>
      <c r="G9" s="111"/>
      <c r="H9" s="111"/>
      <c r="I9" s="111"/>
      <c r="J9" s="111"/>
      <c r="K9" s="111"/>
      <c r="L9" s="111"/>
      <c r="M9" s="111"/>
      <c r="N9" s="111"/>
      <c r="O9" s="111"/>
      <c r="P9" s="111"/>
      <c r="Q9" s="111"/>
    </row>
    <row r="10" spans="1:17" x14ac:dyDescent="0.25">
      <c r="A10" s="87" t="s">
        <v>6</v>
      </c>
      <c r="B10" s="111" t="s">
        <v>528</v>
      </c>
      <c r="C10" s="111"/>
      <c r="D10" s="111"/>
      <c r="E10" s="111"/>
      <c r="F10" s="111"/>
      <c r="G10" s="111"/>
      <c r="H10" s="111"/>
      <c r="I10" s="111"/>
      <c r="J10" s="111"/>
      <c r="K10" s="111"/>
      <c r="L10" s="111"/>
      <c r="M10" s="111"/>
      <c r="N10" s="111"/>
      <c r="O10" s="111"/>
      <c r="P10" s="111"/>
      <c r="Q10" s="111"/>
    </row>
    <row r="11" spans="1:17" x14ac:dyDescent="0.25">
      <c r="A11" s="87" t="s">
        <v>301</v>
      </c>
      <c r="B11" s="111" t="s">
        <v>319</v>
      </c>
      <c r="C11" s="111"/>
      <c r="D11" s="111"/>
      <c r="E11" s="111"/>
      <c r="F11" s="111"/>
      <c r="G11" s="111"/>
      <c r="H11" s="111"/>
      <c r="I11" s="111"/>
      <c r="J11" s="111"/>
      <c r="K11" s="111"/>
      <c r="L11" s="111"/>
      <c r="M11" s="111"/>
      <c r="N11" s="111"/>
      <c r="O11" s="111"/>
      <c r="P11" s="111"/>
      <c r="Q11" s="111"/>
    </row>
    <row r="12" spans="1:17" x14ac:dyDescent="0.25">
      <c r="A12" s="87" t="s">
        <v>302</v>
      </c>
      <c r="B12" s="111" t="s">
        <v>525</v>
      </c>
      <c r="C12" s="111"/>
      <c r="D12" s="111"/>
      <c r="E12" s="111"/>
      <c r="F12" s="111"/>
      <c r="G12" s="111"/>
      <c r="H12" s="111"/>
      <c r="I12" s="111"/>
      <c r="J12" s="111"/>
      <c r="K12" s="111"/>
      <c r="L12" s="111"/>
      <c r="M12" s="111"/>
      <c r="N12" s="111"/>
      <c r="O12" s="111"/>
      <c r="P12" s="111"/>
      <c r="Q12" s="111"/>
    </row>
    <row r="13" spans="1:17" x14ac:dyDescent="0.25">
      <c r="A13" s="87" t="s">
        <v>813</v>
      </c>
      <c r="B13" s="111">
        <v>1</v>
      </c>
      <c r="C13" s="111"/>
      <c r="D13" s="111"/>
      <c r="E13" s="111"/>
      <c r="F13" s="111"/>
      <c r="G13" s="111"/>
      <c r="H13" s="111"/>
      <c r="I13" s="111"/>
      <c r="J13" s="111"/>
      <c r="K13" s="111"/>
      <c r="L13" s="111"/>
      <c r="M13" s="111"/>
      <c r="N13" s="111"/>
      <c r="O13" s="111"/>
      <c r="P13" s="111"/>
      <c r="Q13" s="111"/>
    </row>
    <row r="14" spans="1:17" x14ac:dyDescent="0.25">
      <c r="A14" s="87" t="s">
        <v>304</v>
      </c>
      <c r="B14" s="111">
        <v>424</v>
      </c>
      <c r="C14" s="111"/>
      <c r="D14" s="111"/>
      <c r="E14" s="111"/>
      <c r="F14" s="111"/>
      <c r="G14" s="111"/>
      <c r="H14" s="111"/>
      <c r="I14" s="111"/>
      <c r="J14" s="111"/>
      <c r="K14" s="111"/>
      <c r="L14" s="111"/>
      <c r="M14" s="111"/>
      <c r="N14" s="111"/>
      <c r="O14" s="111"/>
      <c r="P14" s="111"/>
      <c r="Q14" s="111"/>
    </row>
    <row r="15" spans="1:17" x14ac:dyDescent="0.25">
      <c r="A15" s="87" t="s">
        <v>727</v>
      </c>
      <c r="B15" s="111" t="s">
        <v>529</v>
      </c>
      <c r="C15" s="111"/>
      <c r="D15" s="111"/>
      <c r="E15" s="111"/>
      <c r="F15" s="111"/>
      <c r="G15" s="111"/>
      <c r="H15" s="111"/>
      <c r="I15" s="111"/>
      <c r="J15" s="111"/>
      <c r="K15" s="111"/>
      <c r="L15" s="111"/>
      <c r="M15" s="111"/>
      <c r="N15" s="111"/>
      <c r="O15" s="111"/>
      <c r="P15" s="111"/>
      <c r="Q15" s="111"/>
    </row>
    <row r="16" spans="1:17" x14ac:dyDescent="0.25">
      <c r="A16" s="87" t="s">
        <v>306</v>
      </c>
      <c r="B16" s="111" t="s">
        <v>530</v>
      </c>
      <c r="C16" s="111"/>
      <c r="D16" s="111"/>
      <c r="E16" s="111"/>
      <c r="F16" s="111"/>
      <c r="G16" s="111"/>
      <c r="H16" s="111"/>
      <c r="I16" s="111"/>
      <c r="J16" s="111"/>
      <c r="K16" s="111"/>
      <c r="L16" s="111"/>
      <c r="M16" s="111"/>
      <c r="N16" s="111"/>
      <c r="O16" s="111"/>
      <c r="P16" s="111"/>
      <c r="Q16" s="111"/>
    </row>
    <row r="17" spans="1:17" x14ac:dyDescent="0.25">
      <c r="A17" s="87" t="s">
        <v>800</v>
      </c>
      <c r="B17" s="111"/>
      <c r="C17" s="111"/>
      <c r="D17" s="111"/>
      <c r="E17" s="111"/>
      <c r="F17" s="111"/>
      <c r="G17" s="111"/>
      <c r="H17" s="111"/>
      <c r="I17" s="111"/>
      <c r="J17" s="111"/>
      <c r="K17" s="111"/>
      <c r="L17" s="111"/>
      <c r="M17" s="111"/>
      <c r="N17" s="111"/>
      <c r="O17" s="111"/>
      <c r="P17" s="111"/>
      <c r="Q17" s="111"/>
    </row>
    <row r="18" spans="1:17" x14ac:dyDescent="0.25">
      <c r="A18" s="87" t="s">
        <v>308</v>
      </c>
      <c r="B18" s="122">
        <v>45106</v>
      </c>
      <c r="C18" s="111"/>
      <c r="D18" s="111"/>
      <c r="E18" s="111"/>
      <c r="F18" s="111"/>
      <c r="G18" s="111"/>
      <c r="H18" s="111"/>
      <c r="I18" s="111"/>
      <c r="J18" s="111"/>
      <c r="K18" s="111"/>
      <c r="L18" s="111"/>
      <c r="M18" s="111"/>
      <c r="N18" s="111"/>
      <c r="O18" s="111"/>
      <c r="P18" s="111"/>
      <c r="Q18" s="111"/>
    </row>
    <row r="19" spans="1:17" x14ac:dyDescent="0.25">
      <c r="A19" s="87" t="s">
        <v>309</v>
      </c>
      <c r="B19" s="122">
        <v>45200</v>
      </c>
      <c r="C19" s="111"/>
      <c r="D19" s="111"/>
      <c r="E19" s="111"/>
      <c r="F19" s="111"/>
      <c r="G19" s="111"/>
      <c r="H19" s="111"/>
      <c r="I19" s="111"/>
      <c r="J19" s="111"/>
      <c r="K19" s="111"/>
      <c r="L19" s="111"/>
      <c r="M19" s="111"/>
      <c r="N19" s="111"/>
      <c r="O19" s="111"/>
      <c r="P19" s="111"/>
      <c r="Q19" s="111"/>
    </row>
    <row r="20" spans="1:17" x14ac:dyDescent="0.25">
      <c r="A20" s="87" t="s">
        <v>310</v>
      </c>
      <c r="B20" s="111" t="s">
        <v>324</v>
      </c>
      <c r="C20" s="111"/>
      <c r="D20" s="111"/>
      <c r="E20" s="111"/>
      <c r="F20" s="111"/>
      <c r="G20" s="111"/>
      <c r="H20" s="111"/>
      <c r="I20" s="111"/>
      <c r="J20" s="111"/>
      <c r="K20" s="111"/>
      <c r="L20" s="111"/>
      <c r="M20" s="111"/>
      <c r="N20" s="111"/>
      <c r="O20" s="111"/>
      <c r="P20" s="111"/>
      <c r="Q20" s="111"/>
    </row>
    <row r="21" spans="1:17" x14ac:dyDescent="0.25">
      <c r="A21" s="87" t="s">
        <v>311</v>
      </c>
      <c r="B21" s="111" t="s">
        <v>325</v>
      </c>
      <c r="C21" s="111"/>
      <c r="D21" s="111"/>
      <c r="E21" s="111"/>
      <c r="F21" s="111"/>
      <c r="G21" s="111"/>
      <c r="H21" s="111"/>
      <c r="I21" s="111"/>
      <c r="J21" s="111"/>
      <c r="K21" s="111"/>
      <c r="L21" s="111"/>
      <c r="M21" s="111"/>
      <c r="N21" s="111"/>
      <c r="O21" s="111"/>
      <c r="P21" s="111"/>
      <c r="Q21" s="111"/>
    </row>
    <row r="22" spans="1:17" x14ac:dyDescent="0.25">
      <c r="C22" s="104"/>
      <c r="D22" s="104"/>
      <c r="E22" s="104"/>
      <c r="F22" s="104"/>
      <c r="G22" s="104"/>
      <c r="H22" s="104"/>
      <c r="I22" s="104"/>
      <c r="J22" s="104"/>
      <c r="K22" s="104"/>
      <c r="L22" s="104"/>
      <c r="M22" s="104"/>
      <c r="N22" s="104"/>
      <c r="O22" s="104"/>
      <c r="P22" s="104"/>
      <c r="Q22" s="104"/>
    </row>
    <row r="23" spans="1:17" x14ac:dyDescent="0.25">
      <c r="B23" s="104" t="str">
        <f>HYPERLINK("#'Factor List'!A1","Back to Factor List")</f>
        <v>Back to Factor List</v>
      </c>
    </row>
    <row r="24" spans="1:17" x14ac:dyDescent="0.25">
      <c r="B24" s="104" t="s">
        <v>13</v>
      </c>
    </row>
    <row r="26" spans="1:17" ht="13" x14ac:dyDescent="0.25">
      <c r="A26" s="108" t="s">
        <v>839</v>
      </c>
      <c r="B26" s="108">
        <v>65</v>
      </c>
      <c r="C26" s="108">
        <v>66</v>
      </c>
      <c r="D26" s="108">
        <v>67</v>
      </c>
      <c r="E26" s="108">
        <v>68</v>
      </c>
      <c r="F26" s="108">
        <v>69</v>
      </c>
      <c r="G26" s="108">
        <v>70</v>
      </c>
      <c r="H26" s="108">
        <v>71</v>
      </c>
      <c r="I26" s="108">
        <v>72</v>
      </c>
      <c r="J26" s="108">
        <v>73</v>
      </c>
      <c r="K26" s="108">
        <v>74</v>
      </c>
      <c r="L26" s="108">
        <v>75</v>
      </c>
      <c r="M26" s="108">
        <v>76</v>
      </c>
      <c r="N26" s="108">
        <v>77</v>
      </c>
      <c r="O26" s="108">
        <v>78</v>
      </c>
      <c r="P26" s="108">
        <v>79</v>
      </c>
      <c r="Q26" s="108">
        <v>80</v>
      </c>
    </row>
    <row r="27" spans="1:17" x14ac:dyDescent="0.25">
      <c r="A27" s="109">
        <v>0</v>
      </c>
      <c r="B27" s="126">
        <v>1</v>
      </c>
      <c r="C27" s="126">
        <v>1.056</v>
      </c>
      <c r="D27" s="126">
        <v>1.117</v>
      </c>
      <c r="E27" s="126">
        <v>1.1839999999999999</v>
      </c>
      <c r="F27" s="126">
        <v>1.258</v>
      </c>
      <c r="G27" s="126">
        <v>1.339</v>
      </c>
      <c r="H27" s="126">
        <v>1.429</v>
      </c>
      <c r="I27" s="126">
        <v>1.5269999999999999</v>
      </c>
      <c r="J27" s="126">
        <v>1.6359999999999999</v>
      </c>
      <c r="K27" s="126">
        <v>1.7549999999999999</v>
      </c>
      <c r="L27" s="126">
        <v>1.8859999999999999</v>
      </c>
      <c r="M27" s="126">
        <v>2.0310000000000001</v>
      </c>
      <c r="N27" s="126">
        <v>2.19</v>
      </c>
      <c r="O27" s="126">
        <v>2.3650000000000002</v>
      </c>
      <c r="P27" s="126">
        <v>2.5579999999999998</v>
      </c>
      <c r="Q27" s="126">
        <v>2.7690000000000001</v>
      </c>
    </row>
    <row r="28" spans="1:17" x14ac:dyDescent="0.25">
      <c r="A28" s="109">
        <v>1</v>
      </c>
      <c r="B28" s="126">
        <v>1.0049999999999999</v>
      </c>
      <c r="C28" s="126">
        <v>1.0609999999999999</v>
      </c>
      <c r="D28" s="126">
        <v>1.1220000000000001</v>
      </c>
      <c r="E28" s="126">
        <v>1.19</v>
      </c>
      <c r="F28" s="126">
        <v>1.264</v>
      </c>
      <c r="G28" s="126">
        <v>1.347</v>
      </c>
      <c r="H28" s="126">
        <v>1.4370000000000001</v>
      </c>
      <c r="I28" s="126">
        <v>1.536</v>
      </c>
      <c r="J28" s="126">
        <v>1.6459999999999999</v>
      </c>
      <c r="K28" s="126">
        <v>1.766</v>
      </c>
      <c r="L28" s="126">
        <v>1.8979999999999999</v>
      </c>
      <c r="M28" s="126">
        <v>2.044</v>
      </c>
      <c r="N28" s="126">
        <v>2.2040000000000002</v>
      </c>
      <c r="O28" s="126">
        <v>2.3809999999999998</v>
      </c>
      <c r="P28" s="126">
        <v>2.5750000000000002</v>
      </c>
      <c r="Q28" s="126"/>
    </row>
    <row r="29" spans="1:17" x14ac:dyDescent="0.25">
      <c r="A29" s="109">
        <v>2</v>
      </c>
      <c r="B29" s="126">
        <v>1.0089999999999999</v>
      </c>
      <c r="C29" s="126">
        <v>1.0660000000000001</v>
      </c>
      <c r="D29" s="126">
        <v>1.1279999999999999</v>
      </c>
      <c r="E29" s="126">
        <v>1.196</v>
      </c>
      <c r="F29" s="126">
        <v>1.2709999999999999</v>
      </c>
      <c r="G29" s="126">
        <v>1.3540000000000001</v>
      </c>
      <c r="H29" s="126">
        <v>1.4450000000000001</v>
      </c>
      <c r="I29" s="126">
        <v>1.5449999999999999</v>
      </c>
      <c r="J29" s="126">
        <v>1.6559999999999999</v>
      </c>
      <c r="K29" s="126">
        <v>1.7769999999999999</v>
      </c>
      <c r="L29" s="126">
        <v>1.91</v>
      </c>
      <c r="M29" s="126">
        <v>2.0569999999999999</v>
      </c>
      <c r="N29" s="126">
        <v>2.2189999999999999</v>
      </c>
      <c r="O29" s="126">
        <v>2.3969999999999998</v>
      </c>
      <c r="P29" s="126">
        <v>2.593</v>
      </c>
      <c r="Q29" s="126"/>
    </row>
    <row r="30" spans="1:17" x14ac:dyDescent="0.25">
      <c r="A30" s="109">
        <v>3</v>
      </c>
      <c r="B30" s="126">
        <v>1.014</v>
      </c>
      <c r="C30" s="126">
        <v>1.071</v>
      </c>
      <c r="D30" s="126">
        <v>1.1339999999999999</v>
      </c>
      <c r="E30" s="126">
        <v>1.202</v>
      </c>
      <c r="F30" s="126">
        <v>1.278</v>
      </c>
      <c r="G30" s="126">
        <v>1.3620000000000001</v>
      </c>
      <c r="H30" s="126">
        <v>1.454</v>
      </c>
      <c r="I30" s="126">
        <v>1.554</v>
      </c>
      <c r="J30" s="126">
        <v>1.665</v>
      </c>
      <c r="K30" s="126">
        <v>1.788</v>
      </c>
      <c r="L30" s="126">
        <v>1.9219999999999999</v>
      </c>
      <c r="M30" s="126">
        <v>2.0699999999999998</v>
      </c>
      <c r="N30" s="126">
        <v>2.234</v>
      </c>
      <c r="O30" s="126">
        <v>2.4129999999999998</v>
      </c>
      <c r="P30" s="126">
        <v>2.6110000000000002</v>
      </c>
      <c r="Q30" s="126"/>
    </row>
    <row r="31" spans="1:17" x14ac:dyDescent="0.25">
      <c r="A31" s="109">
        <v>4</v>
      </c>
      <c r="B31" s="126">
        <v>1.0189999999999999</v>
      </c>
      <c r="C31" s="126">
        <v>1.0760000000000001</v>
      </c>
      <c r="D31" s="126">
        <v>1.139</v>
      </c>
      <c r="E31" s="126">
        <v>1.208</v>
      </c>
      <c r="F31" s="126">
        <v>1.2849999999999999</v>
      </c>
      <c r="G31" s="126">
        <v>1.369</v>
      </c>
      <c r="H31" s="126">
        <v>1.462</v>
      </c>
      <c r="I31" s="126">
        <v>1.5640000000000001</v>
      </c>
      <c r="J31" s="126">
        <v>1.675</v>
      </c>
      <c r="K31" s="126">
        <v>1.7989999999999999</v>
      </c>
      <c r="L31" s="126">
        <v>1.9339999999999999</v>
      </c>
      <c r="M31" s="126">
        <v>2.0840000000000001</v>
      </c>
      <c r="N31" s="126">
        <v>2.2480000000000002</v>
      </c>
      <c r="O31" s="126">
        <v>2.4289999999999998</v>
      </c>
      <c r="P31" s="126">
        <v>2.6280000000000001</v>
      </c>
      <c r="Q31" s="126"/>
    </row>
    <row r="32" spans="1:17" x14ac:dyDescent="0.25">
      <c r="A32" s="109">
        <v>5</v>
      </c>
      <c r="B32" s="126">
        <v>1.0229999999999999</v>
      </c>
      <c r="C32" s="126">
        <v>1.081</v>
      </c>
      <c r="D32" s="126">
        <v>1.145</v>
      </c>
      <c r="E32" s="126">
        <v>1.2150000000000001</v>
      </c>
      <c r="F32" s="126">
        <v>1.292</v>
      </c>
      <c r="G32" s="126">
        <v>1.377</v>
      </c>
      <c r="H32" s="126">
        <v>1.47</v>
      </c>
      <c r="I32" s="126">
        <v>1.573</v>
      </c>
      <c r="J32" s="126">
        <v>1.6850000000000001</v>
      </c>
      <c r="K32" s="126">
        <v>1.81</v>
      </c>
      <c r="L32" s="126">
        <v>1.946</v>
      </c>
      <c r="M32" s="126">
        <v>2.097</v>
      </c>
      <c r="N32" s="126">
        <v>2.2629999999999999</v>
      </c>
      <c r="O32" s="126">
        <v>2.4449999999999998</v>
      </c>
      <c r="P32" s="126">
        <v>2.6459999999999999</v>
      </c>
      <c r="Q32" s="126"/>
    </row>
    <row r="33" spans="1:17" x14ac:dyDescent="0.25">
      <c r="A33" s="109">
        <v>6</v>
      </c>
      <c r="B33" s="126">
        <v>1.028</v>
      </c>
      <c r="C33" s="126">
        <v>1.0860000000000001</v>
      </c>
      <c r="D33" s="126">
        <v>1.1499999999999999</v>
      </c>
      <c r="E33" s="126">
        <v>1.2210000000000001</v>
      </c>
      <c r="F33" s="126">
        <v>1.298</v>
      </c>
      <c r="G33" s="126">
        <v>1.3839999999999999</v>
      </c>
      <c r="H33" s="126">
        <v>1.478</v>
      </c>
      <c r="I33" s="126">
        <v>1.5820000000000001</v>
      </c>
      <c r="J33" s="126">
        <v>1.6950000000000001</v>
      </c>
      <c r="K33" s="126">
        <v>1.82</v>
      </c>
      <c r="L33" s="126">
        <v>1.958</v>
      </c>
      <c r="M33" s="126">
        <v>2.11</v>
      </c>
      <c r="N33" s="126">
        <v>2.278</v>
      </c>
      <c r="O33" s="126">
        <v>2.4620000000000002</v>
      </c>
      <c r="P33" s="126">
        <v>2.6629999999999998</v>
      </c>
      <c r="Q33" s="126"/>
    </row>
    <row r="34" spans="1:17" x14ac:dyDescent="0.25">
      <c r="A34" s="109">
        <v>7</v>
      </c>
      <c r="B34" s="126">
        <v>1.0329999999999999</v>
      </c>
      <c r="C34" s="126">
        <v>1.091</v>
      </c>
      <c r="D34" s="126">
        <v>1.1559999999999999</v>
      </c>
      <c r="E34" s="126">
        <v>1.2270000000000001</v>
      </c>
      <c r="F34" s="126">
        <v>1.3049999999999999</v>
      </c>
      <c r="G34" s="126">
        <v>1.391</v>
      </c>
      <c r="H34" s="126">
        <v>1.486</v>
      </c>
      <c r="I34" s="126">
        <v>1.591</v>
      </c>
      <c r="J34" s="126">
        <v>1.7050000000000001</v>
      </c>
      <c r="K34" s="126">
        <v>1.831</v>
      </c>
      <c r="L34" s="126">
        <v>1.97</v>
      </c>
      <c r="M34" s="126">
        <v>2.1240000000000001</v>
      </c>
      <c r="N34" s="126">
        <v>2.2919999999999998</v>
      </c>
      <c r="O34" s="126">
        <v>2.4780000000000002</v>
      </c>
      <c r="P34" s="126">
        <v>2.681</v>
      </c>
      <c r="Q34" s="126"/>
    </row>
    <row r="35" spans="1:17" x14ac:dyDescent="0.25">
      <c r="A35" s="109">
        <v>8</v>
      </c>
      <c r="B35" s="126">
        <v>1.0369999999999999</v>
      </c>
      <c r="C35" s="126">
        <v>1.0960000000000001</v>
      </c>
      <c r="D35" s="126">
        <v>1.1619999999999999</v>
      </c>
      <c r="E35" s="126">
        <v>1.2330000000000001</v>
      </c>
      <c r="F35" s="126">
        <v>1.3120000000000001</v>
      </c>
      <c r="G35" s="126">
        <v>1.399</v>
      </c>
      <c r="H35" s="126">
        <v>1.4950000000000001</v>
      </c>
      <c r="I35" s="126">
        <v>1.6</v>
      </c>
      <c r="J35" s="126">
        <v>1.7150000000000001</v>
      </c>
      <c r="K35" s="126">
        <v>1.8420000000000001</v>
      </c>
      <c r="L35" s="126">
        <v>1.982</v>
      </c>
      <c r="M35" s="126">
        <v>2.137</v>
      </c>
      <c r="N35" s="126">
        <v>2.3069999999999999</v>
      </c>
      <c r="O35" s="126">
        <v>2.4940000000000002</v>
      </c>
      <c r="P35" s="126">
        <v>2.6989999999999998</v>
      </c>
      <c r="Q35" s="126"/>
    </row>
    <row r="36" spans="1:17" x14ac:dyDescent="0.25">
      <c r="A36" s="109">
        <v>9</v>
      </c>
      <c r="B36" s="126">
        <v>1.042</v>
      </c>
      <c r="C36" s="126">
        <v>1.1020000000000001</v>
      </c>
      <c r="D36" s="126">
        <v>1.167</v>
      </c>
      <c r="E36" s="126">
        <v>1.2390000000000001</v>
      </c>
      <c r="F36" s="126">
        <v>1.319</v>
      </c>
      <c r="G36" s="126">
        <v>1.4059999999999999</v>
      </c>
      <c r="H36" s="126">
        <v>1.5029999999999999</v>
      </c>
      <c r="I36" s="126">
        <v>1.609</v>
      </c>
      <c r="J36" s="126">
        <v>1.7250000000000001</v>
      </c>
      <c r="K36" s="126">
        <v>1.853</v>
      </c>
      <c r="L36" s="126">
        <v>1.994</v>
      </c>
      <c r="M36" s="126">
        <v>2.15</v>
      </c>
      <c r="N36" s="126">
        <v>2.3210000000000002</v>
      </c>
      <c r="O36" s="126">
        <v>2.5099999999999998</v>
      </c>
      <c r="P36" s="126">
        <v>2.7160000000000002</v>
      </c>
      <c r="Q36" s="126"/>
    </row>
    <row r="37" spans="1:17" x14ac:dyDescent="0.25">
      <c r="A37" s="109">
        <v>10</v>
      </c>
      <c r="B37" s="126">
        <v>1.046</v>
      </c>
      <c r="C37" s="126">
        <v>1.107</v>
      </c>
      <c r="D37" s="126">
        <v>1.173</v>
      </c>
      <c r="E37" s="126">
        <v>1.2450000000000001</v>
      </c>
      <c r="F37" s="126">
        <v>1.3260000000000001</v>
      </c>
      <c r="G37" s="126">
        <v>1.4139999999999999</v>
      </c>
      <c r="H37" s="126">
        <v>1.5109999999999999</v>
      </c>
      <c r="I37" s="126">
        <v>1.6180000000000001</v>
      </c>
      <c r="J37" s="126">
        <v>1.7350000000000001</v>
      </c>
      <c r="K37" s="126">
        <v>1.8640000000000001</v>
      </c>
      <c r="L37" s="126">
        <v>2.0070000000000001</v>
      </c>
      <c r="M37" s="126">
        <v>2.1629999999999998</v>
      </c>
      <c r="N37" s="126">
        <v>2.3359999999999999</v>
      </c>
      <c r="O37" s="126">
        <v>2.5259999999999998</v>
      </c>
      <c r="P37" s="126">
        <v>2.734</v>
      </c>
      <c r="Q37" s="126"/>
    </row>
    <row r="38" spans="1:17" x14ac:dyDescent="0.25">
      <c r="A38" s="109">
        <v>11</v>
      </c>
      <c r="B38" s="126">
        <v>1.0509999999999999</v>
      </c>
      <c r="C38" s="126">
        <v>1.1120000000000001</v>
      </c>
      <c r="D38" s="126">
        <v>1.1779999999999999</v>
      </c>
      <c r="E38" s="126">
        <v>1.252</v>
      </c>
      <c r="F38" s="126">
        <v>1.3320000000000001</v>
      </c>
      <c r="G38" s="126">
        <v>1.421</v>
      </c>
      <c r="H38" s="126">
        <v>1.5189999999999999</v>
      </c>
      <c r="I38" s="126">
        <v>1.627</v>
      </c>
      <c r="J38" s="126">
        <v>1.7450000000000001</v>
      </c>
      <c r="K38" s="126">
        <v>1.875</v>
      </c>
      <c r="L38" s="126">
        <v>2.0190000000000001</v>
      </c>
      <c r="M38" s="126">
        <v>2.177</v>
      </c>
      <c r="N38" s="126">
        <v>2.351</v>
      </c>
      <c r="O38" s="126">
        <v>2.5419999999999998</v>
      </c>
      <c r="P38" s="126">
        <v>2.7509999999999999</v>
      </c>
      <c r="Q38" s="126"/>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sheetData>
  <conditionalFormatting sqref="A6:A21">
    <cfRule type="expression" dxfId="593" priority="3" stopIfTrue="1">
      <formula>MOD(ROW(),2)=0</formula>
    </cfRule>
    <cfRule type="expression" dxfId="592" priority="4" stopIfTrue="1">
      <formula>MOD(ROW(),2)&lt;&gt;0</formula>
    </cfRule>
  </conditionalFormatting>
  <conditionalFormatting sqref="A26:A38">
    <cfRule type="expression" dxfId="591" priority="7" stopIfTrue="1">
      <formula>MOD(ROW(),2)=0</formula>
    </cfRule>
    <cfRule type="expression" dxfId="590" priority="8" stopIfTrue="1">
      <formula>MOD(ROW(),2)&lt;&gt;0</formula>
    </cfRule>
  </conditionalFormatting>
  <conditionalFormatting sqref="B19">
    <cfRule type="expression" dxfId="589" priority="1" stopIfTrue="1">
      <formula>MOD(ROW(),2)=0</formula>
    </cfRule>
    <cfRule type="expression" dxfId="588" priority="2" stopIfTrue="1">
      <formula>MOD(ROW(),2)&lt;&gt;0</formula>
    </cfRule>
  </conditionalFormatting>
  <conditionalFormatting sqref="B6:Q6 B8:Q16">
    <cfRule type="expression" dxfId="587" priority="25" stopIfTrue="1">
      <formula>MOD(ROW(),2)=0</formula>
    </cfRule>
    <cfRule type="expression" dxfId="586" priority="26" stopIfTrue="1">
      <formula>MOD(ROW(),2)&lt;&gt;0</formula>
    </cfRule>
  </conditionalFormatting>
  <conditionalFormatting sqref="B6:Q21">
    <cfRule type="expression" dxfId="585" priority="13" stopIfTrue="1">
      <formula>MOD(ROW(),2)=0</formula>
    </cfRule>
    <cfRule type="expression" dxfId="584" priority="14" stopIfTrue="1">
      <formula>MOD(ROW(),2)&lt;&gt;0</formula>
    </cfRule>
  </conditionalFormatting>
  <conditionalFormatting sqref="B17:Q17">
    <cfRule type="expression" dxfId="583" priority="11" stopIfTrue="1">
      <formula>MOD(ROW(),2)=0</formula>
    </cfRule>
    <cfRule type="expression" dxfId="582" priority="12" stopIfTrue="1">
      <formula>MOD(ROW(),2)&lt;&gt;0</formula>
    </cfRule>
  </conditionalFormatting>
  <conditionalFormatting sqref="B18:Q18 C19:Q19 B20:Q21">
    <cfRule type="expression" dxfId="581" priority="19" stopIfTrue="1">
      <formula>MOD(ROW(),2)=0</formula>
    </cfRule>
    <cfRule type="expression" dxfId="580" priority="20" stopIfTrue="1">
      <formula>MOD(ROW(),2)&lt;&gt;0</formula>
    </cfRule>
  </conditionalFormatting>
  <conditionalFormatting sqref="B26:Q38">
    <cfRule type="expression" dxfId="579" priority="9" stopIfTrue="1">
      <formula>MOD(ROW(),2)=0</formula>
    </cfRule>
    <cfRule type="expression" dxfId="578" priority="10" stopIfTrue="1">
      <formula>MOD(ROW(),2)&lt;&gt;0</formula>
    </cfRule>
  </conditionalFormatting>
  <hyperlinks>
    <hyperlink ref="B24" location="Assumptions!A1" display="Assumptions" xr:uid="{E4F7C9D0-00C6-4338-8587-00C4673C3DE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0"/>
  <dimension ref="A1:I62"/>
  <sheetViews>
    <sheetView workbookViewId="0"/>
  </sheetViews>
  <sheetFormatPr defaultColWidth="10" defaultRowHeight="12.5" x14ac:dyDescent="0.25"/>
  <cols>
    <col min="1" max="1" width="31.54296875" style="28" customWidth="1"/>
    <col min="2" max="3" width="22.542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Triv Comm - x-501</v>
      </c>
      <c r="B3" s="56"/>
      <c r="C3" s="56"/>
      <c r="D3" s="56"/>
      <c r="E3" s="56"/>
      <c r="F3" s="56"/>
      <c r="G3" s="56"/>
      <c r="H3" s="56"/>
      <c r="I3" s="56"/>
    </row>
    <row r="4" spans="1:9" x14ac:dyDescent="0.25">
      <c r="A4" s="58"/>
    </row>
    <row r="6" spans="1:9" ht="13" x14ac:dyDescent="0.3">
      <c r="A6" s="92" t="s">
        <v>716</v>
      </c>
      <c r="B6" s="181" t="s">
        <v>717</v>
      </c>
      <c r="C6" s="181"/>
    </row>
    <row r="7" spans="1:9" x14ac:dyDescent="0.25">
      <c r="A7" s="94" t="s">
        <v>797</v>
      </c>
      <c r="B7" s="181" t="s">
        <v>316</v>
      </c>
      <c r="C7" s="181"/>
    </row>
    <row r="8" spans="1:9" x14ac:dyDescent="0.25">
      <c r="A8" s="94" t="s">
        <v>798</v>
      </c>
      <c r="B8" s="181" t="s">
        <v>92</v>
      </c>
      <c r="C8" s="181"/>
    </row>
    <row r="9" spans="1:9" x14ac:dyDescent="0.25">
      <c r="A9" s="94" t="s">
        <v>300</v>
      </c>
      <c r="B9" s="181" t="s">
        <v>532</v>
      </c>
      <c r="C9" s="181"/>
    </row>
    <row r="10" spans="1:9" x14ac:dyDescent="0.25">
      <c r="A10" s="94" t="s">
        <v>6</v>
      </c>
      <c r="B10" s="181" t="s">
        <v>533</v>
      </c>
      <c r="C10" s="181"/>
    </row>
    <row r="11" spans="1:9" x14ac:dyDescent="0.25">
      <c r="A11" s="94" t="s">
        <v>301</v>
      </c>
      <c r="B11" s="181" t="s">
        <v>319</v>
      </c>
      <c r="C11" s="181"/>
    </row>
    <row r="12" spans="1:9" x14ac:dyDescent="0.25">
      <c r="A12" s="94" t="s">
        <v>302</v>
      </c>
      <c r="B12" s="181" t="s">
        <v>534</v>
      </c>
      <c r="C12" s="181"/>
    </row>
    <row r="13" spans="1:9" x14ac:dyDescent="0.25">
      <c r="A13" s="94" t="s">
        <v>813</v>
      </c>
      <c r="B13" s="181">
        <v>0</v>
      </c>
      <c r="C13" s="181"/>
    </row>
    <row r="14" spans="1:9" x14ac:dyDescent="0.25">
      <c r="A14" s="94" t="s">
        <v>304</v>
      </c>
      <c r="B14" s="181">
        <v>501</v>
      </c>
      <c r="C14" s="181"/>
    </row>
    <row r="15" spans="1:9" x14ac:dyDescent="0.25">
      <c r="A15" s="94" t="s">
        <v>727</v>
      </c>
      <c r="B15" s="181" t="s">
        <v>535</v>
      </c>
      <c r="C15" s="181"/>
    </row>
    <row r="16" spans="1:9" x14ac:dyDescent="0.25">
      <c r="A16" s="94" t="s">
        <v>306</v>
      </c>
      <c r="B16" s="181" t="s">
        <v>536</v>
      </c>
      <c r="C16" s="181"/>
    </row>
    <row r="17" spans="1:3" x14ac:dyDescent="0.25">
      <c r="A17" s="94" t="s">
        <v>800</v>
      </c>
      <c r="B17" s="181"/>
      <c r="C17" s="181"/>
    </row>
    <row r="18" spans="1:3" x14ac:dyDescent="0.25">
      <c r="A18" s="94" t="s">
        <v>308</v>
      </c>
      <c r="B18" s="185">
        <v>45135</v>
      </c>
      <c r="C18" s="181"/>
    </row>
    <row r="19" spans="1:3" x14ac:dyDescent="0.25">
      <c r="A19" s="94" t="s">
        <v>309</v>
      </c>
      <c r="B19" s="185">
        <v>45135</v>
      </c>
      <c r="C19" s="181"/>
    </row>
    <row r="20" spans="1:3" x14ac:dyDescent="0.25">
      <c r="A20" s="94" t="s">
        <v>310</v>
      </c>
      <c r="B20" s="181" t="s">
        <v>324</v>
      </c>
      <c r="C20" s="181"/>
    </row>
    <row r="21" spans="1:3" x14ac:dyDescent="0.25">
      <c r="A21" s="87" t="s">
        <v>311</v>
      </c>
      <c r="B21" s="181" t="s">
        <v>325</v>
      </c>
      <c r="C21" s="181"/>
    </row>
    <row r="23" spans="1:3" x14ac:dyDescent="0.25">
      <c r="B23" s="104" t="str">
        <f>HYPERLINK("#'Factor List'!A1","Back to Factor List")</f>
        <v>Back to Factor List</v>
      </c>
    </row>
    <row r="24" spans="1:3" x14ac:dyDescent="0.25">
      <c r="B24" s="104" t="s">
        <v>13</v>
      </c>
    </row>
    <row r="26" spans="1:3" ht="65" x14ac:dyDescent="0.25">
      <c r="A26" s="108" t="s">
        <v>534</v>
      </c>
      <c r="B26" s="108" t="s">
        <v>842</v>
      </c>
      <c r="C26" s="108" t="s">
        <v>843</v>
      </c>
    </row>
    <row r="27" spans="1:3" x14ac:dyDescent="0.25">
      <c r="A27" s="109">
        <v>55</v>
      </c>
      <c r="B27" s="126">
        <v>24.908000000000001</v>
      </c>
      <c r="C27" s="126">
        <v>24.027999999999999</v>
      </c>
    </row>
    <row r="28" spans="1:3" x14ac:dyDescent="0.25">
      <c r="A28" s="109">
        <v>56</v>
      </c>
      <c r="B28" s="126">
        <v>24.327000000000002</v>
      </c>
      <c r="C28" s="126">
        <v>23.440999999999999</v>
      </c>
    </row>
    <row r="29" spans="1:3" x14ac:dyDescent="0.25">
      <c r="A29" s="109">
        <v>57</v>
      </c>
      <c r="B29" s="126">
        <v>23.74</v>
      </c>
      <c r="C29" s="126">
        <v>22.849</v>
      </c>
    </row>
    <row r="30" spans="1:3" x14ac:dyDescent="0.25">
      <c r="A30" s="109">
        <v>58</v>
      </c>
      <c r="B30" s="126">
        <v>23.146999999999998</v>
      </c>
      <c r="C30" s="126">
        <v>22.251000000000001</v>
      </c>
    </row>
    <row r="31" spans="1:3" x14ac:dyDescent="0.25">
      <c r="A31" s="109">
        <v>59</v>
      </c>
      <c r="B31" s="126">
        <v>22.548999999999999</v>
      </c>
      <c r="C31" s="126">
        <v>21.649000000000001</v>
      </c>
    </row>
    <row r="32" spans="1:3" x14ac:dyDescent="0.25">
      <c r="A32" s="109">
        <v>60</v>
      </c>
      <c r="B32" s="126">
        <v>21.946000000000002</v>
      </c>
      <c r="C32" s="126">
        <v>21.042999999999999</v>
      </c>
    </row>
    <row r="33" spans="1:3" x14ac:dyDescent="0.25">
      <c r="A33" s="109">
        <v>61</v>
      </c>
      <c r="B33" s="126">
        <v>21.338999999999999</v>
      </c>
      <c r="C33" s="126">
        <v>20.434000000000001</v>
      </c>
    </row>
    <row r="34" spans="1:3" x14ac:dyDescent="0.25">
      <c r="A34" s="109">
        <v>62</v>
      </c>
      <c r="B34" s="126">
        <v>20.728999999999999</v>
      </c>
      <c r="C34" s="126">
        <v>19.821999999999999</v>
      </c>
    </row>
    <row r="35" spans="1:3" x14ac:dyDescent="0.25">
      <c r="A35" s="109">
        <v>63</v>
      </c>
      <c r="B35" s="126">
        <v>20.114999999999998</v>
      </c>
      <c r="C35" s="126">
        <v>19.207999999999998</v>
      </c>
    </row>
    <row r="36" spans="1:3" x14ac:dyDescent="0.25">
      <c r="A36" s="109">
        <v>64</v>
      </c>
      <c r="B36" s="126">
        <v>19.498999999999999</v>
      </c>
      <c r="C36" s="126">
        <v>18.593</v>
      </c>
    </row>
    <row r="37" spans="1:3" x14ac:dyDescent="0.25">
      <c r="A37" s="109">
        <v>65</v>
      </c>
      <c r="B37" s="126">
        <v>18.86</v>
      </c>
      <c r="C37" s="126">
        <v>17.975999999999999</v>
      </c>
    </row>
    <row r="38" spans="1:3" x14ac:dyDescent="0.25">
      <c r="A38" s="109">
        <v>66</v>
      </c>
      <c r="B38" s="126">
        <v>18.239999999999998</v>
      </c>
      <c r="C38" s="126">
        <v>17.36</v>
      </c>
    </row>
    <row r="39" spans="1:3" x14ac:dyDescent="0.25">
      <c r="A39" s="109">
        <v>67</v>
      </c>
      <c r="B39" s="126">
        <v>17.619</v>
      </c>
      <c r="C39" s="126">
        <v>16.742999999999999</v>
      </c>
    </row>
    <row r="40" spans="1:3" x14ac:dyDescent="0.25">
      <c r="A40" s="109">
        <v>68</v>
      </c>
      <c r="B40" s="126">
        <v>16.998000000000001</v>
      </c>
      <c r="C40" s="126">
        <v>16.126999999999999</v>
      </c>
    </row>
    <row r="41" spans="1:3" x14ac:dyDescent="0.25">
      <c r="A41" s="109">
        <v>69</v>
      </c>
      <c r="B41" s="126">
        <v>16.324000000000002</v>
      </c>
      <c r="C41" s="126">
        <v>15.458</v>
      </c>
    </row>
    <row r="42" spans="1:3" x14ac:dyDescent="0.25">
      <c r="A42" s="109">
        <v>70</v>
      </c>
      <c r="B42" s="126">
        <v>15.611000000000001</v>
      </c>
      <c r="C42" s="126">
        <v>14.795</v>
      </c>
    </row>
    <row r="43" spans="1:3" x14ac:dyDescent="0.25">
      <c r="A43" s="109">
        <v>71</v>
      </c>
      <c r="B43" s="126">
        <v>14.946999999999999</v>
      </c>
      <c r="C43" s="126">
        <v>14.138999999999999</v>
      </c>
    </row>
    <row r="44" spans="1:3" x14ac:dyDescent="0.25">
      <c r="A44" s="109">
        <v>72</v>
      </c>
      <c r="B44" s="126">
        <v>14.297000000000001</v>
      </c>
      <c r="C44" s="126">
        <v>13.499000000000001</v>
      </c>
    </row>
    <row r="45" spans="1:3" x14ac:dyDescent="0.25">
      <c r="A45" s="109">
        <v>73</v>
      </c>
      <c r="B45" s="126">
        <v>13.663</v>
      </c>
      <c r="C45" s="126">
        <v>12.875</v>
      </c>
    </row>
    <row r="46" spans="1:3" x14ac:dyDescent="0.25">
      <c r="A46" s="109">
        <v>74</v>
      </c>
      <c r="B46" s="126">
        <v>13.041</v>
      </c>
      <c r="C46" s="126">
        <v>12.266</v>
      </c>
    </row>
    <row r="47" spans="1:3" x14ac:dyDescent="0.25">
      <c r="A47" s="109">
        <v>75</v>
      </c>
      <c r="B47" s="126">
        <v>12.345000000000001</v>
      </c>
      <c r="C47" s="126">
        <v>11.662000000000001</v>
      </c>
    </row>
    <row r="48" spans="1:3" x14ac:dyDescent="0.25">
      <c r="A48" s="109">
        <v>76</v>
      </c>
      <c r="B48" s="126">
        <v>11.737</v>
      </c>
      <c r="C48" s="126">
        <v>11.068</v>
      </c>
    </row>
    <row r="49" spans="1:3" x14ac:dyDescent="0.25">
      <c r="A49" s="109">
        <v>77</v>
      </c>
      <c r="B49" s="126">
        <v>11.138</v>
      </c>
      <c r="C49" s="126">
        <v>10.484999999999999</v>
      </c>
    </row>
    <row r="50" spans="1:3" x14ac:dyDescent="0.25">
      <c r="A50" s="109">
        <v>78</v>
      </c>
      <c r="B50" s="126">
        <v>10.55</v>
      </c>
      <c r="C50" s="126">
        <v>9.9130000000000003</v>
      </c>
    </row>
    <row r="51" spans="1:3" x14ac:dyDescent="0.25">
      <c r="A51" s="109">
        <v>79</v>
      </c>
      <c r="B51" s="126">
        <v>9.9730000000000008</v>
      </c>
      <c r="C51" s="126">
        <v>9.3539999999999992</v>
      </c>
    </row>
    <row r="52" spans="1:3" x14ac:dyDescent="0.25">
      <c r="A52" s="109">
        <v>80</v>
      </c>
      <c r="B52" s="126">
        <v>9.3140000000000001</v>
      </c>
      <c r="C52" s="126">
        <v>8.8109999999999999</v>
      </c>
    </row>
    <row r="53" spans="1:3" x14ac:dyDescent="0.25">
      <c r="A53" s="109">
        <v>81</v>
      </c>
      <c r="B53" s="126">
        <v>8.7710000000000008</v>
      </c>
      <c r="C53" s="126">
        <v>8.2850000000000001</v>
      </c>
    </row>
    <row r="54" spans="1:3" x14ac:dyDescent="0.25">
      <c r="A54" s="109">
        <v>82</v>
      </c>
      <c r="B54" s="126">
        <v>8.2449999999999992</v>
      </c>
      <c r="C54" s="126">
        <v>7.7779999999999996</v>
      </c>
    </row>
    <row r="55" spans="1:3" x14ac:dyDescent="0.25">
      <c r="A55" s="109">
        <v>83</v>
      </c>
      <c r="B55" s="126">
        <v>7.7370000000000001</v>
      </c>
      <c r="C55" s="126">
        <v>7.2889999999999997</v>
      </c>
    </row>
    <row r="56" spans="1:3" x14ac:dyDescent="0.25">
      <c r="A56" s="109">
        <v>84</v>
      </c>
      <c r="B56" s="126">
        <v>7.2469999999999999</v>
      </c>
      <c r="C56" s="126">
        <v>6.82</v>
      </c>
    </row>
    <row r="57" spans="1:3" x14ac:dyDescent="0.25">
      <c r="A57" s="109">
        <v>85</v>
      </c>
      <c r="B57" s="126">
        <v>6.6870000000000003</v>
      </c>
      <c r="C57" s="126">
        <v>6.3689999999999998</v>
      </c>
    </row>
    <row r="58" spans="1:3" x14ac:dyDescent="0.25">
      <c r="A58" s="109">
        <v>86</v>
      </c>
      <c r="B58" s="126">
        <v>6.24</v>
      </c>
      <c r="C58" s="126">
        <v>5.9379999999999997</v>
      </c>
    </row>
    <row r="59" spans="1:3" x14ac:dyDescent="0.25">
      <c r="A59" s="109">
        <v>87</v>
      </c>
      <c r="B59" s="126">
        <v>5.8129999999999997</v>
      </c>
      <c r="C59" s="126">
        <v>5.5279999999999996</v>
      </c>
    </row>
    <row r="60" spans="1:3" x14ac:dyDescent="0.25">
      <c r="A60" s="109">
        <v>88</v>
      </c>
      <c r="B60" s="126">
        <v>5.4050000000000002</v>
      </c>
      <c r="C60" s="126">
        <v>5.1369999999999996</v>
      </c>
    </row>
    <row r="61" spans="1:3" x14ac:dyDescent="0.25">
      <c r="A61" s="109">
        <v>89</v>
      </c>
      <c r="B61" s="126">
        <v>5.0199999999999996</v>
      </c>
      <c r="C61" s="126">
        <v>4.7690000000000001</v>
      </c>
    </row>
    <row r="62" spans="1:3" x14ac:dyDescent="0.25">
      <c r="A62" s="109">
        <v>90</v>
      </c>
      <c r="B62" s="126">
        <v>4.5789999999999997</v>
      </c>
      <c r="C62" s="126">
        <v>4.42</v>
      </c>
    </row>
  </sheetData>
  <conditionalFormatting sqref="A6:A21">
    <cfRule type="expression" dxfId="577" priority="1" stopIfTrue="1">
      <formula>MOD(ROW(),2)=0</formula>
    </cfRule>
    <cfRule type="expression" dxfId="576" priority="2" stopIfTrue="1">
      <formula>MOD(ROW(),2)&lt;&gt;0</formula>
    </cfRule>
  </conditionalFormatting>
  <conditionalFormatting sqref="A26:A62">
    <cfRule type="expression" dxfId="575" priority="7" stopIfTrue="1">
      <formula>MOD(ROW(),2)=0</formula>
    </cfRule>
    <cfRule type="expression" dxfId="574" priority="8" stopIfTrue="1">
      <formula>MOD(ROW(),2)&lt;&gt;0</formula>
    </cfRule>
  </conditionalFormatting>
  <conditionalFormatting sqref="B18:B21">
    <cfRule type="expression" dxfId="573" priority="5" stopIfTrue="1">
      <formula>MOD(ROW(),2)=0</formula>
    </cfRule>
    <cfRule type="expression" dxfId="572" priority="6" stopIfTrue="1">
      <formula>MOD(ROW(),2)&lt;&gt;0</formula>
    </cfRule>
  </conditionalFormatting>
  <conditionalFormatting sqref="B6:C21">
    <cfRule type="expression" dxfId="571" priority="21" stopIfTrue="1">
      <formula>MOD(ROW(),2)=0</formula>
    </cfRule>
    <cfRule type="expression" dxfId="570" priority="22" stopIfTrue="1">
      <formula>MOD(ROW(),2)&lt;&gt;0</formula>
    </cfRule>
  </conditionalFormatting>
  <conditionalFormatting sqref="B26:C62">
    <cfRule type="expression" dxfId="569" priority="9" stopIfTrue="1">
      <formula>MOD(ROW(),2)=0</formula>
    </cfRule>
    <cfRule type="expression" dxfId="568" priority="10" stopIfTrue="1">
      <formula>MOD(ROW(),2)&lt;&gt;0</formula>
    </cfRule>
  </conditionalFormatting>
  <hyperlinks>
    <hyperlink ref="B24" location="Assumptions!A1" display="Assumptions" xr:uid="{6646448F-433B-4C97-AFB4-B7A14A700A4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1"/>
  <dimension ref="A1:I62"/>
  <sheetViews>
    <sheetView workbookViewId="0"/>
  </sheetViews>
  <sheetFormatPr defaultColWidth="10" defaultRowHeight="12.5" x14ac:dyDescent="0.25"/>
  <cols>
    <col min="1" max="1" width="31.54296875" style="28" customWidth="1"/>
    <col min="2" max="3" width="22.542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Triv Comm - x-502</v>
      </c>
      <c r="B3" s="56"/>
      <c r="C3" s="56"/>
      <c r="D3" s="56"/>
      <c r="E3" s="56"/>
      <c r="F3" s="56"/>
      <c r="G3" s="56"/>
      <c r="H3" s="56"/>
      <c r="I3" s="56"/>
    </row>
    <row r="4" spans="1:9" x14ac:dyDescent="0.25">
      <c r="A4" s="58"/>
    </row>
    <row r="6" spans="1:9" ht="13" x14ac:dyDescent="0.3">
      <c r="A6" s="92" t="s">
        <v>716</v>
      </c>
      <c r="B6" s="181" t="s">
        <v>717</v>
      </c>
      <c r="C6" s="181"/>
    </row>
    <row r="7" spans="1:9" x14ac:dyDescent="0.25">
      <c r="A7" s="94" t="s">
        <v>797</v>
      </c>
      <c r="B7" s="181" t="s">
        <v>326</v>
      </c>
      <c r="C7" s="181"/>
    </row>
    <row r="8" spans="1:9" x14ac:dyDescent="0.25">
      <c r="A8" s="94" t="s">
        <v>798</v>
      </c>
      <c r="B8" s="181" t="s">
        <v>537</v>
      </c>
      <c r="C8" s="181"/>
    </row>
    <row r="9" spans="1:9" x14ac:dyDescent="0.25">
      <c r="A9" s="94" t="s">
        <v>300</v>
      </c>
      <c r="B9" s="181" t="s">
        <v>532</v>
      </c>
      <c r="C9" s="181"/>
    </row>
    <row r="10" spans="1:9" x14ac:dyDescent="0.25">
      <c r="A10" s="94" t="s">
        <v>6</v>
      </c>
      <c r="B10" s="181" t="s">
        <v>538</v>
      </c>
      <c r="C10" s="181"/>
    </row>
    <row r="11" spans="1:9" x14ac:dyDescent="0.25">
      <c r="A11" s="94" t="s">
        <v>301</v>
      </c>
      <c r="B11" s="181" t="s">
        <v>319</v>
      </c>
      <c r="C11" s="181"/>
    </row>
    <row r="12" spans="1:9" x14ac:dyDescent="0.25">
      <c r="A12" s="94" t="s">
        <v>302</v>
      </c>
      <c r="B12" s="181" t="s">
        <v>534</v>
      </c>
      <c r="C12" s="181"/>
    </row>
    <row r="13" spans="1:9" x14ac:dyDescent="0.25">
      <c r="A13" s="94" t="s">
        <v>813</v>
      </c>
      <c r="B13" s="181">
        <v>1</v>
      </c>
      <c r="C13" s="181"/>
    </row>
    <row r="14" spans="1:9" x14ac:dyDescent="0.25">
      <c r="A14" s="94" t="s">
        <v>304</v>
      </c>
      <c r="B14" s="181">
        <v>502</v>
      </c>
      <c r="C14" s="181"/>
    </row>
    <row r="15" spans="1:9" x14ac:dyDescent="0.25">
      <c r="A15" s="94" t="s">
        <v>727</v>
      </c>
      <c r="B15" s="181" t="s">
        <v>539</v>
      </c>
      <c r="C15" s="181"/>
    </row>
    <row r="16" spans="1:9" x14ac:dyDescent="0.25">
      <c r="A16" s="94" t="s">
        <v>306</v>
      </c>
      <c r="B16" s="181" t="s">
        <v>540</v>
      </c>
      <c r="C16" s="181"/>
    </row>
    <row r="17" spans="1:3" x14ac:dyDescent="0.25">
      <c r="A17" s="94" t="s">
        <v>800</v>
      </c>
      <c r="B17" s="181"/>
      <c r="C17" s="181"/>
    </row>
    <row r="18" spans="1:3" x14ac:dyDescent="0.25">
      <c r="A18" s="94" t="s">
        <v>308</v>
      </c>
      <c r="B18" s="185">
        <v>45135</v>
      </c>
      <c r="C18" s="181"/>
    </row>
    <row r="19" spans="1:3" x14ac:dyDescent="0.25">
      <c r="A19" s="94" t="s">
        <v>309</v>
      </c>
      <c r="B19" s="185">
        <v>45135</v>
      </c>
      <c r="C19" s="181"/>
    </row>
    <row r="20" spans="1:3" x14ac:dyDescent="0.25">
      <c r="A20" s="94" t="s">
        <v>310</v>
      </c>
      <c r="B20" s="181" t="s">
        <v>324</v>
      </c>
      <c r="C20" s="181"/>
    </row>
    <row r="21" spans="1:3" x14ac:dyDescent="0.25">
      <c r="A21" s="87" t="s">
        <v>311</v>
      </c>
      <c r="B21" s="181" t="s">
        <v>325</v>
      </c>
      <c r="C21" s="181"/>
    </row>
    <row r="23" spans="1:3" x14ac:dyDescent="0.25">
      <c r="B23" s="104" t="str">
        <f>HYPERLINK("#'Factor List'!A1","Back to Factor List")</f>
        <v>Back to Factor List</v>
      </c>
    </row>
    <row r="24" spans="1:3" x14ac:dyDescent="0.25">
      <c r="B24" s="104" t="s">
        <v>13</v>
      </c>
    </row>
    <row r="26" spans="1:3" ht="65" x14ac:dyDescent="0.25">
      <c r="A26" s="108" t="s">
        <v>534</v>
      </c>
      <c r="B26" s="108" t="s">
        <v>842</v>
      </c>
      <c r="C26" s="108" t="s">
        <v>843</v>
      </c>
    </row>
    <row r="27" spans="1:3" x14ac:dyDescent="0.25">
      <c r="A27" s="109">
        <v>55</v>
      </c>
      <c r="B27" s="126">
        <v>25.111999999999998</v>
      </c>
      <c r="C27" s="126">
        <v>23.998000000000001</v>
      </c>
    </row>
    <row r="28" spans="1:3" x14ac:dyDescent="0.25">
      <c r="A28" s="109">
        <v>56</v>
      </c>
      <c r="B28" s="126">
        <v>24.529</v>
      </c>
      <c r="C28" s="126">
        <v>23.408000000000001</v>
      </c>
    </row>
    <row r="29" spans="1:3" x14ac:dyDescent="0.25">
      <c r="A29" s="109">
        <v>57</v>
      </c>
      <c r="B29" s="126">
        <v>23.939</v>
      </c>
      <c r="C29" s="126">
        <v>22.812000000000001</v>
      </c>
    </row>
    <row r="30" spans="1:3" x14ac:dyDescent="0.25">
      <c r="A30" s="109">
        <v>58</v>
      </c>
      <c r="B30" s="126">
        <v>23.344000000000001</v>
      </c>
      <c r="C30" s="126">
        <v>22.21</v>
      </c>
    </row>
    <row r="31" spans="1:3" x14ac:dyDescent="0.25">
      <c r="A31" s="109">
        <v>59</v>
      </c>
      <c r="B31" s="126">
        <v>22.742000000000001</v>
      </c>
      <c r="C31" s="126">
        <v>21.603999999999999</v>
      </c>
    </row>
    <row r="32" spans="1:3" x14ac:dyDescent="0.25">
      <c r="A32" s="109">
        <v>60</v>
      </c>
      <c r="B32" s="126">
        <v>22.135999999999999</v>
      </c>
      <c r="C32" s="126">
        <v>20.994</v>
      </c>
    </row>
    <row r="33" spans="1:3" x14ac:dyDescent="0.25">
      <c r="A33" s="109">
        <v>61</v>
      </c>
      <c r="B33" s="126">
        <v>21.516999999999999</v>
      </c>
      <c r="C33" s="126">
        <v>20.372</v>
      </c>
    </row>
    <row r="34" spans="1:3" x14ac:dyDescent="0.25">
      <c r="A34" s="109">
        <v>62</v>
      </c>
      <c r="B34" s="126">
        <v>20.896999999999998</v>
      </c>
      <c r="C34" s="126">
        <v>19.75</v>
      </c>
    </row>
    <row r="35" spans="1:3" x14ac:dyDescent="0.25">
      <c r="A35" s="109">
        <v>63</v>
      </c>
      <c r="B35" s="126">
        <v>20.276</v>
      </c>
      <c r="C35" s="126">
        <v>19.128</v>
      </c>
    </row>
    <row r="36" spans="1:3" x14ac:dyDescent="0.25">
      <c r="A36" s="109">
        <v>64</v>
      </c>
      <c r="B36" s="126">
        <v>19.651</v>
      </c>
      <c r="C36" s="126">
        <v>18.504000000000001</v>
      </c>
    </row>
    <row r="37" spans="1:3" x14ac:dyDescent="0.25">
      <c r="A37" s="109">
        <v>65</v>
      </c>
      <c r="B37" s="126">
        <v>19.013000000000002</v>
      </c>
      <c r="C37" s="126">
        <v>17.878</v>
      </c>
    </row>
    <row r="38" spans="1:3" x14ac:dyDescent="0.25">
      <c r="A38" s="109">
        <v>66</v>
      </c>
      <c r="B38" s="126">
        <v>18.382999999999999</v>
      </c>
      <c r="C38" s="126">
        <v>17.251000000000001</v>
      </c>
    </row>
    <row r="39" spans="1:3" x14ac:dyDescent="0.25">
      <c r="A39" s="109">
        <v>67</v>
      </c>
      <c r="B39" s="126">
        <v>17.748999999999999</v>
      </c>
      <c r="C39" s="126">
        <v>16.623000000000001</v>
      </c>
    </row>
    <row r="40" spans="1:3" x14ac:dyDescent="0.25">
      <c r="A40" s="109">
        <v>68</v>
      </c>
      <c r="B40" s="126">
        <v>17.114999999999998</v>
      </c>
      <c r="C40" s="126">
        <v>15.994999999999999</v>
      </c>
    </row>
    <row r="41" spans="1:3" x14ac:dyDescent="0.25">
      <c r="A41" s="109">
        <v>69</v>
      </c>
      <c r="B41" s="126">
        <v>16.478999999999999</v>
      </c>
      <c r="C41" s="126">
        <v>15.367000000000001</v>
      </c>
    </row>
    <row r="42" spans="1:3" x14ac:dyDescent="0.25">
      <c r="A42" s="109">
        <v>70</v>
      </c>
      <c r="B42" s="126">
        <v>15.795</v>
      </c>
      <c r="C42" s="126">
        <v>14.739000000000001</v>
      </c>
    </row>
    <row r="43" spans="1:3" x14ac:dyDescent="0.25">
      <c r="A43" s="109">
        <v>71</v>
      </c>
      <c r="B43" s="126">
        <v>15.157</v>
      </c>
      <c r="C43" s="126">
        <v>14.112</v>
      </c>
    </row>
    <row r="44" spans="1:3" x14ac:dyDescent="0.25">
      <c r="A44" s="109">
        <v>72</v>
      </c>
      <c r="B44" s="126">
        <v>14.523999999999999</v>
      </c>
      <c r="C44" s="126">
        <v>13.491</v>
      </c>
    </row>
    <row r="45" spans="1:3" x14ac:dyDescent="0.25">
      <c r="A45" s="109">
        <v>73</v>
      </c>
      <c r="B45" s="126">
        <v>13.895</v>
      </c>
      <c r="C45" s="126">
        <v>12.875</v>
      </c>
    </row>
    <row r="46" spans="1:3" x14ac:dyDescent="0.25">
      <c r="A46" s="109">
        <v>74</v>
      </c>
      <c r="B46" s="126">
        <v>13.269</v>
      </c>
      <c r="C46" s="126">
        <v>12.266</v>
      </c>
    </row>
    <row r="47" spans="1:3" x14ac:dyDescent="0.25">
      <c r="A47" s="109">
        <v>75</v>
      </c>
      <c r="B47" s="126">
        <v>12.554</v>
      </c>
      <c r="C47" s="126">
        <v>11.662000000000001</v>
      </c>
    </row>
    <row r="48" spans="1:3" x14ac:dyDescent="0.25">
      <c r="A48" s="109">
        <v>76</v>
      </c>
      <c r="B48" s="126">
        <v>11.943</v>
      </c>
      <c r="C48" s="126">
        <v>11.068</v>
      </c>
    </row>
    <row r="49" spans="1:3" x14ac:dyDescent="0.25">
      <c r="A49" s="109">
        <v>77</v>
      </c>
      <c r="B49" s="126">
        <v>11.339</v>
      </c>
      <c r="C49" s="126">
        <v>10.484999999999999</v>
      </c>
    </row>
    <row r="50" spans="1:3" x14ac:dyDescent="0.25">
      <c r="A50" s="109">
        <v>78</v>
      </c>
      <c r="B50" s="126">
        <v>10.746</v>
      </c>
      <c r="C50" s="126">
        <v>9.9130000000000003</v>
      </c>
    </row>
    <row r="51" spans="1:3" x14ac:dyDescent="0.25">
      <c r="A51" s="109">
        <v>79</v>
      </c>
      <c r="B51" s="126">
        <v>10.164</v>
      </c>
      <c r="C51" s="126">
        <v>9.3539999999999992</v>
      </c>
    </row>
    <row r="52" spans="1:3" x14ac:dyDescent="0.25">
      <c r="A52" s="109">
        <v>80</v>
      </c>
      <c r="B52" s="126">
        <v>9.4719999999999995</v>
      </c>
      <c r="C52" s="126">
        <v>8.8109999999999999</v>
      </c>
    </row>
    <row r="53" spans="1:3" x14ac:dyDescent="0.25">
      <c r="A53" s="109">
        <v>81</v>
      </c>
      <c r="B53" s="126">
        <v>8.923</v>
      </c>
      <c r="C53" s="126">
        <v>8.2850000000000001</v>
      </c>
    </row>
    <row r="54" spans="1:3" x14ac:dyDescent="0.25">
      <c r="A54" s="109">
        <v>82</v>
      </c>
      <c r="B54" s="126">
        <v>8.391</v>
      </c>
      <c r="C54" s="126">
        <v>7.7779999999999996</v>
      </c>
    </row>
    <row r="55" spans="1:3" x14ac:dyDescent="0.25">
      <c r="A55" s="109">
        <v>83</v>
      </c>
      <c r="B55" s="126">
        <v>7.8769999999999998</v>
      </c>
      <c r="C55" s="126">
        <v>7.2889999999999997</v>
      </c>
    </row>
    <row r="56" spans="1:3" x14ac:dyDescent="0.25">
      <c r="A56" s="109">
        <v>84</v>
      </c>
      <c r="B56" s="126">
        <v>7.3810000000000002</v>
      </c>
      <c r="C56" s="126">
        <v>6.82</v>
      </c>
    </row>
    <row r="57" spans="1:3" x14ac:dyDescent="0.25">
      <c r="A57" s="109">
        <v>85</v>
      </c>
      <c r="B57" s="126">
        <v>6.79</v>
      </c>
      <c r="C57" s="126">
        <v>6.3689999999999998</v>
      </c>
    </row>
    <row r="58" spans="1:3" x14ac:dyDescent="0.25">
      <c r="A58" s="109">
        <v>86</v>
      </c>
      <c r="B58" s="126">
        <v>6.3369999999999997</v>
      </c>
      <c r="C58" s="126">
        <v>5.9379999999999997</v>
      </c>
    </row>
    <row r="59" spans="1:3" x14ac:dyDescent="0.25">
      <c r="A59" s="109">
        <v>87</v>
      </c>
      <c r="B59" s="126">
        <v>5.9039999999999999</v>
      </c>
      <c r="C59" s="126">
        <v>5.5279999999999996</v>
      </c>
    </row>
    <row r="60" spans="1:3" x14ac:dyDescent="0.25">
      <c r="A60" s="109">
        <v>88</v>
      </c>
      <c r="B60" s="126">
        <v>5.492</v>
      </c>
      <c r="C60" s="126">
        <v>5.1369999999999996</v>
      </c>
    </row>
    <row r="61" spans="1:3" x14ac:dyDescent="0.25">
      <c r="A61" s="109">
        <v>89</v>
      </c>
      <c r="B61" s="126">
        <v>5.101</v>
      </c>
      <c r="C61" s="126">
        <v>4.7690000000000001</v>
      </c>
    </row>
    <row r="62" spans="1:3" x14ac:dyDescent="0.25">
      <c r="A62" s="109">
        <v>90</v>
      </c>
      <c r="B62" s="126">
        <v>4.63</v>
      </c>
      <c r="C62" s="126">
        <v>4.42</v>
      </c>
    </row>
  </sheetData>
  <conditionalFormatting sqref="A6:A21">
    <cfRule type="expression" dxfId="567" priority="3" stopIfTrue="1">
      <formula>MOD(ROW(),2)=0</formula>
    </cfRule>
    <cfRule type="expression" dxfId="566" priority="4" stopIfTrue="1">
      <formula>MOD(ROW(),2)&lt;&gt;0</formula>
    </cfRule>
  </conditionalFormatting>
  <conditionalFormatting sqref="A26:A62">
    <cfRule type="expression" dxfId="565" priority="9" stopIfTrue="1">
      <formula>MOD(ROW(),2)=0</formula>
    </cfRule>
    <cfRule type="expression" dxfId="564" priority="10" stopIfTrue="1">
      <formula>MOD(ROW(),2)&lt;&gt;0</formula>
    </cfRule>
  </conditionalFormatting>
  <conditionalFormatting sqref="B18:B21">
    <cfRule type="expression" dxfId="563" priority="1" stopIfTrue="1">
      <formula>MOD(ROW(),2)=0</formula>
    </cfRule>
    <cfRule type="expression" dxfId="562" priority="2" stopIfTrue="1">
      <formula>MOD(ROW(),2)&lt;&gt;0</formula>
    </cfRule>
  </conditionalFormatting>
  <conditionalFormatting sqref="B6:C6 C7 B8:C17 C18:C21">
    <cfRule type="expression" dxfId="561" priority="25" stopIfTrue="1">
      <formula>MOD(ROW(),2)=0</formula>
    </cfRule>
    <cfRule type="expression" dxfId="560" priority="26" stopIfTrue="1">
      <formula>MOD(ROW(),2)&lt;&gt;0</formula>
    </cfRule>
  </conditionalFormatting>
  <conditionalFormatting sqref="B6:C21">
    <cfRule type="expression" dxfId="559" priority="17" stopIfTrue="1">
      <formula>MOD(ROW(),2)=0</formula>
    </cfRule>
    <cfRule type="expression" dxfId="558" priority="18" stopIfTrue="1">
      <formula>MOD(ROW(),2)&lt;&gt;0</formula>
    </cfRule>
  </conditionalFormatting>
  <conditionalFormatting sqref="B26:C62">
    <cfRule type="expression" dxfId="557" priority="11" stopIfTrue="1">
      <formula>MOD(ROW(),2)=0</formula>
    </cfRule>
    <cfRule type="expression" dxfId="556" priority="12" stopIfTrue="1">
      <formula>MOD(ROW(),2)&lt;&gt;0</formula>
    </cfRule>
  </conditionalFormatting>
  <hyperlinks>
    <hyperlink ref="B24" location="Assumptions!A1" display="Assumptions" xr:uid="{D5DDF224-6DED-4D1A-B967-9CF661646A3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2"/>
  <dimension ref="A1:I123"/>
  <sheetViews>
    <sheetView topLeftCell="A21" workbookViewId="0">
      <selection activeCell="B46" sqref="B46"/>
    </sheetView>
  </sheetViews>
  <sheetFormatPr defaultColWidth="10" defaultRowHeight="12.5" x14ac:dyDescent="0.25"/>
  <cols>
    <col min="1" max="1" width="41.54296875" style="28" customWidth="1"/>
    <col min="2" max="2" width="22.54296875" style="28" customWidth="1"/>
    <col min="3" max="4" width="18.54296875" style="28" customWidth="1"/>
    <col min="5" max="5" width="20.81640625" style="28" customWidth="1"/>
    <col min="6" max="6" width="19.81640625" style="28" customWidth="1"/>
    <col min="7"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Inverse Comm - x-503</v>
      </c>
      <c r="B3" s="56"/>
      <c r="C3" s="56"/>
      <c r="D3" s="56"/>
      <c r="E3" s="56"/>
      <c r="F3" s="56"/>
      <c r="G3" s="56"/>
      <c r="H3" s="56"/>
      <c r="I3" s="56"/>
    </row>
    <row r="4" spans="1:9" x14ac:dyDescent="0.25">
      <c r="A4" s="58"/>
    </row>
    <row r="6" spans="1:9" ht="13" x14ac:dyDescent="0.3">
      <c r="A6" s="92" t="s">
        <v>716</v>
      </c>
      <c r="B6" s="181" t="s">
        <v>717</v>
      </c>
      <c r="C6" s="181"/>
      <c r="D6" s="181"/>
      <c r="E6" s="181"/>
    </row>
    <row r="7" spans="1:9" x14ac:dyDescent="0.25">
      <c r="A7" s="94" t="s">
        <v>797</v>
      </c>
      <c r="B7" s="181" t="s">
        <v>326</v>
      </c>
      <c r="C7" s="181"/>
      <c r="D7" s="181"/>
      <c r="E7" s="181"/>
    </row>
    <row r="8" spans="1:9" x14ac:dyDescent="0.25">
      <c r="A8" s="94" t="s">
        <v>798</v>
      </c>
      <c r="B8" s="181" t="s">
        <v>93</v>
      </c>
      <c r="C8" s="181"/>
      <c r="D8" s="181"/>
      <c r="E8" s="181"/>
    </row>
    <row r="9" spans="1:9" x14ac:dyDescent="0.25">
      <c r="A9" s="94" t="s">
        <v>300</v>
      </c>
      <c r="B9" s="181" t="s">
        <v>542</v>
      </c>
      <c r="C9" s="181"/>
      <c r="D9" s="181"/>
      <c r="E9" s="181"/>
    </row>
    <row r="10" spans="1:9" ht="27" customHeight="1" x14ac:dyDescent="0.25">
      <c r="A10" s="94" t="s">
        <v>6</v>
      </c>
      <c r="B10" s="181" t="s">
        <v>543</v>
      </c>
      <c r="C10" s="181"/>
      <c r="D10" s="181"/>
      <c r="E10" s="181"/>
    </row>
    <row r="11" spans="1:9" x14ac:dyDescent="0.25">
      <c r="A11" s="94" t="s">
        <v>301</v>
      </c>
      <c r="B11" s="181" t="s">
        <v>334</v>
      </c>
      <c r="C11" s="181"/>
      <c r="D11" s="181"/>
      <c r="E11" s="181"/>
    </row>
    <row r="12" spans="1:9" ht="19" customHeight="1" x14ac:dyDescent="0.25">
      <c r="A12" s="94" t="s">
        <v>302</v>
      </c>
      <c r="B12" s="181" t="s">
        <v>544</v>
      </c>
      <c r="C12" s="181"/>
      <c r="D12" s="181"/>
      <c r="E12" s="181"/>
    </row>
    <row r="13" spans="1:9" x14ac:dyDescent="0.25">
      <c r="A13" s="94" t="s">
        <v>813</v>
      </c>
      <c r="B13" s="181">
        <v>1</v>
      </c>
      <c r="C13" s="181"/>
      <c r="D13" s="181"/>
      <c r="E13" s="181"/>
    </row>
    <row r="14" spans="1:9" x14ac:dyDescent="0.25">
      <c r="A14" s="94" t="s">
        <v>304</v>
      </c>
      <c r="B14" s="181">
        <v>503</v>
      </c>
      <c r="C14" s="181"/>
      <c r="D14" s="181"/>
      <c r="E14" s="181"/>
    </row>
    <row r="15" spans="1:9" x14ac:dyDescent="0.25">
      <c r="A15" s="94" t="s">
        <v>727</v>
      </c>
      <c r="B15" s="181" t="s">
        <v>545</v>
      </c>
      <c r="C15" s="181"/>
      <c r="D15" s="181"/>
      <c r="E15" s="181"/>
    </row>
    <row r="16" spans="1:9" x14ac:dyDescent="0.25">
      <c r="A16" s="94" t="s">
        <v>306</v>
      </c>
      <c r="B16" s="181" t="s">
        <v>546</v>
      </c>
      <c r="C16" s="181"/>
      <c r="D16" s="181"/>
      <c r="E16" s="181"/>
    </row>
    <row r="17" spans="1:5" ht="49.5" customHeight="1" x14ac:dyDescent="0.25">
      <c r="A17" s="94" t="s">
        <v>800</v>
      </c>
      <c r="B17" s="181"/>
      <c r="C17" s="181"/>
      <c r="D17" s="181"/>
      <c r="E17" s="181"/>
    </row>
    <row r="18" spans="1:5" x14ac:dyDescent="0.25">
      <c r="A18" s="94" t="s">
        <v>308</v>
      </c>
      <c r="B18" s="185">
        <v>45135</v>
      </c>
      <c r="C18" s="181"/>
      <c r="D18" s="181"/>
      <c r="E18" s="181"/>
    </row>
    <row r="19" spans="1:5" x14ac:dyDescent="0.25">
      <c r="A19" s="94" t="s">
        <v>309</v>
      </c>
      <c r="B19" s="185">
        <v>45135</v>
      </c>
      <c r="C19" s="181"/>
      <c r="D19" s="181"/>
      <c r="E19" s="181"/>
    </row>
    <row r="20" spans="1:5" x14ac:dyDescent="0.25">
      <c r="A20" s="94" t="s">
        <v>310</v>
      </c>
      <c r="B20" s="181" t="s">
        <v>324</v>
      </c>
      <c r="C20" s="181"/>
      <c r="D20" s="181"/>
      <c r="E20" s="181"/>
    </row>
    <row r="21" spans="1:5" x14ac:dyDescent="0.25">
      <c r="A21" s="87" t="s">
        <v>311</v>
      </c>
      <c r="B21" s="181" t="s">
        <v>325</v>
      </c>
      <c r="C21" s="181"/>
      <c r="D21" s="181"/>
      <c r="E21" s="181"/>
    </row>
    <row r="23" spans="1:5" x14ac:dyDescent="0.25">
      <c r="B23" s="104" t="str">
        <f>HYPERLINK("#'Factor List'!A1","Back to Factor List")</f>
        <v>Back to Factor List</v>
      </c>
    </row>
    <row r="24" spans="1:5" x14ac:dyDescent="0.25">
      <c r="B24" s="104" t="s">
        <v>13</v>
      </c>
    </row>
    <row r="26" spans="1:5" ht="39" x14ac:dyDescent="0.25">
      <c r="A26" s="173" t="s">
        <v>534</v>
      </c>
      <c r="B26" s="96" t="s">
        <v>844</v>
      </c>
      <c r="C26" s="96" t="s">
        <v>845</v>
      </c>
      <c r="D26" s="96" t="s">
        <v>846</v>
      </c>
      <c r="E26" s="96" t="s">
        <v>847</v>
      </c>
    </row>
    <row r="27" spans="1:5" ht="13" x14ac:dyDescent="0.25">
      <c r="A27" s="96" t="s">
        <v>848</v>
      </c>
      <c r="B27" s="96"/>
      <c r="C27" s="96"/>
      <c r="D27" s="96"/>
      <c r="E27" s="96"/>
    </row>
    <row r="28" spans="1:5" x14ac:dyDescent="0.25">
      <c r="A28" s="97" t="s">
        <v>849</v>
      </c>
      <c r="B28" s="100">
        <v>2.923</v>
      </c>
      <c r="C28" s="100">
        <v>2.923</v>
      </c>
      <c r="D28" s="100">
        <v>2.8069999999999999</v>
      </c>
      <c r="E28" s="100">
        <v>2.8069999999999999</v>
      </c>
    </row>
    <row r="29" spans="1:5" x14ac:dyDescent="0.25">
      <c r="A29" s="97" t="s">
        <v>850</v>
      </c>
      <c r="B29" s="100">
        <v>2.9420000000000002</v>
      </c>
      <c r="C29" s="100">
        <v>2.9420000000000002</v>
      </c>
      <c r="D29" s="100">
        <v>2.8239999999999998</v>
      </c>
      <c r="E29" s="100">
        <v>2.8239999999999998</v>
      </c>
    </row>
    <row r="30" spans="1:5" x14ac:dyDescent="0.25">
      <c r="A30" s="97" t="s">
        <v>851</v>
      </c>
      <c r="B30" s="100">
        <v>2.9620000000000002</v>
      </c>
      <c r="C30" s="100">
        <v>2.9620000000000002</v>
      </c>
      <c r="D30" s="100">
        <v>2.8420000000000001</v>
      </c>
      <c r="E30" s="100">
        <v>2.8420000000000001</v>
      </c>
    </row>
    <row r="31" spans="1:5" x14ac:dyDescent="0.25">
      <c r="A31" s="97" t="s">
        <v>852</v>
      </c>
      <c r="B31" s="100">
        <v>2.9820000000000002</v>
      </c>
      <c r="C31" s="100">
        <v>2.9820000000000002</v>
      </c>
      <c r="D31" s="100">
        <v>2.859</v>
      </c>
      <c r="E31" s="100">
        <v>2.859</v>
      </c>
    </row>
    <row r="32" spans="1:5" x14ac:dyDescent="0.25">
      <c r="A32" s="97" t="s">
        <v>853</v>
      </c>
      <c r="B32" s="100">
        <v>3.0030000000000001</v>
      </c>
      <c r="C32" s="100">
        <v>3.0030000000000001</v>
      </c>
      <c r="D32" s="100">
        <v>2.8780000000000001</v>
      </c>
      <c r="E32" s="100">
        <v>2.8780000000000001</v>
      </c>
    </row>
    <row r="33" spans="1:5" x14ac:dyDescent="0.25">
      <c r="A33" s="97" t="s">
        <v>854</v>
      </c>
      <c r="B33" s="100">
        <v>3.024</v>
      </c>
      <c r="C33" s="100">
        <v>3.024</v>
      </c>
      <c r="D33" s="100">
        <v>2.8959999999999999</v>
      </c>
      <c r="E33" s="100">
        <v>2.8959999999999999</v>
      </c>
    </row>
    <row r="34" spans="1:5" x14ac:dyDescent="0.25">
      <c r="A34" s="97" t="s">
        <v>855</v>
      </c>
      <c r="B34" s="100">
        <v>3.0449999999999999</v>
      </c>
      <c r="C34" s="100">
        <v>3.0449999999999999</v>
      </c>
      <c r="D34" s="100">
        <v>2.915</v>
      </c>
      <c r="E34" s="100">
        <v>2.915</v>
      </c>
    </row>
    <row r="35" spans="1:5" x14ac:dyDescent="0.25">
      <c r="A35" s="97" t="s">
        <v>856</v>
      </c>
      <c r="B35" s="100">
        <v>3.0670000000000002</v>
      </c>
      <c r="C35" s="100">
        <v>3.0670000000000002</v>
      </c>
      <c r="D35" s="100">
        <v>2.9340000000000002</v>
      </c>
      <c r="E35" s="100">
        <v>2.9340000000000002</v>
      </c>
    </row>
    <row r="36" spans="1:5" x14ac:dyDescent="0.25">
      <c r="A36" s="97" t="s">
        <v>857</v>
      </c>
      <c r="B36" s="100">
        <v>3.09</v>
      </c>
      <c r="C36" s="100">
        <v>3.09</v>
      </c>
      <c r="D36" s="100">
        <v>2.9540000000000002</v>
      </c>
      <c r="E36" s="100">
        <v>2.9540000000000002</v>
      </c>
    </row>
    <row r="37" spans="1:5" x14ac:dyDescent="0.25">
      <c r="A37" s="97" t="s">
        <v>858</v>
      </c>
      <c r="B37" s="100">
        <v>3.113</v>
      </c>
      <c r="C37" s="100">
        <v>3.113</v>
      </c>
      <c r="D37" s="100">
        <v>2.9740000000000002</v>
      </c>
      <c r="E37" s="100">
        <v>2.9740000000000002</v>
      </c>
    </row>
    <row r="38" spans="1:5" x14ac:dyDescent="0.25">
      <c r="A38" s="97" t="s">
        <v>859</v>
      </c>
      <c r="B38" s="100">
        <v>3.1360000000000001</v>
      </c>
      <c r="C38" s="100">
        <v>3.1360000000000001</v>
      </c>
      <c r="D38" s="100">
        <v>2.9950000000000001</v>
      </c>
      <c r="E38" s="100">
        <v>2.9950000000000001</v>
      </c>
    </row>
    <row r="39" spans="1:5" x14ac:dyDescent="0.25">
      <c r="A39" s="97" t="s">
        <v>860</v>
      </c>
      <c r="B39" s="100">
        <v>3.16</v>
      </c>
      <c r="C39" s="100">
        <v>3.16</v>
      </c>
      <c r="D39" s="100">
        <v>3.016</v>
      </c>
      <c r="E39" s="100">
        <v>3.016</v>
      </c>
    </row>
    <row r="40" spans="1:5" x14ac:dyDescent="0.25">
      <c r="A40" s="97" t="s">
        <v>861</v>
      </c>
      <c r="B40" s="100">
        <v>3.1850000000000001</v>
      </c>
      <c r="C40" s="100">
        <v>3.1850000000000001</v>
      </c>
      <c r="D40" s="100">
        <v>3.0369999999999999</v>
      </c>
      <c r="E40" s="100">
        <v>3.0369999999999999</v>
      </c>
    </row>
    <row r="41" spans="1:5" x14ac:dyDescent="0.25">
      <c r="A41" s="97" t="s">
        <v>862</v>
      </c>
      <c r="B41" s="100">
        <v>3.21</v>
      </c>
      <c r="C41" s="100">
        <v>3.21</v>
      </c>
      <c r="D41" s="100">
        <v>3.0590000000000002</v>
      </c>
      <c r="E41" s="100">
        <v>3.0590000000000002</v>
      </c>
    </row>
    <row r="42" spans="1:5" x14ac:dyDescent="0.25">
      <c r="A42" s="97" t="s">
        <v>863</v>
      </c>
      <c r="B42" s="100">
        <v>3.2349999999999999</v>
      </c>
      <c r="C42" s="100">
        <v>3.2349999999999999</v>
      </c>
      <c r="D42" s="100">
        <v>3.0819999999999999</v>
      </c>
      <c r="E42" s="100">
        <v>3.0819999999999999</v>
      </c>
    </row>
    <row r="43" spans="1:5" x14ac:dyDescent="0.25">
      <c r="A43" s="97" t="s">
        <v>864</v>
      </c>
      <c r="B43" s="100">
        <v>3.262</v>
      </c>
      <c r="C43" s="100">
        <v>3.262</v>
      </c>
      <c r="D43" s="100">
        <v>3.105</v>
      </c>
      <c r="E43" s="100">
        <v>3.105</v>
      </c>
    </row>
    <row r="44" spans="1:5" x14ac:dyDescent="0.25">
      <c r="A44" s="97" t="s">
        <v>865</v>
      </c>
      <c r="B44" s="100">
        <v>3.2890000000000001</v>
      </c>
      <c r="C44" s="100">
        <v>3.2890000000000001</v>
      </c>
      <c r="D44" s="100">
        <v>3.1280000000000001</v>
      </c>
      <c r="E44" s="100">
        <v>3.1280000000000001</v>
      </c>
    </row>
    <row r="45" spans="1:5" x14ac:dyDescent="0.25">
      <c r="A45" s="97" t="s">
        <v>866</v>
      </c>
      <c r="B45" s="100">
        <v>3.3159999999999998</v>
      </c>
      <c r="C45" s="100">
        <v>3.3159999999999998</v>
      </c>
      <c r="D45" s="100">
        <v>3.1520000000000001</v>
      </c>
      <c r="E45" s="100">
        <v>3.1520000000000001</v>
      </c>
    </row>
    <row r="46" spans="1:5" x14ac:dyDescent="0.25">
      <c r="A46" s="97" t="s">
        <v>867</v>
      </c>
      <c r="B46" s="100">
        <v>3.3439999999999999</v>
      </c>
      <c r="C46" s="100">
        <v>3.3439999999999999</v>
      </c>
      <c r="D46" s="100">
        <v>3.177</v>
      </c>
      <c r="E46" s="100">
        <v>3.177</v>
      </c>
    </row>
    <row r="47" spans="1:5" x14ac:dyDescent="0.25">
      <c r="A47" s="97" t="s">
        <v>868</v>
      </c>
      <c r="B47" s="100">
        <v>3.3730000000000002</v>
      </c>
      <c r="C47" s="100">
        <v>3.3730000000000002</v>
      </c>
      <c r="D47" s="100">
        <v>3.202</v>
      </c>
      <c r="E47" s="100">
        <v>3.202</v>
      </c>
    </row>
    <row r="48" spans="1:5" x14ac:dyDescent="0.25">
      <c r="A48" s="97" t="s">
        <v>869</v>
      </c>
      <c r="B48" s="100">
        <v>3.403</v>
      </c>
      <c r="C48" s="100">
        <v>3.403</v>
      </c>
      <c r="D48" s="100">
        <v>3.2280000000000002</v>
      </c>
      <c r="E48" s="100">
        <v>3.2280000000000002</v>
      </c>
    </row>
    <row r="49" spans="1:5" x14ac:dyDescent="0.25">
      <c r="A49" s="97" t="s">
        <v>870</v>
      </c>
      <c r="B49" s="100">
        <v>3.4329999999999998</v>
      </c>
      <c r="C49" s="100">
        <v>3.4329999999999998</v>
      </c>
      <c r="D49" s="100">
        <v>3.254</v>
      </c>
      <c r="E49" s="100">
        <v>3.254</v>
      </c>
    </row>
    <row r="50" spans="1:5" x14ac:dyDescent="0.25">
      <c r="A50" s="97" t="s">
        <v>871</v>
      </c>
      <c r="B50" s="100">
        <v>3.464</v>
      </c>
      <c r="C50" s="100">
        <v>3.464</v>
      </c>
      <c r="D50" s="100">
        <v>3.2810000000000001</v>
      </c>
      <c r="E50" s="100">
        <v>3.2810000000000001</v>
      </c>
    </row>
    <row r="51" spans="1:5" x14ac:dyDescent="0.25">
      <c r="A51" s="97" t="s">
        <v>872</v>
      </c>
      <c r="B51" s="100">
        <v>3.496</v>
      </c>
      <c r="C51" s="100">
        <v>3.496</v>
      </c>
      <c r="D51" s="100">
        <v>3.3090000000000002</v>
      </c>
      <c r="E51" s="100">
        <v>3.3090000000000002</v>
      </c>
    </row>
    <row r="52" spans="1:5" x14ac:dyDescent="0.25">
      <c r="A52" s="97" t="s">
        <v>873</v>
      </c>
      <c r="B52" s="100">
        <v>3.5289999999999999</v>
      </c>
      <c r="C52" s="100">
        <v>3.5289999999999999</v>
      </c>
      <c r="D52" s="100">
        <v>3.3380000000000001</v>
      </c>
      <c r="E52" s="100">
        <v>3.3380000000000001</v>
      </c>
    </row>
    <row r="53" spans="1:5" x14ac:dyDescent="0.25">
      <c r="A53" s="97" t="s">
        <v>874</v>
      </c>
      <c r="B53" s="100">
        <v>3.5630000000000002</v>
      </c>
      <c r="C53" s="100">
        <v>3.5630000000000002</v>
      </c>
      <c r="D53" s="100">
        <v>3.367</v>
      </c>
      <c r="E53" s="100">
        <v>3.367</v>
      </c>
    </row>
    <row r="54" spans="1:5" x14ac:dyDescent="0.25">
      <c r="A54" s="97" t="s">
        <v>875</v>
      </c>
      <c r="B54" s="100">
        <v>3.597</v>
      </c>
      <c r="C54" s="100">
        <v>3.597</v>
      </c>
      <c r="D54" s="100">
        <v>3.3969999999999998</v>
      </c>
      <c r="E54" s="100">
        <v>3.3969999999999998</v>
      </c>
    </row>
    <row r="55" spans="1:5" x14ac:dyDescent="0.25">
      <c r="A55" s="97" t="s">
        <v>876</v>
      </c>
      <c r="B55" s="100">
        <v>3.633</v>
      </c>
      <c r="C55" s="100">
        <v>3.633</v>
      </c>
      <c r="D55" s="100">
        <v>3.427</v>
      </c>
      <c r="E55" s="100">
        <v>3.427</v>
      </c>
    </row>
    <row r="56" spans="1:5" x14ac:dyDescent="0.25">
      <c r="A56" s="97" t="s">
        <v>877</v>
      </c>
      <c r="B56" s="100">
        <v>3.669</v>
      </c>
      <c r="C56" s="100">
        <v>3.669</v>
      </c>
      <c r="D56" s="100">
        <v>3.4590000000000001</v>
      </c>
      <c r="E56" s="100">
        <v>3.4590000000000001</v>
      </c>
    </row>
    <row r="57" spans="1:5" x14ac:dyDescent="0.25">
      <c r="A57" s="97" t="s">
        <v>878</v>
      </c>
      <c r="B57" s="100">
        <v>3.706</v>
      </c>
      <c r="C57" s="100">
        <v>3.706</v>
      </c>
      <c r="D57" s="100">
        <v>3.4910000000000001</v>
      </c>
      <c r="E57" s="100">
        <v>3.4910000000000001</v>
      </c>
    </row>
    <row r="58" spans="1:5" x14ac:dyDescent="0.25">
      <c r="A58" s="97" t="s">
        <v>879</v>
      </c>
      <c r="B58" s="100">
        <v>3.7440000000000002</v>
      </c>
      <c r="C58" s="100">
        <v>3.7440000000000002</v>
      </c>
      <c r="D58" s="100">
        <v>3.524</v>
      </c>
      <c r="E58" s="100">
        <v>3.524</v>
      </c>
    </row>
    <row r="59" spans="1:5" x14ac:dyDescent="0.25">
      <c r="A59" s="97" t="s">
        <v>880</v>
      </c>
      <c r="B59" s="100">
        <v>3.7839999999999998</v>
      </c>
      <c r="C59" s="100">
        <v>3.7839999999999998</v>
      </c>
      <c r="D59" s="100">
        <v>3.5579999999999998</v>
      </c>
      <c r="E59" s="100">
        <v>3.5579999999999998</v>
      </c>
    </row>
    <row r="60" spans="1:5" x14ac:dyDescent="0.25">
      <c r="A60" s="97" t="s">
        <v>881</v>
      </c>
      <c r="B60" s="100">
        <v>3.8239999999999998</v>
      </c>
      <c r="C60" s="100">
        <v>3.8239999999999998</v>
      </c>
      <c r="D60" s="100">
        <v>3.593</v>
      </c>
      <c r="E60" s="100">
        <v>3.593</v>
      </c>
    </row>
    <row r="61" spans="1:5" x14ac:dyDescent="0.25">
      <c r="A61" s="97" t="s">
        <v>882</v>
      </c>
      <c r="B61" s="100">
        <v>3.8660000000000001</v>
      </c>
      <c r="C61" s="100">
        <v>3.8660000000000001</v>
      </c>
      <c r="D61" s="100">
        <v>3.6280000000000001</v>
      </c>
      <c r="E61" s="100">
        <v>3.6280000000000001</v>
      </c>
    </row>
    <row r="62" spans="1:5" x14ac:dyDescent="0.25">
      <c r="A62" s="97" t="s">
        <v>883</v>
      </c>
      <c r="B62" s="100">
        <v>3.9089999999999998</v>
      </c>
      <c r="C62" s="100">
        <v>3.9089999999999998</v>
      </c>
      <c r="D62" s="100">
        <v>3.665</v>
      </c>
      <c r="E62" s="100">
        <v>3.665</v>
      </c>
    </row>
    <row r="63" spans="1:5" x14ac:dyDescent="0.25">
      <c r="A63" s="97" t="s">
        <v>884</v>
      </c>
      <c r="B63" s="100">
        <v>3.9529999999999998</v>
      </c>
      <c r="C63" s="100">
        <v>3.9529999999999998</v>
      </c>
      <c r="D63" s="100">
        <v>3.7029999999999998</v>
      </c>
      <c r="E63" s="100">
        <v>3.7029999999999998</v>
      </c>
    </row>
    <row r="64" spans="1:5" x14ac:dyDescent="0.25">
      <c r="A64" s="97" t="s">
        <v>885</v>
      </c>
      <c r="B64" s="100">
        <v>3.9980000000000002</v>
      </c>
      <c r="C64" s="100">
        <v>3.9980000000000002</v>
      </c>
      <c r="D64" s="100">
        <v>3.742</v>
      </c>
      <c r="E64" s="100">
        <v>3.742</v>
      </c>
    </row>
    <row r="65" spans="1:5" x14ac:dyDescent="0.25">
      <c r="A65" s="97" t="s">
        <v>886</v>
      </c>
      <c r="B65" s="100">
        <v>4.0449999999999999</v>
      </c>
      <c r="C65" s="100">
        <v>4.0449999999999999</v>
      </c>
      <c r="D65" s="100">
        <v>3.782</v>
      </c>
      <c r="E65" s="100">
        <v>3.782</v>
      </c>
    </row>
    <row r="66" spans="1:5" x14ac:dyDescent="0.25">
      <c r="A66" s="97" t="s">
        <v>887</v>
      </c>
      <c r="B66" s="100">
        <v>4.093</v>
      </c>
      <c r="C66" s="100">
        <v>4.093</v>
      </c>
      <c r="D66" s="100">
        <v>3.823</v>
      </c>
      <c r="E66" s="100">
        <v>3.823</v>
      </c>
    </row>
    <row r="67" spans="1:5" x14ac:dyDescent="0.25">
      <c r="A67" s="97" t="s">
        <v>888</v>
      </c>
      <c r="B67" s="100">
        <v>4.1420000000000003</v>
      </c>
      <c r="C67" s="100">
        <v>4.1420000000000003</v>
      </c>
      <c r="D67" s="100">
        <v>3.8650000000000002</v>
      </c>
      <c r="E67" s="100">
        <v>3.8650000000000002</v>
      </c>
    </row>
    <row r="68" spans="1:5" x14ac:dyDescent="0.25">
      <c r="A68" s="97" t="s">
        <v>889</v>
      </c>
      <c r="B68" s="100">
        <v>4.1929999999999996</v>
      </c>
      <c r="C68" s="100">
        <v>4.1929999999999996</v>
      </c>
      <c r="D68" s="100">
        <v>3.9079999999999999</v>
      </c>
      <c r="E68" s="100">
        <v>3.9079999999999999</v>
      </c>
    </row>
    <row r="69" spans="1:5" x14ac:dyDescent="0.25">
      <c r="A69" s="97" t="s">
        <v>890</v>
      </c>
      <c r="B69" s="100">
        <v>4.2460000000000004</v>
      </c>
      <c r="C69" s="100">
        <v>4.2460000000000004</v>
      </c>
      <c r="D69" s="100">
        <v>3.9529999999999998</v>
      </c>
      <c r="E69" s="100">
        <v>3.9529999999999998</v>
      </c>
    </row>
    <row r="70" spans="1:5" x14ac:dyDescent="0.25">
      <c r="A70" s="97" t="s">
        <v>891</v>
      </c>
      <c r="B70" s="100">
        <v>4.3</v>
      </c>
      <c r="C70" s="100">
        <v>4.3</v>
      </c>
      <c r="D70" s="100">
        <v>3.9990000000000001</v>
      </c>
      <c r="E70" s="100">
        <v>3.9990000000000001</v>
      </c>
    </row>
    <row r="71" spans="1:5" x14ac:dyDescent="0.25">
      <c r="A71" s="97" t="s">
        <v>892</v>
      </c>
      <c r="B71" s="100">
        <v>4.3559999999999999</v>
      </c>
      <c r="C71" s="100">
        <v>4.3559999999999999</v>
      </c>
      <c r="D71" s="100">
        <v>4.0469999999999997</v>
      </c>
      <c r="E71" s="100">
        <v>4.0469999999999997</v>
      </c>
    </row>
    <row r="72" spans="1:5" x14ac:dyDescent="0.25">
      <c r="A72" s="97" t="s">
        <v>893</v>
      </c>
      <c r="B72" s="100">
        <v>4.4130000000000003</v>
      </c>
      <c r="C72" s="100">
        <v>4.4130000000000003</v>
      </c>
      <c r="D72" s="100">
        <v>4.0949999999999998</v>
      </c>
      <c r="E72" s="100">
        <v>4.0949999999999998</v>
      </c>
    </row>
    <row r="73" spans="1:5" x14ac:dyDescent="0.25">
      <c r="A73" s="97" t="s">
        <v>894</v>
      </c>
      <c r="B73" s="100">
        <v>4.4729999999999999</v>
      </c>
      <c r="C73" s="100">
        <v>4.4729999999999999</v>
      </c>
      <c r="D73" s="100">
        <v>4.1459999999999999</v>
      </c>
      <c r="E73" s="100">
        <v>4.1459999999999999</v>
      </c>
    </row>
    <row r="74" spans="1:5" x14ac:dyDescent="0.25">
      <c r="A74" s="97" t="s">
        <v>895</v>
      </c>
      <c r="B74" s="100">
        <v>4.5339999999999998</v>
      </c>
      <c r="C74" s="100">
        <v>4.5339999999999998</v>
      </c>
      <c r="D74" s="100">
        <v>4.1980000000000004</v>
      </c>
      <c r="E74" s="100">
        <v>4.1980000000000004</v>
      </c>
    </row>
    <row r="75" spans="1:5" x14ac:dyDescent="0.25">
      <c r="A75" s="97" t="s">
        <v>896</v>
      </c>
      <c r="B75" s="100">
        <v>4.5970000000000004</v>
      </c>
      <c r="C75" s="100">
        <v>4.5970000000000004</v>
      </c>
      <c r="D75" s="100">
        <v>4.2510000000000003</v>
      </c>
      <c r="E75" s="100">
        <v>4.2510000000000003</v>
      </c>
    </row>
    <row r="76" spans="1:5" x14ac:dyDescent="0.25">
      <c r="A76" s="97" t="s">
        <v>897</v>
      </c>
      <c r="B76" s="100">
        <v>4.6619999999999999</v>
      </c>
      <c r="C76" s="100">
        <v>4.6619999999999999</v>
      </c>
      <c r="D76" s="100">
        <v>4.306</v>
      </c>
      <c r="E76" s="100">
        <v>4.306</v>
      </c>
    </row>
    <row r="77" spans="1:5" x14ac:dyDescent="0.25">
      <c r="A77" s="97" t="s">
        <v>898</v>
      </c>
      <c r="B77" s="100">
        <v>4.7300000000000004</v>
      </c>
      <c r="C77" s="100">
        <v>4.7300000000000004</v>
      </c>
      <c r="D77" s="100">
        <v>4.3630000000000004</v>
      </c>
      <c r="E77" s="100">
        <v>4.3630000000000004</v>
      </c>
    </row>
    <row r="78" spans="1:5" x14ac:dyDescent="0.25">
      <c r="A78" s="97" t="s">
        <v>899</v>
      </c>
      <c r="B78" s="100">
        <v>4.8</v>
      </c>
      <c r="C78" s="100">
        <v>4.8</v>
      </c>
      <c r="D78" s="100">
        <v>4.4219999999999997</v>
      </c>
      <c r="E78" s="100">
        <v>4.4219999999999997</v>
      </c>
    </row>
    <row r="79" spans="1:5" x14ac:dyDescent="0.25">
      <c r="A79" s="97" t="s">
        <v>900</v>
      </c>
      <c r="B79" s="100">
        <v>4.8719999999999999</v>
      </c>
      <c r="C79" s="100">
        <v>4.8719999999999999</v>
      </c>
      <c r="D79" s="100">
        <v>4.4829999999999997</v>
      </c>
      <c r="E79" s="100">
        <v>4.4829999999999997</v>
      </c>
    </row>
    <row r="80" spans="1:5" x14ac:dyDescent="0.25">
      <c r="A80" s="97" t="s">
        <v>901</v>
      </c>
      <c r="B80" s="100">
        <v>4.9470000000000001</v>
      </c>
      <c r="C80" s="100">
        <v>4.9470000000000001</v>
      </c>
      <c r="D80" s="100">
        <v>4.5460000000000003</v>
      </c>
      <c r="E80" s="100">
        <v>4.5460000000000003</v>
      </c>
    </row>
    <row r="81" spans="1:5" x14ac:dyDescent="0.25">
      <c r="A81" s="97" t="s">
        <v>902</v>
      </c>
      <c r="B81" s="100">
        <v>5.0250000000000004</v>
      </c>
      <c r="C81" s="100">
        <v>5.0250000000000004</v>
      </c>
      <c r="D81" s="100">
        <v>4.6109999999999998</v>
      </c>
      <c r="E81" s="100">
        <v>4.6109999999999998</v>
      </c>
    </row>
    <row r="82" spans="1:5" x14ac:dyDescent="0.25">
      <c r="A82" s="97" t="s">
        <v>903</v>
      </c>
      <c r="B82" s="100">
        <v>5.1040000000000001</v>
      </c>
      <c r="C82" s="100">
        <v>5.1040000000000001</v>
      </c>
      <c r="D82" s="100">
        <v>4.6779999999999999</v>
      </c>
      <c r="E82" s="100">
        <v>4.6779999999999999</v>
      </c>
    </row>
    <row r="83" spans="1:5" x14ac:dyDescent="0.25">
      <c r="A83" s="97" t="s">
        <v>904</v>
      </c>
      <c r="B83" s="100">
        <v>5.1870000000000003</v>
      </c>
      <c r="C83" s="100">
        <v>5.1870000000000003</v>
      </c>
      <c r="D83" s="100">
        <v>4.7469999999999999</v>
      </c>
      <c r="E83" s="100">
        <v>4.7469999999999999</v>
      </c>
    </row>
    <row r="84" spans="1:5" x14ac:dyDescent="0.25">
      <c r="A84" s="97" t="s">
        <v>905</v>
      </c>
      <c r="B84" s="100">
        <v>5.2720000000000002</v>
      </c>
      <c r="C84" s="100">
        <v>5.2720000000000002</v>
      </c>
      <c r="D84" s="100">
        <v>4.8179999999999996</v>
      </c>
      <c r="E84" s="100">
        <v>4.8179999999999996</v>
      </c>
    </row>
    <row r="85" spans="1:5" x14ac:dyDescent="0.25">
      <c r="A85" s="97" t="s">
        <v>906</v>
      </c>
      <c r="B85" s="100">
        <v>5.36</v>
      </c>
      <c r="C85" s="100">
        <v>5.36</v>
      </c>
      <c r="D85" s="100">
        <v>4.8920000000000003</v>
      </c>
      <c r="E85" s="100">
        <v>4.8920000000000003</v>
      </c>
    </row>
    <row r="86" spans="1:5" x14ac:dyDescent="0.25">
      <c r="A86" s="97" t="s">
        <v>907</v>
      </c>
      <c r="B86" s="100">
        <v>5.452</v>
      </c>
      <c r="C86" s="100">
        <v>5.452</v>
      </c>
      <c r="D86" s="100">
        <v>4.968</v>
      </c>
      <c r="E86" s="100">
        <v>4.968</v>
      </c>
    </row>
    <row r="87" spans="1:5" x14ac:dyDescent="0.25">
      <c r="A87" s="97" t="s">
        <v>908</v>
      </c>
      <c r="B87" s="100">
        <v>5.5460000000000003</v>
      </c>
      <c r="C87" s="100">
        <v>5.5460000000000003</v>
      </c>
      <c r="D87" s="100">
        <v>5.0469999999999997</v>
      </c>
      <c r="E87" s="100">
        <v>5.0469999999999997</v>
      </c>
    </row>
    <row r="88" spans="1:5" x14ac:dyDescent="0.25">
      <c r="A88" s="97" t="s">
        <v>909</v>
      </c>
      <c r="B88" s="100">
        <v>5.6440000000000001</v>
      </c>
      <c r="C88" s="100">
        <v>5.6440000000000001</v>
      </c>
      <c r="D88" s="100">
        <v>5.1280000000000001</v>
      </c>
      <c r="E88" s="100">
        <v>5.1280000000000001</v>
      </c>
    </row>
    <row r="89" spans="1:5" x14ac:dyDescent="0.25">
      <c r="A89" s="97" t="s">
        <v>910</v>
      </c>
      <c r="B89" s="100">
        <v>5.7460000000000004</v>
      </c>
      <c r="C89" s="100">
        <v>5.7460000000000004</v>
      </c>
      <c r="D89" s="100">
        <v>5.2130000000000001</v>
      </c>
      <c r="E89" s="100">
        <v>5.2130000000000001</v>
      </c>
    </row>
    <row r="90" spans="1:5" x14ac:dyDescent="0.25">
      <c r="A90" s="97" t="s">
        <v>911</v>
      </c>
      <c r="B90" s="100">
        <v>5.851</v>
      </c>
      <c r="C90" s="100">
        <v>5.851</v>
      </c>
      <c r="D90" s="100">
        <v>5.3010000000000002</v>
      </c>
      <c r="E90" s="100">
        <v>5.3010000000000002</v>
      </c>
    </row>
    <row r="91" spans="1:5" x14ac:dyDescent="0.25">
      <c r="A91" s="97" t="s">
        <v>912</v>
      </c>
      <c r="B91" s="100">
        <v>5.9610000000000003</v>
      </c>
      <c r="C91" s="100">
        <v>5.9610000000000003</v>
      </c>
      <c r="D91" s="100">
        <v>5.3920000000000003</v>
      </c>
      <c r="E91" s="100">
        <v>5.3920000000000003</v>
      </c>
    </row>
    <row r="92" spans="1:5" x14ac:dyDescent="0.25">
      <c r="A92" s="97" t="s">
        <v>913</v>
      </c>
      <c r="B92" s="100">
        <v>6.0750000000000002</v>
      </c>
      <c r="C92" s="100">
        <v>6.0750000000000002</v>
      </c>
      <c r="D92" s="100">
        <v>5.4859999999999998</v>
      </c>
      <c r="E92" s="100">
        <v>5.4859999999999998</v>
      </c>
    </row>
    <row r="93" spans="1:5" x14ac:dyDescent="0.25">
      <c r="A93" s="97" t="s">
        <v>914</v>
      </c>
      <c r="B93" s="100">
        <v>6.1929999999999996</v>
      </c>
      <c r="C93" s="100">
        <v>6.1929999999999996</v>
      </c>
      <c r="D93" s="100">
        <v>5.5839999999999996</v>
      </c>
      <c r="E93" s="100">
        <v>5.5839999999999996</v>
      </c>
    </row>
    <row r="94" spans="1:5" x14ac:dyDescent="0.25">
      <c r="A94" s="97" t="s">
        <v>915</v>
      </c>
      <c r="B94" s="100">
        <v>6.3159999999999998</v>
      </c>
      <c r="C94" s="100">
        <v>6.3159999999999998</v>
      </c>
      <c r="D94" s="100">
        <v>5.6849999999999996</v>
      </c>
      <c r="E94" s="100">
        <v>5.6849999999999996</v>
      </c>
    </row>
    <row r="95" spans="1:5" x14ac:dyDescent="0.25">
      <c r="A95" s="97" t="s">
        <v>916</v>
      </c>
      <c r="B95" s="100">
        <v>6.444</v>
      </c>
      <c r="C95" s="100">
        <v>6.444</v>
      </c>
      <c r="D95" s="100">
        <v>5.7910000000000004</v>
      </c>
      <c r="E95" s="100">
        <v>5.7910000000000004</v>
      </c>
    </row>
    <row r="96" spans="1:5" x14ac:dyDescent="0.25">
      <c r="A96" s="97" t="s">
        <v>917</v>
      </c>
      <c r="B96" s="100">
        <v>6.577</v>
      </c>
      <c r="C96" s="100">
        <v>6.577</v>
      </c>
      <c r="D96" s="100">
        <v>5.9</v>
      </c>
      <c r="E96" s="100">
        <v>5.9</v>
      </c>
    </row>
    <row r="97" spans="1:5" x14ac:dyDescent="0.25">
      <c r="A97" s="97" t="s">
        <v>918</v>
      </c>
      <c r="B97" s="100">
        <v>6.7149999999999999</v>
      </c>
      <c r="C97" s="100">
        <v>6.7149999999999999</v>
      </c>
      <c r="D97" s="100">
        <v>6.0140000000000002</v>
      </c>
      <c r="E97" s="100">
        <v>6.0140000000000002</v>
      </c>
    </row>
    <row r="98" spans="1:5" x14ac:dyDescent="0.25">
      <c r="A98" s="97" t="s">
        <v>919</v>
      </c>
      <c r="B98" s="100">
        <v>6.86</v>
      </c>
      <c r="C98" s="100">
        <v>6.86</v>
      </c>
      <c r="D98" s="100">
        <v>6.133</v>
      </c>
      <c r="E98" s="100">
        <v>6.133</v>
      </c>
    </row>
    <row r="99" spans="1:5" x14ac:dyDescent="0.25">
      <c r="A99" s="97" t="s">
        <v>920</v>
      </c>
      <c r="B99" s="100">
        <v>7.0110000000000001</v>
      </c>
      <c r="C99" s="100">
        <v>7.0110000000000001</v>
      </c>
      <c r="D99" s="100">
        <v>6.2560000000000002</v>
      </c>
      <c r="E99" s="100">
        <v>6.2560000000000002</v>
      </c>
    </row>
    <row r="100" spans="1:5" x14ac:dyDescent="0.25">
      <c r="A100" s="97" t="s">
        <v>921</v>
      </c>
      <c r="B100" s="100">
        <v>7.1680000000000001</v>
      </c>
      <c r="C100" s="100">
        <v>7.1680000000000001</v>
      </c>
      <c r="D100" s="100">
        <v>6.3849999999999998</v>
      </c>
      <c r="E100" s="100">
        <v>6.3849999999999998</v>
      </c>
    </row>
    <row r="101" spans="1:5" x14ac:dyDescent="0.25">
      <c r="A101" s="97" t="s">
        <v>922</v>
      </c>
      <c r="B101" s="100">
        <v>7.3310000000000004</v>
      </c>
      <c r="C101" s="100">
        <v>7.3310000000000004</v>
      </c>
      <c r="D101" s="100">
        <v>6.5179999999999998</v>
      </c>
      <c r="E101" s="100">
        <v>6.5179999999999998</v>
      </c>
    </row>
    <row r="102" spans="1:5" x14ac:dyDescent="0.25">
      <c r="A102" s="97" t="s">
        <v>923</v>
      </c>
      <c r="B102" s="100">
        <v>7.5010000000000003</v>
      </c>
      <c r="C102" s="100">
        <v>7.5010000000000003</v>
      </c>
      <c r="D102" s="100">
        <v>6.657</v>
      </c>
      <c r="E102" s="100">
        <v>6.657</v>
      </c>
    </row>
    <row r="103" spans="1:5" x14ac:dyDescent="0.25">
      <c r="A103" s="97" t="s">
        <v>924</v>
      </c>
      <c r="B103" s="100">
        <v>7.6779999999999999</v>
      </c>
      <c r="C103" s="100">
        <v>7.6779999999999999</v>
      </c>
      <c r="D103" s="100">
        <v>6.8010000000000002</v>
      </c>
      <c r="E103" s="100">
        <v>6.8010000000000002</v>
      </c>
    </row>
    <row r="104" spans="1:5" x14ac:dyDescent="0.25">
      <c r="A104" s="97" t="s">
        <v>925</v>
      </c>
      <c r="B104" s="100">
        <v>7.8630000000000004</v>
      </c>
      <c r="C104" s="100">
        <v>7.8630000000000004</v>
      </c>
      <c r="D104" s="100">
        <v>6.952</v>
      </c>
      <c r="E104" s="100">
        <v>6.952</v>
      </c>
    </row>
    <row r="105" spans="1:5" x14ac:dyDescent="0.25">
      <c r="A105" s="97" t="s">
        <v>926</v>
      </c>
      <c r="B105" s="100">
        <v>8.0559999999999992</v>
      </c>
      <c r="C105" s="100">
        <v>8.0559999999999992</v>
      </c>
      <c r="D105" s="100">
        <v>7.109</v>
      </c>
      <c r="E105" s="100">
        <v>7.109</v>
      </c>
    </row>
    <row r="106" spans="1:5" x14ac:dyDescent="0.25">
      <c r="A106" s="97" t="s">
        <v>927</v>
      </c>
      <c r="B106" s="100">
        <v>8.2579999999999991</v>
      </c>
      <c r="C106" s="100">
        <v>8.2579999999999991</v>
      </c>
      <c r="D106" s="100">
        <v>7.274</v>
      </c>
      <c r="E106" s="100">
        <v>7.274</v>
      </c>
    </row>
    <row r="107" spans="1:5" x14ac:dyDescent="0.25">
      <c r="A107" s="97" t="s">
        <v>928</v>
      </c>
      <c r="B107" s="100">
        <v>8.4689999999999994</v>
      </c>
      <c r="C107" s="100">
        <v>8.4689999999999994</v>
      </c>
      <c r="D107" s="100">
        <v>7.4450000000000003</v>
      </c>
      <c r="E107" s="100">
        <v>7.4450000000000003</v>
      </c>
    </row>
    <row r="108" spans="1:5" x14ac:dyDescent="0.25">
      <c r="A108" s="97" t="s">
        <v>929</v>
      </c>
      <c r="B108" s="100">
        <v>8.69</v>
      </c>
      <c r="C108" s="100">
        <v>8.69</v>
      </c>
      <c r="D108" s="100">
        <v>7.6230000000000002</v>
      </c>
      <c r="E108" s="100">
        <v>7.6230000000000002</v>
      </c>
    </row>
    <row r="109" spans="1:5" x14ac:dyDescent="0.25">
      <c r="A109" s="97" t="s">
        <v>930</v>
      </c>
      <c r="B109" s="100">
        <v>8.92</v>
      </c>
      <c r="C109" s="100">
        <v>8.92</v>
      </c>
      <c r="D109" s="100">
        <v>7.81</v>
      </c>
      <c r="E109" s="100">
        <v>7.81</v>
      </c>
    </row>
    <row r="110" spans="1:5" x14ac:dyDescent="0.25">
      <c r="A110" s="97" t="s">
        <v>931</v>
      </c>
      <c r="B110" s="100">
        <v>9.16</v>
      </c>
      <c r="C110" s="100">
        <v>9.16</v>
      </c>
      <c r="D110" s="100">
        <v>8.0039999999999996</v>
      </c>
      <c r="E110" s="100">
        <v>8.0039999999999996</v>
      </c>
    </row>
    <row r="111" spans="1:5" x14ac:dyDescent="0.25">
      <c r="A111" s="97" t="s">
        <v>932</v>
      </c>
      <c r="B111" s="100">
        <v>9.4120000000000008</v>
      </c>
      <c r="C111" s="100">
        <v>9.4120000000000008</v>
      </c>
      <c r="D111" s="100">
        <v>8.2080000000000002</v>
      </c>
      <c r="E111" s="100">
        <v>8.2080000000000002</v>
      </c>
    </row>
    <row r="112" spans="1:5" x14ac:dyDescent="0.25">
      <c r="A112" s="97" t="s">
        <v>933</v>
      </c>
      <c r="B112" s="100">
        <v>9.6750000000000007</v>
      </c>
      <c r="C112" s="100">
        <v>9.6750000000000007</v>
      </c>
      <c r="D112" s="100">
        <v>8.4209999999999994</v>
      </c>
      <c r="E112" s="100">
        <v>8.4209999999999994</v>
      </c>
    </row>
    <row r="113" spans="1:5" x14ac:dyDescent="0.25">
      <c r="A113" s="97" t="s">
        <v>934</v>
      </c>
      <c r="B113" s="100">
        <v>9.9499999999999993</v>
      </c>
      <c r="C113" s="100">
        <v>9.9499999999999993</v>
      </c>
      <c r="D113" s="100">
        <v>8.6430000000000007</v>
      </c>
      <c r="E113" s="100">
        <v>8.6430000000000007</v>
      </c>
    </row>
    <row r="114" spans="1:5" x14ac:dyDescent="0.25">
      <c r="A114" s="97" t="s">
        <v>935</v>
      </c>
      <c r="B114" s="100">
        <v>10.239000000000001</v>
      </c>
      <c r="C114" s="100">
        <v>10.239000000000001</v>
      </c>
      <c r="D114" s="100">
        <v>8.8759999999999994</v>
      </c>
      <c r="E114" s="100">
        <v>8.8759999999999994</v>
      </c>
    </row>
    <row r="115" spans="1:5" x14ac:dyDescent="0.25">
      <c r="A115" s="97" t="s">
        <v>936</v>
      </c>
      <c r="B115" s="100">
        <v>10.54</v>
      </c>
      <c r="C115" s="100">
        <v>10.54</v>
      </c>
      <c r="D115" s="100">
        <v>9.1189999999999998</v>
      </c>
      <c r="E115" s="100">
        <v>9.1189999999999998</v>
      </c>
    </row>
    <row r="116" spans="1:5" x14ac:dyDescent="0.25">
      <c r="A116" s="97" t="s">
        <v>937</v>
      </c>
      <c r="B116" s="100">
        <v>10.855</v>
      </c>
      <c r="C116" s="100">
        <v>10.855</v>
      </c>
      <c r="D116" s="100">
        <v>9.3729999999999993</v>
      </c>
      <c r="E116" s="100">
        <v>9.3729999999999993</v>
      </c>
    </row>
    <row r="117" spans="1:5" x14ac:dyDescent="0.25">
      <c r="A117" s="97" t="s">
        <v>938</v>
      </c>
      <c r="B117" s="100">
        <v>11.183999999999999</v>
      </c>
      <c r="C117" s="100">
        <v>11.183999999999999</v>
      </c>
      <c r="D117" s="100">
        <v>9.6389999999999993</v>
      </c>
      <c r="E117" s="100">
        <v>9.6389999999999993</v>
      </c>
    </row>
    <row r="118" spans="1:5" x14ac:dyDescent="0.25">
      <c r="A118" s="97" t="s">
        <v>939</v>
      </c>
      <c r="B118" s="100">
        <v>11.529</v>
      </c>
      <c r="C118" s="100">
        <v>11.529</v>
      </c>
      <c r="D118" s="100">
        <v>9.9169999999999998</v>
      </c>
      <c r="E118" s="100">
        <v>9.9169999999999998</v>
      </c>
    </row>
    <row r="119" spans="1:5" x14ac:dyDescent="0.25">
      <c r="A119" s="97" t="s">
        <v>940</v>
      </c>
      <c r="B119" s="100">
        <v>11.89</v>
      </c>
      <c r="C119" s="100">
        <v>11.89</v>
      </c>
      <c r="D119" s="100">
        <v>10.207000000000001</v>
      </c>
      <c r="E119" s="100">
        <v>10.207000000000001</v>
      </c>
    </row>
    <row r="120" spans="1:5" x14ac:dyDescent="0.25">
      <c r="A120" s="97" t="s">
        <v>941</v>
      </c>
      <c r="B120" s="100">
        <v>12.266999999999999</v>
      </c>
      <c r="C120" s="100">
        <v>12.266999999999999</v>
      </c>
      <c r="D120" s="100">
        <v>10.512</v>
      </c>
      <c r="E120" s="100">
        <v>10.512</v>
      </c>
    </row>
    <row r="121" spans="1:5" x14ac:dyDescent="0.25">
      <c r="A121" s="97" t="s">
        <v>942</v>
      </c>
      <c r="B121" s="100">
        <v>12.66</v>
      </c>
      <c r="C121" s="100">
        <v>12.66</v>
      </c>
      <c r="D121" s="100">
        <v>10.829000000000001</v>
      </c>
      <c r="E121" s="100">
        <v>10.829000000000001</v>
      </c>
    </row>
    <row r="122" spans="1:5" x14ac:dyDescent="0.25">
      <c r="A122" s="97" t="s">
        <v>943</v>
      </c>
      <c r="B122" s="100">
        <v>13.073</v>
      </c>
      <c r="C122" s="100">
        <v>13.073</v>
      </c>
      <c r="D122" s="100">
        <v>11.162000000000001</v>
      </c>
      <c r="E122" s="100">
        <v>11.162000000000001</v>
      </c>
    </row>
    <row r="123" spans="1:5" x14ac:dyDescent="0.25">
      <c r="A123" s="97" t="s">
        <v>944</v>
      </c>
      <c r="B123" s="100">
        <v>13.504</v>
      </c>
      <c r="C123" s="100">
        <v>13.504</v>
      </c>
      <c r="D123" s="100">
        <v>11.510999999999999</v>
      </c>
      <c r="E123" s="100">
        <v>11.510999999999999</v>
      </c>
    </row>
  </sheetData>
  <conditionalFormatting sqref="A6:A21">
    <cfRule type="expression" dxfId="555" priority="5" stopIfTrue="1">
      <formula>MOD(ROW(),2)=0</formula>
    </cfRule>
    <cfRule type="expression" dxfId="554" priority="6" stopIfTrue="1">
      <formula>MOD(ROW(),2)&lt;&gt;0</formula>
    </cfRule>
  </conditionalFormatting>
  <conditionalFormatting sqref="A26:A123">
    <cfRule type="expression" dxfId="553" priority="3" stopIfTrue="1">
      <formula>MOD(ROW(),2)=0</formula>
    </cfRule>
    <cfRule type="expression" dxfId="552" priority="4" stopIfTrue="1">
      <formula>MOD(ROW(),2)&lt;&gt;0</formula>
    </cfRule>
  </conditionalFormatting>
  <conditionalFormatting sqref="B18:B21">
    <cfRule type="expression" dxfId="551" priority="1" stopIfTrue="1">
      <formula>MOD(ROW(),2)=0</formula>
    </cfRule>
    <cfRule type="expression" dxfId="550" priority="2" stopIfTrue="1">
      <formula>MOD(ROW(),2)&lt;&gt;0</formula>
    </cfRule>
  </conditionalFormatting>
  <conditionalFormatting sqref="B6:C6 C7 B8:C17 C18:C21">
    <cfRule type="expression" dxfId="549" priority="50" stopIfTrue="1">
      <formula>MOD(ROW(),2)&lt;&gt;0</formula>
    </cfRule>
    <cfRule type="expression" dxfId="548" priority="49" stopIfTrue="1">
      <formula>MOD(ROW(),2)=0</formula>
    </cfRule>
  </conditionalFormatting>
  <conditionalFormatting sqref="B6:E21">
    <cfRule type="expression" dxfId="547" priority="39" stopIfTrue="1">
      <formula>MOD(ROW(),2)=0</formula>
    </cfRule>
    <cfRule type="expression" dxfId="546" priority="40" stopIfTrue="1">
      <formula>MOD(ROW(),2)&lt;&gt;0</formula>
    </cfRule>
  </conditionalFormatting>
  <conditionalFormatting sqref="B26:E123">
    <cfRule type="expression" dxfId="545" priority="27" stopIfTrue="1">
      <formula>MOD(ROW(),2)=0</formula>
    </cfRule>
    <cfRule type="expression" dxfId="544" priority="28" stopIfTrue="1">
      <formula>MOD(ROW(),2)&lt;&gt;0</formula>
    </cfRule>
  </conditionalFormatting>
  <hyperlinks>
    <hyperlink ref="B24" location="Assumptions!A1" display="Assumptions" xr:uid="{A51FB761-255C-4C5D-B92B-489C0174FDA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781A-733C-46E5-A9EA-48D731B6CA6E}">
  <sheetPr codeName="Sheet103"/>
  <dimension ref="A1:I30"/>
  <sheetViews>
    <sheetView workbookViewId="0">
      <selection activeCell="B19" sqref="B19"/>
    </sheetView>
  </sheetViews>
  <sheetFormatPr defaultColWidth="10" defaultRowHeight="12.5" x14ac:dyDescent="0.25"/>
  <cols>
    <col min="1" max="1" width="28.453125" style="28" customWidth="1"/>
    <col min="2" max="2" width="22.54296875" style="28" customWidth="1"/>
    <col min="3" max="3" width="23.54296875" style="28" customWidth="1"/>
    <col min="4" max="5" width="22.54296875" style="28" customWidth="1"/>
    <col min="6" max="6" width="22.453125" style="28" customWidth="1"/>
    <col min="7"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Civil Service Pension Schemes - Consolidated Factor Spreadsheet</v>
      </c>
      <c r="B2" s="56"/>
      <c r="C2" s="56"/>
      <c r="D2" s="56"/>
      <c r="E2" s="56"/>
      <c r="F2" s="56"/>
      <c r="G2" s="56"/>
      <c r="H2" s="56"/>
      <c r="I2" s="56"/>
    </row>
    <row r="3" spans="1:9" ht="15.5" x14ac:dyDescent="0.35">
      <c r="A3" s="57" t="str">
        <f>TABLE_FACTOR_TYPE_1&amp;" - x-"&amp;TABLE_SERIES_NUMBER_1</f>
        <v>Inverse Comm - x-504</v>
      </c>
      <c r="B3" s="56"/>
      <c r="C3" s="56"/>
      <c r="D3" s="56"/>
      <c r="E3" s="56"/>
      <c r="F3" s="56"/>
      <c r="G3" s="56"/>
      <c r="H3" s="56"/>
      <c r="I3" s="56"/>
    </row>
    <row r="4" spans="1:9" x14ac:dyDescent="0.25">
      <c r="A4" s="58"/>
    </row>
    <row r="6" spans="1:9" ht="13" x14ac:dyDescent="0.3">
      <c r="A6" s="92" t="s">
        <v>716</v>
      </c>
      <c r="B6" s="181" t="s">
        <v>717</v>
      </c>
      <c r="C6" s="93"/>
      <c r="D6" s="93"/>
      <c r="E6" s="93"/>
    </row>
    <row r="7" spans="1:9" x14ac:dyDescent="0.25">
      <c r="A7" s="94" t="s">
        <v>797</v>
      </c>
      <c r="B7" s="181" t="s">
        <v>326</v>
      </c>
      <c r="C7" s="95"/>
      <c r="D7" s="95"/>
      <c r="E7" s="95"/>
    </row>
    <row r="8" spans="1:9" x14ac:dyDescent="0.25">
      <c r="A8" s="94" t="s">
        <v>798</v>
      </c>
      <c r="B8" s="181" t="s">
        <v>93</v>
      </c>
      <c r="C8" s="95"/>
      <c r="D8" s="95"/>
      <c r="E8" s="95"/>
    </row>
    <row r="9" spans="1:9" x14ac:dyDescent="0.25">
      <c r="A9" s="94" t="s">
        <v>300</v>
      </c>
      <c r="B9" s="181" t="s">
        <v>542</v>
      </c>
      <c r="C9" s="95"/>
      <c r="D9" s="95"/>
      <c r="E9" s="95"/>
    </row>
    <row r="10" spans="1:9" ht="16.5" customHeight="1" x14ac:dyDescent="0.25">
      <c r="A10" s="94" t="s">
        <v>6</v>
      </c>
      <c r="B10" s="181" t="s">
        <v>548</v>
      </c>
      <c r="C10" s="95"/>
      <c r="D10" s="95"/>
      <c r="E10" s="95"/>
    </row>
    <row r="11" spans="1:9" x14ac:dyDescent="0.25">
      <c r="A11" s="94" t="s">
        <v>301</v>
      </c>
      <c r="B11" s="181" t="s">
        <v>319</v>
      </c>
      <c r="C11" s="95"/>
      <c r="D11" s="95"/>
      <c r="E11" s="95"/>
    </row>
    <row r="12" spans="1:9" x14ac:dyDescent="0.25">
      <c r="A12" s="94" t="s">
        <v>302</v>
      </c>
      <c r="B12" s="181" t="s">
        <v>544</v>
      </c>
      <c r="C12" s="95"/>
      <c r="D12" s="95"/>
      <c r="E12" s="95"/>
    </row>
    <row r="13" spans="1:9" x14ac:dyDescent="0.25">
      <c r="A13" s="94" t="s">
        <v>813</v>
      </c>
      <c r="B13" s="181">
        <v>1</v>
      </c>
      <c r="C13" s="95"/>
      <c r="D13" s="95"/>
      <c r="E13" s="95"/>
    </row>
    <row r="14" spans="1:9" x14ac:dyDescent="0.25">
      <c r="A14" s="94" t="s">
        <v>304</v>
      </c>
      <c r="B14" s="181">
        <v>504</v>
      </c>
      <c r="C14" s="95"/>
      <c r="D14" s="95"/>
      <c r="E14" s="95"/>
    </row>
    <row r="15" spans="1:9" x14ac:dyDescent="0.25">
      <c r="A15" s="94" t="s">
        <v>727</v>
      </c>
      <c r="B15" s="181" t="s">
        <v>549</v>
      </c>
      <c r="C15" s="95"/>
      <c r="D15" s="95"/>
      <c r="E15" s="95"/>
    </row>
    <row r="16" spans="1:9" x14ac:dyDescent="0.25">
      <c r="A16" s="94" t="s">
        <v>814</v>
      </c>
      <c r="B16" s="181" t="s">
        <v>550</v>
      </c>
      <c r="C16" s="95"/>
      <c r="D16" s="95"/>
      <c r="E16" s="95"/>
    </row>
    <row r="17" spans="1:5" ht="34.5" customHeight="1" x14ac:dyDescent="0.25">
      <c r="A17" s="94" t="s">
        <v>800</v>
      </c>
      <c r="B17" s="181"/>
      <c r="C17" s="95"/>
      <c r="D17" s="95"/>
      <c r="E17" s="95"/>
    </row>
    <row r="18" spans="1:5" x14ac:dyDescent="0.25">
      <c r="A18" s="94" t="s">
        <v>308</v>
      </c>
      <c r="B18" s="185">
        <v>45135</v>
      </c>
      <c r="C18" s="95"/>
      <c r="D18" s="95"/>
      <c r="E18" s="95"/>
    </row>
    <row r="19" spans="1:5" ht="25" x14ac:dyDescent="0.25">
      <c r="A19" s="94" t="s">
        <v>309</v>
      </c>
      <c r="B19" s="185">
        <v>45135</v>
      </c>
      <c r="C19" s="95"/>
      <c r="D19" s="95"/>
      <c r="E19" s="95"/>
    </row>
    <row r="20" spans="1:5" x14ac:dyDescent="0.25">
      <c r="A20" s="94" t="s">
        <v>310</v>
      </c>
      <c r="B20" s="181" t="s">
        <v>324</v>
      </c>
      <c r="C20" s="95"/>
      <c r="D20" s="95"/>
      <c r="E20" s="95"/>
    </row>
    <row r="21" spans="1:5" x14ac:dyDescent="0.25">
      <c r="A21" s="94" t="s">
        <v>311</v>
      </c>
      <c r="B21" s="181" t="s">
        <v>325</v>
      </c>
      <c r="C21" s="95"/>
      <c r="D21" s="95"/>
      <c r="E21" s="95"/>
    </row>
    <row r="23" spans="1:5" x14ac:dyDescent="0.25">
      <c r="B23" s="104" t="str">
        <f>HYPERLINK("#'Factor List'!A1","Back to Factor List")</f>
        <v>Back to Factor List</v>
      </c>
    </row>
    <row r="24" spans="1:5" x14ac:dyDescent="0.25">
      <c r="B24" s="104" t="s">
        <v>13</v>
      </c>
    </row>
    <row r="25" spans="1:5" x14ac:dyDescent="0.25">
      <c r="B25" s="104"/>
    </row>
    <row r="26" spans="1:5" ht="26" x14ac:dyDescent="0.25">
      <c r="A26" s="96" t="s">
        <v>945</v>
      </c>
      <c r="B26" s="96" t="s">
        <v>946</v>
      </c>
    </row>
    <row r="27" spans="1:5" ht="13" x14ac:dyDescent="0.25">
      <c r="A27" s="96" t="s">
        <v>947</v>
      </c>
      <c r="B27" s="186">
        <v>5.0000000000000001E-3</v>
      </c>
    </row>
    <row r="30" spans="1:5" ht="33.65" customHeight="1" x14ac:dyDescent="0.25">
      <c r="B30" s="216" t="s">
        <v>948</v>
      </c>
      <c r="C30" s="216"/>
      <c r="D30" s="216"/>
      <c r="E30" s="216"/>
    </row>
  </sheetData>
  <mergeCells count="1">
    <mergeCell ref="B30:E30"/>
  </mergeCells>
  <conditionalFormatting sqref="A6:A21">
    <cfRule type="expression" dxfId="543" priority="3" stopIfTrue="1">
      <formula>MOD(ROW(),2)=0</formula>
    </cfRule>
    <cfRule type="expression" dxfId="542" priority="4" stopIfTrue="1">
      <formula>MOD(ROW(),2)&lt;&gt;0</formula>
    </cfRule>
  </conditionalFormatting>
  <conditionalFormatting sqref="A26:A27">
    <cfRule type="expression" dxfId="541" priority="13" stopIfTrue="1">
      <formula>MOD(ROW(),2)=0</formula>
    </cfRule>
    <cfRule type="expression" dxfId="540" priority="14" stopIfTrue="1">
      <formula>MOD(ROW(),2)&lt;&gt;0</formula>
    </cfRule>
  </conditionalFormatting>
  <conditionalFormatting sqref="B6:B7">
    <cfRule type="expression" dxfId="539" priority="1" stopIfTrue="1">
      <formula>MOD(ROW(),2)=0</formula>
    </cfRule>
    <cfRule type="expression" dxfId="538" priority="2" stopIfTrue="1">
      <formula>MOD(ROW(),2)&lt;&gt;0</formula>
    </cfRule>
  </conditionalFormatting>
  <conditionalFormatting sqref="B8:B21">
    <cfRule type="expression" dxfId="537" priority="19" stopIfTrue="1">
      <formula>MOD(ROW(),2)=0</formula>
    </cfRule>
    <cfRule type="expression" dxfId="536" priority="20" stopIfTrue="1">
      <formula>MOD(ROW(),2)&lt;&gt;0</formula>
    </cfRule>
  </conditionalFormatting>
  <conditionalFormatting sqref="B18:B19">
    <cfRule type="expression" dxfId="535" priority="5" stopIfTrue="1">
      <formula>MOD(ROW(),2)=0</formula>
    </cfRule>
    <cfRule type="expression" dxfId="534" priority="6" stopIfTrue="1">
      <formula>MOD(ROW(),2)&lt;&gt;0</formula>
    </cfRule>
  </conditionalFormatting>
  <conditionalFormatting sqref="B19:B21">
    <cfRule type="expression" dxfId="533" priority="7" stopIfTrue="1">
      <formula>MOD(ROW(),2)=0</formula>
    </cfRule>
    <cfRule type="expression" dxfId="532" priority="8" stopIfTrue="1">
      <formula>MOD(ROW(),2)&lt;&gt;0</formula>
    </cfRule>
  </conditionalFormatting>
  <conditionalFormatting sqref="B26:B27">
    <cfRule type="expression" dxfId="531" priority="11" stopIfTrue="1">
      <formula>MOD(ROW(),2)=0</formula>
    </cfRule>
    <cfRule type="expression" dxfId="530" priority="12" stopIfTrue="1">
      <formula>MOD(ROW(),2)&lt;&gt;0</formula>
    </cfRule>
  </conditionalFormatting>
  <conditionalFormatting sqref="B6:E6 C7:E7 B8:E16 C18:E21">
    <cfRule type="expression" dxfId="529" priority="26" stopIfTrue="1">
      <formula>MOD(ROW(),2)&lt;&gt;0</formula>
    </cfRule>
  </conditionalFormatting>
  <conditionalFormatting sqref="B8:E16 B6:E6 C7:E7 C18:E21">
    <cfRule type="expression" dxfId="528" priority="25" stopIfTrue="1">
      <formula>MOD(ROW(),2)=0</formula>
    </cfRule>
  </conditionalFormatting>
  <conditionalFormatting sqref="B17:E17">
    <cfRule type="expression" dxfId="527" priority="9" stopIfTrue="1">
      <formula>MOD(ROW(),2)=0</formula>
    </cfRule>
    <cfRule type="expression" dxfId="526" priority="10" stopIfTrue="1">
      <formula>MOD(ROW(),2)&lt;&gt;0</formula>
    </cfRule>
  </conditionalFormatting>
  <hyperlinks>
    <hyperlink ref="B24" location="Sheet1!A1" display="Assumptions" xr:uid="{F443CB52-3B9F-41AF-99FB-7727F2CA76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94"/>
  <dimension ref="A1:I85"/>
  <sheetViews>
    <sheetView workbookViewId="0"/>
  </sheetViews>
  <sheetFormatPr defaultColWidth="10" defaultRowHeight="12.5" x14ac:dyDescent="0.25"/>
  <cols>
    <col min="1" max="1" width="31.54296875" style="28" customWidth="1"/>
    <col min="2" max="9" width="22.54296875" style="28" customWidth="1"/>
    <col min="10"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Scheme pays AA - x-601</v>
      </c>
      <c r="B3" s="56"/>
      <c r="C3" s="56"/>
      <c r="D3" s="56"/>
      <c r="E3" s="56"/>
      <c r="F3" s="56"/>
      <c r="G3" s="56"/>
      <c r="H3" s="56"/>
      <c r="I3" s="56"/>
    </row>
    <row r="4" spans="1:9" x14ac:dyDescent="0.25">
      <c r="A4" s="58"/>
    </row>
    <row r="6" spans="1:9" ht="13" x14ac:dyDescent="0.3">
      <c r="A6" s="92" t="s">
        <v>716</v>
      </c>
      <c r="B6" s="181" t="s">
        <v>717</v>
      </c>
      <c r="C6" s="181"/>
      <c r="D6" s="181"/>
      <c r="E6" s="181"/>
      <c r="F6" s="181"/>
      <c r="G6" s="181"/>
      <c r="H6" s="181"/>
      <c r="I6" s="181"/>
    </row>
    <row r="7" spans="1:9" x14ac:dyDescent="0.25">
      <c r="A7" s="94" t="s">
        <v>797</v>
      </c>
      <c r="B7" s="181" t="s">
        <v>316</v>
      </c>
      <c r="C7" s="181"/>
      <c r="D7" s="181"/>
      <c r="E7" s="181"/>
      <c r="F7" s="181"/>
      <c r="G7" s="181"/>
      <c r="H7" s="181"/>
      <c r="I7" s="181"/>
    </row>
    <row r="8" spans="1:9" x14ac:dyDescent="0.25">
      <c r="A8" s="94" t="s">
        <v>798</v>
      </c>
      <c r="B8" s="181" t="s">
        <v>92</v>
      </c>
      <c r="C8" s="181"/>
      <c r="D8" s="181"/>
      <c r="E8" s="181"/>
      <c r="F8" s="181"/>
      <c r="G8" s="181"/>
      <c r="H8" s="181"/>
      <c r="I8" s="181"/>
    </row>
    <row r="9" spans="1:9" x14ac:dyDescent="0.25">
      <c r="A9" s="94" t="s">
        <v>300</v>
      </c>
      <c r="B9" s="181" t="s">
        <v>551</v>
      </c>
      <c r="C9" s="181"/>
      <c r="D9" s="181"/>
      <c r="E9" s="181"/>
      <c r="F9" s="181"/>
      <c r="G9" s="181"/>
      <c r="H9" s="181"/>
      <c r="I9" s="181"/>
    </row>
    <row r="10" spans="1:9" x14ac:dyDescent="0.25">
      <c r="A10" s="94" t="s">
        <v>6</v>
      </c>
      <c r="B10" s="181" t="s">
        <v>552</v>
      </c>
      <c r="C10" s="181"/>
      <c r="D10" s="181"/>
      <c r="E10" s="181"/>
      <c r="F10" s="181"/>
      <c r="G10" s="181"/>
      <c r="H10" s="181"/>
      <c r="I10" s="181"/>
    </row>
    <row r="11" spans="1:9" x14ac:dyDescent="0.25">
      <c r="A11" s="94" t="s">
        <v>301</v>
      </c>
      <c r="B11" s="181" t="s">
        <v>334</v>
      </c>
      <c r="C11" s="181"/>
      <c r="D11" s="181"/>
      <c r="E11" s="181"/>
      <c r="F11" s="181"/>
      <c r="G11" s="181"/>
      <c r="H11" s="181"/>
      <c r="I11" s="181"/>
    </row>
    <row r="12" spans="1:9" x14ac:dyDescent="0.25">
      <c r="A12" s="94" t="s">
        <v>302</v>
      </c>
      <c r="B12" s="181" t="s">
        <v>335</v>
      </c>
      <c r="C12" s="181"/>
      <c r="D12" s="181"/>
      <c r="E12" s="181"/>
      <c r="F12" s="181"/>
      <c r="G12" s="181"/>
      <c r="H12" s="181"/>
      <c r="I12" s="181"/>
    </row>
    <row r="13" spans="1:9" x14ac:dyDescent="0.25">
      <c r="A13" s="94" t="s">
        <v>813</v>
      </c>
      <c r="B13" s="181">
        <v>0</v>
      </c>
      <c r="C13" s="181"/>
      <c r="D13" s="181"/>
      <c r="E13" s="181"/>
      <c r="F13" s="181"/>
      <c r="G13" s="181"/>
      <c r="H13" s="181"/>
      <c r="I13" s="181"/>
    </row>
    <row r="14" spans="1:9" x14ac:dyDescent="0.25">
      <c r="A14" s="94" t="s">
        <v>304</v>
      </c>
      <c r="B14" s="181">
        <v>601</v>
      </c>
      <c r="C14" s="181"/>
      <c r="D14" s="181"/>
      <c r="E14" s="181"/>
      <c r="F14" s="181"/>
      <c r="G14" s="181"/>
      <c r="H14" s="181"/>
      <c r="I14" s="181"/>
    </row>
    <row r="15" spans="1:9" x14ac:dyDescent="0.25">
      <c r="A15" s="94" t="s">
        <v>727</v>
      </c>
      <c r="B15" s="181" t="s">
        <v>553</v>
      </c>
      <c r="C15" s="181"/>
      <c r="D15" s="181"/>
      <c r="E15" s="181"/>
      <c r="F15" s="181"/>
      <c r="G15" s="181"/>
      <c r="H15" s="181"/>
      <c r="I15" s="181"/>
    </row>
    <row r="16" spans="1:9" x14ac:dyDescent="0.25">
      <c r="A16" s="94" t="s">
        <v>306</v>
      </c>
      <c r="B16" s="181" t="s">
        <v>554</v>
      </c>
      <c r="C16" s="181"/>
      <c r="D16" s="181"/>
      <c r="E16" s="181"/>
      <c r="F16" s="181"/>
      <c r="G16" s="181"/>
      <c r="H16" s="181"/>
      <c r="I16" s="181"/>
    </row>
    <row r="17" spans="1:9" x14ac:dyDescent="0.25">
      <c r="A17" s="94" t="s">
        <v>800</v>
      </c>
      <c r="B17" s="181"/>
      <c r="C17" s="181"/>
      <c r="D17" s="181"/>
      <c r="E17" s="181"/>
      <c r="F17" s="181"/>
      <c r="G17" s="181"/>
      <c r="H17" s="181"/>
      <c r="I17" s="181"/>
    </row>
    <row r="18" spans="1:9" x14ac:dyDescent="0.25">
      <c r="A18" s="94" t="s">
        <v>308</v>
      </c>
      <c r="B18" s="185">
        <v>45135</v>
      </c>
      <c r="C18" s="181"/>
      <c r="D18" s="181"/>
      <c r="E18" s="181"/>
      <c r="F18" s="181"/>
      <c r="G18" s="181"/>
      <c r="H18" s="181"/>
      <c r="I18" s="181"/>
    </row>
    <row r="19" spans="1:9" x14ac:dyDescent="0.25">
      <c r="A19" s="94" t="s">
        <v>309</v>
      </c>
      <c r="B19" s="185">
        <v>45383</v>
      </c>
      <c r="C19" s="181"/>
      <c r="D19" s="181"/>
      <c r="E19" s="181"/>
      <c r="F19" s="181"/>
      <c r="G19" s="181"/>
      <c r="H19" s="181"/>
      <c r="I19" s="181"/>
    </row>
    <row r="20" spans="1:9" x14ac:dyDescent="0.25">
      <c r="A20" s="94" t="s">
        <v>310</v>
      </c>
      <c r="B20" s="181" t="s">
        <v>324</v>
      </c>
      <c r="C20" s="181"/>
      <c r="D20" s="181"/>
      <c r="E20" s="181"/>
      <c r="F20" s="181"/>
      <c r="G20" s="181"/>
      <c r="H20" s="181"/>
      <c r="I20" s="181"/>
    </row>
    <row r="21" spans="1:9" x14ac:dyDescent="0.25">
      <c r="A21" s="87" t="s">
        <v>311</v>
      </c>
      <c r="B21" s="181" t="s">
        <v>325</v>
      </c>
      <c r="C21" s="181"/>
      <c r="D21" s="181"/>
      <c r="E21" s="181"/>
      <c r="F21" s="181"/>
      <c r="G21" s="181"/>
      <c r="H21" s="181"/>
      <c r="I21" s="181"/>
    </row>
    <row r="23" spans="1:9" x14ac:dyDescent="0.25">
      <c r="B23" s="104" t="str">
        <f>HYPERLINK("#'Factor List'!A1","Back to Factor List")</f>
        <v>Back to Factor List</v>
      </c>
    </row>
    <row r="24" spans="1:9" x14ac:dyDescent="0.25">
      <c r="B24" s="104" t="s">
        <v>13</v>
      </c>
    </row>
    <row r="26" spans="1:9" ht="13" x14ac:dyDescent="0.25">
      <c r="A26" s="108" t="s">
        <v>534</v>
      </c>
      <c r="B26" s="108" t="s">
        <v>949</v>
      </c>
      <c r="C26" s="108" t="s">
        <v>950</v>
      </c>
      <c r="D26" s="108" t="s">
        <v>951</v>
      </c>
      <c r="E26" s="108" t="s">
        <v>952</v>
      </c>
      <c r="F26" s="108" t="s">
        <v>953</v>
      </c>
      <c r="G26" s="108" t="s">
        <v>954</v>
      </c>
      <c r="H26" s="108" t="s">
        <v>955</v>
      </c>
      <c r="I26" s="108" t="s">
        <v>956</v>
      </c>
    </row>
    <row r="27" spans="1:9" x14ac:dyDescent="0.25">
      <c r="A27" s="109">
        <v>17</v>
      </c>
      <c r="B27" s="110">
        <v>3.43</v>
      </c>
      <c r="C27" s="110">
        <v>3.43</v>
      </c>
      <c r="D27" s="110">
        <v>3.21</v>
      </c>
      <c r="E27" s="110">
        <v>3.21</v>
      </c>
      <c r="F27" s="110">
        <v>2.99</v>
      </c>
      <c r="G27" s="110">
        <v>2.99</v>
      </c>
      <c r="H27" s="110">
        <v>2.78</v>
      </c>
      <c r="I27" s="110">
        <v>2.78</v>
      </c>
    </row>
    <row r="28" spans="1:9" x14ac:dyDescent="0.25">
      <c r="A28" s="109">
        <v>18</v>
      </c>
      <c r="B28" s="110">
        <v>3.55</v>
      </c>
      <c r="C28" s="110">
        <v>3.55</v>
      </c>
      <c r="D28" s="110">
        <v>3.32</v>
      </c>
      <c r="E28" s="110">
        <v>3.32</v>
      </c>
      <c r="F28" s="110">
        <v>3.09</v>
      </c>
      <c r="G28" s="110">
        <v>3.09</v>
      </c>
      <c r="H28" s="110">
        <v>2.88</v>
      </c>
      <c r="I28" s="110">
        <v>2.88</v>
      </c>
    </row>
    <row r="29" spans="1:9" x14ac:dyDescent="0.25">
      <c r="A29" s="109">
        <v>19</v>
      </c>
      <c r="B29" s="110">
        <v>3.67</v>
      </c>
      <c r="C29" s="110">
        <v>3.67</v>
      </c>
      <c r="D29" s="110">
        <v>3.43</v>
      </c>
      <c r="E29" s="110">
        <v>3.43</v>
      </c>
      <c r="F29" s="110">
        <v>3.2</v>
      </c>
      <c r="G29" s="110">
        <v>3.2</v>
      </c>
      <c r="H29" s="110">
        <v>2.97</v>
      </c>
      <c r="I29" s="110">
        <v>2.97</v>
      </c>
    </row>
    <row r="30" spans="1:9" x14ac:dyDescent="0.25">
      <c r="A30" s="109">
        <v>20</v>
      </c>
      <c r="B30" s="110">
        <v>3.8</v>
      </c>
      <c r="C30" s="110">
        <v>3.8</v>
      </c>
      <c r="D30" s="110">
        <v>3.55</v>
      </c>
      <c r="E30" s="110">
        <v>3.55</v>
      </c>
      <c r="F30" s="110">
        <v>3.3</v>
      </c>
      <c r="G30" s="110">
        <v>3.3</v>
      </c>
      <c r="H30" s="110">
        <v>3.07</v>
      </c>
      <c r="I30" s="110">
        <v>3.07</v>
      </c>
    </row>
    <row r="31" spans="1:9" x14ac:dyDescent="0.25">
      <c r="A31" s="109">
        <v>21</v>
      </c>
      <c r="B31" s="110">
        <v>3.93</v>
      </c>
      <c r="C31" s="110">
        <v>3.93</v>
      </c>
      <c r="D31" s="110">
        <v>3.67</v>
      </c>
      <c r="E31" s="110">
        <v>3.67</v>
      </c>
      <c r="F31" s="110">
        <v>3.42</v>
      </c>
      <c r="G31" s="110">
        <v>3.42</v>
      </c>
      <c r="H31" s="110">
        <v>3.18</v>
      </c>
      <c r="I31" s="110">
        <v>3.18</v>
      </c>
    </row>
    <row r="32" spans="1:9" x14ac:dyDescent="0.25">
      <c r="A32" s="109">
        <v>22</v>
      </c>
      <c r="B32" s="110">
        <v>4.0599999999999996</v>
      </c>
      <c r="C32" s="110">
        <v>4.0599999999999996</v>
      </c>
      <c r="D32" s="110">
        <v>3.79</v>
      </c>
      <c r="E32" s="110">
        <v>3.79</v>
      </c>
      <c r="F32" s="110">
        <v>3.53</v>
      </c>
      <c r="G32" s="110">
        <v>3.53</v>
      </c>
      <c r="H32" s="110">
        <v>3.29</v>
      </c>
      <c r="I32" s="110">
        <v>3.29</v>
      </c>
    </row>
    <row r="33" spans="1:9" x14ac:dyDescent="0.25">
      <c r="A33" s="109">
        <v>23</v>
      </c>
      <c r="B33" s="110">
        <v>4.2</v>
      </c>
      <c r="C33" s="110">
        <v>4.2</v>
      </c>
      <c r="D33" s="110">
        <v>3.92</v>
      </c>
      <c r="E33" s="110">
        <v>3.92</v>
      </c>
      <c r="F33" s="110">
        <v>3.65</v>
      </c>
      <c r="G33" s="110">
        <v>3.65</v>
      </c>
      <c r="H33" s="110">
        <v>3.4</v>
      </c>
      <c r="I33" s="110">
        <v>3.4</v>
      </c>
    </row>
    <row r="34" spans="1:9" x14ac:dyDescent="0.25">
      <c r="A34" s="109">
        <v>24</v>
      </c>
      <c r="B34" s="110">
        <v>4.3499999999999996</v>
      </c>
      <c r="C34" s="110">
        <v>4.3499999999999996</v>
      </c>
      <c r="D34" s="110">
        <v>4.05</v>
      </c>
      <c r="E34" s="110">
        <v>4.05</v>
      </c>
      <c r="F34" s="110">
        <v>3.78</v>
      </c>
      <c r="G34" s="110">
        <v>3.78</v>
      </c>
      <c r="H34" s="110">
        <v>3.51</v>
      </c>
      <c r="I34" s="110">
        <v>3.51</v>
      </c>
    </row>
    <row r="35" spans="1:9" x14ac:dyDescent="0.25">
      <c r="A35" s="109">
        <v>25</v>
      </c>
      <c r="B35" s="110">
        <v>4.49</v>
      </c>
      <c r="C35" s="110">
        <v>4.49</v>
      </c>
      <c r="D35" s="110">
        <v>4.1900000000000004</v>
      </c>
      <c r="E35" s="110">
        <v>4.1900000000000004</v>
      </c>
      <c r="F35" s="110">
        <v>3.9</v>
      </c>
      <c r="G35" s="110">
        <v>3.9</v>
      </c>
      <c r="H35" s="110">
        <v>3.63</v>
      </c>
      <c r="I35" s="110">
        <v>3.63</v>
      </c>
    </row>
    <row r="36" spans="1:9" x14ac:dyDescent="0.25">
      <c r="A36" s="109">
        <v>26</v>
      </c>
      <c r="B36" s="110">
        <v>4.6500000000000004</v>
      </c>
      <c r="C36" s="110">
        <v>4.6500000000000004</v>
      </c>
      <c r="D36" s="110">
        <v>4.33</v>
      </c>
      <c r="E36" s="110">
        <v>4.33</v>
      </c>
      <c r="F36" s="110">
        <v>4.04</v>
      </c>
      <c r="G36" s="110">
        <v>4.04</v>
      </c>
      <c r="H36" s="110">
        <v>3.75</v>
      </c>
      <c r="I36" s="110">
        <v>3.75</v>
      </c>
    </row>
    <row r="37" spans="1:9" x14ac:dyDescent="0.25">
      <c r="A37" s="109">
        <v>27</v>
      </c>
      <c r="B37" s="110">
        <v>4.8099999999999996</v>
      </c>
      <c r="C37" s="110">
        <v>4.8099999999999996</v>
      </c>
      <c r="D37" s="110">
        <v>4.4800000000000004</v>
      </c>
      <c r="E37" s="110">
        <v>4.4800000000000004</v>
      </c>
      <c r="F37" s="110">
        <v>4.17</v>
      </c>
      <c r="G37" s="110">
        <v>4.17</v>
      </c>
      <c r="H37" s="110">
        <v>3.88</v>
      </c>
      <c r="I37" s="110">
        <v>3.88</v>
      </c>
    </row>
    <row r="38" spans="1:9" x14ac:dyDescent="0.25">
      <c r="A38" s="109">
        <v>28</v>
      </c>
      <c r="B38" s="110">
        <v>4.97</v>
      </c>
      <c r="C38" s="110">
        <v>4.97</v>
      </c>
      <c r="D38" s="110">
        <v>4.63</v>
      </c>
      <c r="E38" s="110">
        <v>4.63</v>
      </c>
      <c r="F38" s="110">
        <v>4.3099999999999996</v>
      </c>
      <c r="G38" s="110">
        <v>4.3099999999999996</v>
      </c>
      <c r="H38" s="110">
        <v>4.01</v>
      </c>
      <c r="I38" s="110">
        <v>4.01</v>
      </c>
    </row>
    <row r="39" spans="1:9" x14ac:dyDescent="0.25">
      <c r="A39" s="109">
        <v>29</v>
      </c>
      <c r="B39" s="110">
        <v>5.14</v>
      </c>
      <c r="C39" s="110">
        <v>5.14</v>
      </c>
      <c r="D39" s="110">
        <v>4.79</v>
      </c>
      <c r="E39" s="110">
        <v>4.79</v>
      </c>
      <c r="F39" s="110">
        <v>4.46</v>
      </c>
      <c r="G39" s="110">
        <v>4.46</v>
      </c>
      <c r="H39" s="110">
        <v>4.1399999999999997</v>
      </c>
      <c r="I39" s="110">
        <v>4.1399999999999997</v>
      </c>
    </row>
    <row r="40" spans="1:9" x14ac:dyDescent="0.25">
      <c r="A40" s="109">
        <v>30</v>
      </c>
      <c r="B40" s="110">
        <v>5.32</v>
      </c>
      <c r="C40" s="110">
        <v>5.32</v>
      </c>
      <c r="D40" s="110">
        <v>4.96</v>
      </c>
      <c r="E40" s="110">
        <v>4.96</v>
      </c>
      <c r="F40" s="110">
        <v>4.6100000000000003</v>
      </c>
      <c r="G40" s="110">
        <v>4.6100000000000003</v>
      </c>
      <c r="H40" s="110">
        <v>4.28</v>
      </c>
      <c r="I40" s="110">
        <v>4.28</v>
      </c>
    </row>
    <row r="41" spans="1:9" x14ac:dyDescent="0.25">
      <c r="A41" s="109">
        <v>31</v>
      </c>
      <c r="B41" s="110">
        <v>5.5</v>
      </c>
      <c r="C41" s="110">
        <v>5.5</v>
      </c>
      <c r="D41" s="110">
        <v>5.12</v>
      </c>
      <c r="E41" s="110">
        <v>5.12</v>
      </c>
      <c r="F41" s="110">
        <v>4.7699999999999996</v>
      </c>
      <c r="G41" s="110">
        <v>4.7699999999999996</v>
      </c>
      <c r="H41" s="110">
        <v>4.43</v>
      </c>
      <c r="I41" s="110">
        <v>4.43</v>
      </c>
    </row>
    <row r="42" spans="1:9" x14ac:dyDescent="0.25">
      <c r="A42" s="109">
        <v>32</v>
      </c>
      <c r="B42" s="110">
        <v>5.69</v>
      </c>
      <c r="C42" s="110">
        <v>5.69</v>
      </c>
      <c r="D42" s="110">
        <v>5.3</v>
      </c>
      <c r="E42" s="110">
        <v>5.3</v>
      </c>
      <c r="F42" s="110">
        <v>4.93</v>
      </c>
      <c r="G42" s="110">
        <v>4.93</v>
      </c>
      <c r="H42" s="110">
        <v>4.58</v>
      </c>
      <c r="I42" s="110">
        <v>4.58</v>
      </c>
    </row>
    <row r="43" spans="1:9" x14ac:dyDescent="0.25">
      <c r="A43" s="109">
        <v>33</v>
      </c>
      <c r="B43" s="110">
        <v>5.88</v>
      </c>
      <c r="C43" s="110">
        <v>5.88</v>
      </c>
      <c r="D43" s="110">
        <v>5.48</v>
      </c>
      <c r="E43" s="110">
        <v>5.48</v>
      </c>
      <c r="F43" s="110">
        <v>5.0999999999999996</v>
      </c>
      <c r="G43" s="110">
        <v>5.0999999999999996</v>
      </c>
      <c r="H43" s="110">
        <v>4.7300000000000004</v>
      </c>
      <c r="I43" s="110">
        <v>4.7300000000000004</v>
      </c>
    </row>
    <row r="44" spans="1:9" x14ac:dyDescent="0.25">
      <c r="A44" s="109">
        <v>34</v>
      </c>
      <c r="B44" s="110">
        <v>6.08</v>
      </c>
      <c r="C44" s="110">
        <v>6.08</v>
      </c>
      <c r="D44" s="110">
        <v>5.67</v>
      </c>
      <c r="E44" s="110">
        <v>5.67</v>
      </c>
      <c r="F44" s="110">
        <v>5.27</v>
      </c>
      <c r="G44" s="110">
        <v>5.27</v>
      </c>
      <c r="H44" s="110">
        <v>4.8899999999999997</v>
      </c>
      <c r="I44" s="110">
        <v>4.8899999999999997</v>
      </c>
    </row>
    <row r="45" spans="1:9" x14ac:dyDescent="0.25">
      <c r="A45" s="109">
        <v>35</v>
      </c>
      <c r="B45" s="110">
        <v>6.29</v>
      </c>
      <c r="C45" s="110">
        <v>6.29</v>
      </c>
      <c r="D45" s="110">
        <v>5.86</v>
      </c>
      <c r="E45" s="110">
        <v>5.86</v>
      </c>
      <c r="F45" s="110">
        <v>5.45</v>
      </c>
      <c r="G45" s="110">
        <v>5.45</v>
      </c>
      <c r="H45" s="110">
        <v>5.0599999999999996</v>
      </c>
      <c r="I45" s="110">
        <v>5.0599999999999996</v>
      </c>
    </row>
    <row r="46" spans="1:9" x14ac:dyDescent="0.25">
      <c r="A46" s="109">
        <v>36</v>
      </c>
      <c r="B46" s="110">
        <v>6.51</v>
      </c>
      <c r="C46" s="110">
        <v>6.51</v>
      </c>
      <c r="D46" s="110">
        <v>6.06</v>
      </c>
      <c r="E46" s="110">
        <v>6.06</v>
      </c>
      <c r="F46" s="110">
        <v>5.64</v>
      </c>
      <c r="G46" s="110">
        <v>5.64</v>
      </c>
      <c r="H46" s="110">
        <v>5.23</v>
      </c>
      <c r="I46" s="110">
        <v>5.23</v>
      </c>
    </row>
    <row r="47" spans="1:9" x14ac:dyDescent="0.25">
      <c r="A47" s="109">
        <v>37</v>
      </c>
      <c r="B47" s="110">
        <v>6.73</v>
      </c>
      <c r="C47" s="110">
        <v>6.73</v>
      </c>
      <c r="D47" s="110">
        <v>6.27</v>
      </c>
      <c r="E47" s="110">
        <v>6.27</v>
      </c>
      <c r="F47" s="110">
        <v>5.83</v>
      </c>
      <c r="G47" s="110">
        <v>5.83</v>
      </c>
      <c r="H47" s="110">
        <v>5.41</v>
      </c>
      <c r="I47" s="110">
        <v>5.41</v>
      </c>
    </row>
    <row r="48" spans="1:9" x14ac:dyDescent="0.25">
      <c r="A48" s="109">
        <v>38</v>
      </c>
      <c r="B48" s="110">
        <v>6.97</v>
      </c>
      <c r="C48" s="110">
        <v>6.97</v>
      </c>
      <c r="D48" s="110">
        <v>6.48</v>
      </c>
      <c r="E48" s="110">
        <v>6.48</v>
      </c>
      <c r="F48" s="110">
        <v>6.03</v>
      </c>
      <c r="G48" s="110">
        <v>6.03</v>
      </c>
      <c r="H48" s="110">
        <v>5.59</v>
      </c>
      <c r="I48" s="110">
        <v>5.59</v>
      </c>
    </row>
    <row r="49" spans="1:9" x14ac:dyDescent="0.25">
      <c r="A49" s="109">
        <v>39</v>
      </c>
      <c r="B49" s="110">
        <v>7.21</v>
      </c>
      <c r="C49" s="110">
        <v>7.21</v>
      </c>
      <c r="D49" s="110">
        <v>6.71</v>
      </c>
      <c r="E49" s="110">
        <v>6.71</v>
      </c>
      <c r="F49" s="110">
        <v>6.23</v>
      </c>
      <c r="G49" s="110">
        <v>6.23</v>
      </c>
      <c r="H49" s="110">
        <v>5.78</v>
      </c>
      <c r="I49" s="110">
        <v>5.78</v>
      </c>
    </row>
    <row r="50" spans="1:9" x14ac:dyDescent="0.25">
      <c r="A50" s="109">
        <v>40</v>
      </c>
      <c r="B50" s="110">
        <v>7.45</v>
      </c>
      <c r="C50" s="110">
        <v>7.45</v>
      </c>
      <c r="D50" s="110">
        <v>6.94</v>
      </c>
      <c r="E50" s="110">
        <v>6.94</v>
      </c>
      <c r="F50" s="110">
        <v>6.45</v>
      </c>
      <c r="G50" s="110">
        <v>6.45</v>
      </c>
      <c r="H50" s="110">
        <v>5.98</v>
      </c>
      <c r="I50" s="110">
        <v>5.98</v>
      </c>
    </row>
    <row r="51" spans="1:9" x14ac:dyDescent="0.25">
      <c r="A51" s="109">
        <v>41</v>
      </c>
      <c r="B51" s="110">
        <v>7.71</v>
      </c>
      <c r="C51" s="110">
        <v>7.71</v>
      </c>
      <c r="D51" s="110">
        <v>7.18</v>
      </c>
      <c r="E51" s="110">
        <v>7.18</v>
      </c>
      <c r="F51" s="110">
        <v>6.67</v>
      </c>
      <c r="G51" s="110">
        <v>6.67</v>
      </c>
      <c r="H51" s="110">
        <v>6.18</v>
      </c>
      <c r="I51" s="110">
        <v>6.18</v>
      </c>
    </row>
    <row r="52" spans="1:9" x14ac:dyDescent="0.25">
      <c r="A52" s="109">
        <v>42</v>
      </c>
      <c r="B52" s="110">
        <v>7.98</v>
      </c>
      <c r="C52" s="110">
        <v>7.98</v>
      </c>
      <c r="D52" s="110">
        <v>7.42</v>
      </c>
      <c r="E52" s="110">
        <v>7.42</v>
      </c>
      <c r="F52" s="110">
        <v>6.9</v>
      </c>
      <c r="G52" s="110">
        <v>6.9</v>
      </c>
      <c r="H52" s="110">
        <v>6.39</v>
      </c>
      <c r="I52" s="110">
        <v>6.39</v>
      </c>
    </row>
    <row r="53" spans="1:9" x14ac:dyDescent="0.25">
      <c r="A53" s="109">
        <v>43</v>
      </c>
      <c r="B53" s="110">
        <v>8.26</v>
      </c>
      <c r="C53" s="110">
        <v>8.26</v>
      </c>
      <c r="D53" s="110">
        <v>7.68</v>
      </c>
      <c r="E53" s="110">
        <v>7.68</v>
      </c>
      <c r="F53" s="110">
        <v>7.13</v>
      </c>
      <c r="G53" s="110">
        <v>7.13</v>
      </c>
      <c r="H53" s="110">
        <v>6.61</v>
      </c>
      <c r="I53" s="110">
        <v>6.61</v>
      </c>
    </row>
    <row r="54" spans="1:9" x14ac:dyDescent="0.25">
      <c r="A54" s="109">
        <v>44</v>
      </c>
      <c r="B54" s="110">
        <v>8.5399999999999991</v>
      </c>
      <c r="C54" s="110">
        <v>8.5399999999999991</v>
      </c>
      <c r="D54" s="110">
        <v>7.95</v>
      </c>
      <c r="E54" s="110">
        <v>7.95</v>
      </c>
      <c r="F54" s="110">
        <v>7.38</v>
      </c>
      <c r="G54" s="110">
        <v>7.38</v>
      </c>
      <c r="H54" s="110">
        <v>6.84</v>
      </c>
      <c r="I54" s="110">
        <v>6.84</v>
      </c>
    </row>
    <row r="55" spans="1:9" x14ac:dyDescent="0.25">
      <c r="A55" s="109">
        <v>45</v>
      </c>
      <c r="B55" s="110">
        <v>8.84</v>
      </c>
      <c r="C55" s="110">
        <v>8.84</v>
      </c>
      <c r="D55" s="110">
        <v>8.2200000000000006</v>
      </c>
      <c r="E55" s="110">
        <v>8.2200000000000006</v>
      </c>
      <c r="F55" s="110">
        <v>7.63</v>
      </c>
      <c r="G55" s="110">
        <v>7.63</v>
      </c>
      <c r="H55" s="110">
        <v>7.08</v>
      </c>
      <c r="I55" s="110">
        <v>7.08</v>
      </c>
    </row>
    <row r="56" spans="1:9" x14ac:dyDescent="0.25">
      <c r="A56" s="109">
        <v>46</v>
      </c>
      <c r="B56" s="110">
        <v>9.15</v>
      </c>
      <c r="C56" s="110">
        <v>9.15</v>
      </c>
      <c r="D56" s="110">
        <v>8.51</v>
      </c>
      <c r="E56" s="110">
        <v>8.51</v>
      </c>
      <c r="F56" s="110">
        <v>7.9</v>
      </c>
      <c r="G56" s="110">
        <v>7.9</v>
      </c>
      <c r="H56" s="110">
        <v>7.32</v>
      </c>
      <c r="I56" s="110">
        <v>7.32</v>
      </c>
    </row>
    <row r="57" spans="1:9" x14ac:dyDescent="0.25">
      <c r="A57" s="109">
        <v>47</v>
      </c>
      <c r="B57" s="110">
        <v>9.4700000000000006</v>
      </c>
      <c r="C57" s="110">
        <v>9.4700000000000006</v>
      </c>
      <c r="D57" s="110">
        <v>8.81</v>
      </c>
      <c r="E57" s="110">
        <v>8.81</v>
      </c>
      <c r="F57" s="110">
        <v>8.17</v>
      </c>
      <c r="G57" s="110">
        <v>8.17</v>
      </c>
      <c r="H57" s="110">
        <v>7.57</v>
      </c>
      <c r="I57" s="110">
        <v>7.57</v>
      </c>
    </row>
    <row r="58" spans="1:9" x14ac:dyDescent="0.25">
      <c r="A58" s="109">
        <v>48</v>
      </c>
      <c r="B58" s="110">
        <v>9.81</v>
      </c>
      <c r="C58" s="110">
        <v>9.81</v>
      </c>
      <c r="D58" s="110">
        <v>9.11</v>
      </c>
      <c r="E58" s="110">
        <v>9.11</v>
      </c>
      <c r="F58" s="110">
        <v>8.4600000000000009</v>
      </c>
      <c r="G58" s="110">
        <v>8.4600000000000009</v>
      </c>
      <c r="H58" s="110">
        <v>7.83</v>
      </c>
      <c r="I58" s="110">
        <v>7.83</v>
      </c>
    </row>
    <row r="59" spans="1:9" x14ac:dyDescent="0.25">
      <c r="A59" s="109">
        <v>49</v>
      </c>
      <c r="B59" s="110">
        <v>10.15</v>
      </c>
      <c r="C59" s="110">
        <v>10.15</v>
      </c>
      <c r="D59" s="110">
        <v>9.43</v>
      </c>
      <c r="E59" s="110">
        <v>9.43</v>
      </c>
      <c r="F59" s="110">
        <v>8.75</v>
      </c>
      <c r="G59" s="110">
        <v>8.75</v>
      </c>
      <c r="H59" s="110">
        <v>8.11</v>
      </c>
      <c r="I59" s="110">
        <v>8.11</v>
      </c>
    </row>
    <row r="60" spans="1:9" x14ac:dyDescent="0.25">
      <c r="A60" s="109">
        <v>50</v>
      </c>
      <c r="B60" s="110">
        <v>10.51</v>
      </c>
      <c r="C60" s="110">
        <v>10.51</v>
      </c>
      <c r="D60" s="110">
        <v>9.77</v>
      </c>
      <c r="E60" s="110">
        <v>9.77</v>
      </c>
      <c r="F60" s="110">
        <v>9.06</v>
      </c>
      <c r="G60" s="110">
        <v>9.06</v>
      </c>
      <c r="H60" s="110">
        <v>8.39</v>
      </c>
      <c r="I60" s="110">
        <v>8.39</v>
      </c>
    </row>
    <row r="61" spans="1:9" x14ac:dyDescent="0.25">
      <c r="A61" s="109">
        <v>51</v>
      </c>
      <c r="B61" s="110">
        <v>10.89</v>
      </c>
      <c r="C61" s="110">
        <v>10.89</v>
      </c>
      <c r="D61" s="110">
        <v>10.11</v>
      </c>
      <c r="E61" s="110">
        <v>10.11</v>
      </c>
      <c r="F61" s="110">
        <v>9.3800000000000008</v>
      </c>
      <c r="G61" s="110">
        <v>9.3800000000000008</v>
      </c>
      <c r="H61" s="110">
        <v>8.68</v>
      </c>
      <c r="I61" s="110">
        <v>8.68</v>
      </c>
    </row>
    <row r="62" spans="1:9" x14ac:dyDescent="0.25">
      <c r="A62" s="109">
        <v>52</v>
      </c>
      <c r="B62" s="110">
        <v>11.28</v>
      </c>
      <c r="C62" s="110">
        <v>11.28</v>
      </c>
      <c r="D62" s="110">
        <v>10.47</v>
      </c>
      <c r="E62" s="110">
        <v>10.47</v>
      </c>
      <c r="F62" s="110">
        <v>9.7100000000000009</v>
      </c>
      <c r="G62" s="110">
        <v>9.7100000000000009</v>
      </c>
      <c r="H62" s="110">
        <v>8.99</v>
      </c>
      <c r="I62" s="110">
        <v>8.99</v>
      </c>
    </row>
    <row r="63" spans="1:9" x14ac:dyDescent="0.25">
      <c r="A63" s="109">
        <v>53</v>
      </c>
      <c r="B63" s="110">
        <v>11.68</v>
      </c>
      <c r="C63" s="110">
        <v>11.68</v>
      </c>
      <c r="D63" s="110">
        <v>10.85</v>
      </c>
      <c r="E63" s="110">
        <v>10.85</v>
      </c>
      <c r="F63" s="110">
        <v>10.06</v>
      </c>
      <c r="G63" s="110">
        <v>10.06</v>
      </c>
      <c r="H63" s="110">
        <v>9.31</v>
      </c>
      <c r="I63" s="110">
        <v>9.31</v>
      </c>
    </row>
    <row r="64" spans="1:9" x14ac:dyDescent="0.25">
      <c r="A64" s="109">
        <v>54</v>
      </c>
      <c r="B64" s="110">
        <v>12.11</v>
      </c>
      <c r="C64" s="110">
        <v>12.11</v>
      </c>
      <c r="D64" s="110">
        <v>11.24</v>
      </c>
      <c r="E64" s="110">
        <v>11.24</v>
      </c>
      <c r="F64" s="110">
        <v>10.42</v>
      </c>
      <c r="G64" s="110">
        <v>10.42</v>
      </c>
      <c r="H64" s="110">
        <v>9.64</v>
      </c>
      <c r="I64" s="110">
        <v>9.64</v>
      </c>
    </row>
    <row r="65" spans="1:9" x14ac:dyDescent="0.25">
      <c r="A65" s="109">
        <v>55</v>
      </c>
      <c r="B65" s="110">
        <v>12.55</v>
      </c>
      <c r="C65" s="110">
        <v>12.55</v>
      </c>
      <c r="D65" s="110">
        <v>11.65</v>
      </c>
      <c r="E65" s="110">
        <v>11.65</v>
      </c>
      <c r="F65" s="110">
        <v>10.8</v>
      </c>
      <c r="G65" s="110">
        <v>10.8</v>
      </c>
      <c r="H65" s="110">
        <v>9.99</v>
      </c>
      <c r="I65" s="110">
        <v>9.99</v>
      </c>
    </row>
    <row r="66" spans="1:9" x14ac:dyDescent="0.25">
      <c r="A66" s="109">
        <v>56</v>
      </c>
      <c r="B66" s="110">
        <v>13.01</v>
      </c>
      <c r="C66" s="110">
        <v>13.01</v>
      </c>
      <c r="D66" s="110">
        <v>12.07</v>
      </c>
      <c r="E66" s="110">
        <v>12.07</v>
      </c>
      <c r="F66" s="110">
        <v>11.19</v>
      </c>
      <c r="G66" s="110">
        <v>11.19</v>
      </c>
      <c r="H66" s="110">
        <v>10.35</v>
      </c>
      <c r="I66" s="110">
        <v>10.35</v>
      </c>
    </row>
    <row r="67" spans="1:9" x14ac:dyDescent="0.25">
      <c r="A67" s="109">
        <v>57</v>
      </c>
      <c r="B67" s="110">
        <v>13.49</v>
      </c>
      <c r="C67" s="110">
        <v>13.49</v>
      </c>
      <c r="D67" s="110">
        <v>12.52</v>
      </c>
      <c r="E67" s="110">
        <v>12.52</v>
      </c>
      <c r="F67" s="110">
        <v>11.6</v>
      </c>
      <c r="G67" s="110">
        <v>11.6</v>
      </c>
      <c r="H67" s="110">
        <v>10.72</v>
      </c>
      <c r="I67" s="110">
        <v>10.72</v>
      </c>
    </row>
    <row r="68" spans="1:9" x14ac:dyDescent="0.25">
      <c r="A68" s="109">
        <v>58</v>
      </c>
      <c r="B68" s="110">
        <v>13.99</v>
      </c>
      <c r="C68" s="110">
        <v>13.99</v>
      </c>
      <c r="D68" s="110">
        <v>12.98</v>
      </c>
      <c r="E68" s="110">
        <v>12.98</v>
      </c>
      <c r="F68" s="110">
        <v>12.03</v>
      </c>
      <c r="G68" s="110">
        <v>12.03</v>
      </c>
      <c r="H68" s="110">
        <v>11.12</v>
      </c>
      <c r="I68" s="110">
        <v>11.12</v>
      </c>
    </row>
    <row r="69" spans="1:9" x14ac:dyDescent="0.25">
      <c r="A69" s="109">
        <v>59</v>
      </c>
      <c r="B69" s="110">
        <v>14.52</v>
      </c>
      <c r="C69" s="110">
        <v>14.52</v>
      </c>
      <c r="D69" s="110">
        <v>13.47</v>
      </c>
      <c r="E69" s="110">
        <v>13.47</v>
      </c>
      <c r="F69" s="110">
        <v>12.48</v>
      </c>
      <c r="G69" s="110">
        <v>12.48</v>
      </c>
      <c r="H69" s="110">
        <v>11.53</v>
      </c>
      <c r="I69" s="110">
        <v>11.53</v>
      </c>
    </row>
    <row r="70" spans="1:9" x14ac:dyDescent="0.25">
      <c r="A70" s="109">
        <v>60</v>
      </c>
      <c r="B70" s="110">
        <v>15.08</v>
      </c>
      <c r="C70" s="110">
        <v>15.08</v>
      </c>
      <c r="D70" s="110">
        <v>13.99</v>
      </c>
      <c r="E70" s="110">
        <v>13.99</v>
      </c>
      <c r="F70" s="110">
        <v>12.95</v>
      </c>
      <c r="G70" s="110">
        <v>12.95</v>
      </c>
      <c r="H70" s="110">
        <v>11.97</v>
      </c>
      <c r="I70" s="110">
        <v>11.97</v>
      </c>
    </row>
    <row r="71" spans="1:9" x14ac:dyDescent="0.25">
      <c r="A71" s="109">
        <v>61</v>
      </c>
      <c r="B71" s="110">
        <v>15.66</v>
      </c>
      <c r="C71" s="110">
        <v>15.66</v>
      </c>
      <c r="D71" s="110">
        <v>14.52</v>
      </c>
      <c r="E71" s="110">
        <v>14.52</v>
      </c>
      <c r="F71" s="110">
        <v>13.45</v>
      </c>
      <c r="G71" s="110">
        <v>13.45</v>
      </c>
      <c r="H71" s="110">
        <v>12.43</v>
      </c>
      <c r="I71" s="110">
        <v>12.43</v>
      </c>
    </row>
    <row r="72" spans="1:9" x14ac:dyDescent="0.25">
      <c r="A72" s="109">
        <v>62</v>
      </c>
      <c r="B72" s="110">
        <v>16.28</v>
      </c>
      <c r="C72" s="110">
        <v>16.28</v>
      </c>
      <c r="D72" s="110">
        <v>15.09</v>
      </c>
      <c r="E72" s="110">
        <v>15.09</v>
      </c>
      <c r="F72" s="110">
        <v>13.97</v>
      </c>
      <c r="G72" s="110">
        <v>13.97</v>
      </c>
      <c r="H72" s="110">
        <v>12.91</v>
      </c>
      <c r="I72" s="110">
        <v>12.91</v>
      </c>
    </row>
    <row r="73" spans="1:9" x14ac:dyDescent="0.25">
      <c r="A73" s="109">
        <v>63</v>
      </c>
      <c r="B73" s="110">
        <v>16.93</v>
      </c>
      <c r="C73" s="110">
        <v>16.93</v>
      </c>
      <c r="D73" s="110">
        <v>15.7</v>
      </c>
      <c r="E73" s="110">
        <v>15.7</v>
      </c>
      <c r="F73" s="110">
        <v>14.53</v>
      </c>
      <c r="G73" s="110">
        <v>14.53</v>
      </c>
      <c r="H73" s="110">
        <v>13.42</v>
      </c>
      <c r="I73" s="110">
        <v>13.42</v>
      </c>
    </row>
    <row r="74" spans="1:9" x14ac:dyDescent="0.25">
      <c r="A74" s="109">
        <v>64</v>
      </c>
      <c r="B74" s="110">
        <v>17.62</v>
      </c>
      <c r="C74" s="110">
        <v>17.62</v>
      </c>
      <c r="D74" s="110">
        <v>16.329999999999998</v>
      </c>
      <c r="E74" s="110">
        <v>16.329999999999998</v>
      </c>
      <c r="F74" s="110">
        <v>15.11</v>
      </c>
      <c r="G74" s="110">
        <v>15.11</v>
      </c>
      <c r="H74" s="110">
        <v>13.96</v>
      </c>
      <c r="I74" s="110">
        <v>13.96</v>
      </c>
    </row>
    <row r="75" spans="1:9" x14ac:dyDescent="0.25">
      <c r="A75" s="109">
        <v>65</v>
      </c>
      <c r="B75" s="110">
        <v>17.649999999999999</v>
      </c>
      <c r="C75" s="110">
        <v>17.649999999999999</v>
      </c>
      <c r="D75" s="110">
        <v>17.010000000000002</v>
      </c>
      <c r="E75" s="110">
        <v>17.010000000000002</v>
      </c>
      <c r="F75" s="110">
        <v>15.74</v>
      </c>
      <c r="G75" s="110">
        <v>15.74</v>
      </c>
      <c r="H75" s="110">
        <v>14.53</v>
      </c>
      <c r="I75" s="110">
        <v>14.53</v>
      </c>
    </row>
    <row r="76" spans="1:9" x14ac:dyDescent="0.25">
      <c r="A76" s="109">
        <v>66</v>
      </c>
      <c r="B76" s="110">
        <v>16.989999999999998</v>
      </c>
      <c r="C76" s="110">
        <v>16.989999999999998</v>
      </c>
      <c r="D76" s="110">
        <v>17.03</v>
      </c>
      <c r="E76" s="110">
        <v>17.03</v>
      </c>
      <c r="F76" s="110">
        <v>16.399999999999999</v>
      </c>
      <c r="G76" s="110">
        <v>16.399999999999999</v>
      </c>
      <c r="H76" s="110">
        <v>15.14</v>
      </c>
      <c r="I76" s="110">
        <v>15.14</v>
      </c>
    </row>
    <row r="77" spans="1:9" x14ac:dyDescent="0.25">
      <c r="A77" s="109">
        <v>67</v>
      </c>
      <c r="B77" s="110">
        <v>16.34</v>
      </c>
      <c r="C77" s="110">
        <v>16.34</v>
      </c>
      <c r="D77" s="110">
        <v>16.37</v>
      </c>
      <c r="E77" s="110">
        <v>16.37</v>
      </c>
      <c r="F77" s="110">
        <v>16.41</v>
      </c>
      <c r="G77" s="110">
        <v>16.41</v>
      </c>
      <c r="H77" s="110">
        <v>15.79</v>
      </c>
      <c r="I77" s="110">
        <v>15.79</v>
      </c>
    </row>
    <row r="78" spans="1:9" x14ac:dyDescent="0.25">
      <c r="A78" s="109">
        <v>68</v>
      </c>
      <c r="B78" s="110">
        <v>15.69</v>
      </c>
      <c r="C78" s="110">
        <v>15.69</v>
      </c>
      <c r="D78" s="110">
        <v>15.71</v>
      </c>
      <c r="E78" s="110">
        <v>15.71</v>
      </c>
      <c r="F78" s="110">
        <v>15.75</v>
      </c>
      <c r="G78" s="110">
        <v>15.75</v>
      </c>
      <c r="H78" s="110">
        <v>15.79</v>
      </c>
      <c r="I78" s="110">
        <v>15.79</v>
      </c>
    </row>
    <row r="79" spans="1:9" x14ac:dyDescent="0.25">
      <c r="A79" s="109">
        <v>69</v>
      </c>
      <c r="B79" s="110">
        <v>15.06</v>
      </c>
      <c r="C79" s="110">
        <v>15.06</v>
      </c>
      <c r="D79" s="110">
        <v>15.07</v>
      </c>
      <c r="E79" s="110">
        <v>15.07</v>
      </c>
      <c r="F79" s="110">
        <v>15.09</v>
      </c>
      <c r="G79" s="110">
        <v>15.09</v>
      </c>
      <c r="H79" s="110">
        <v>15.13</v>
      </c>
      <c r="I79" s="110">
        <v>15.13</v>
      </c>
    </row>
    <row r="80" spans="1:9" x14ac:dyDescent="0.25">
      <c r="A80" s="109">
        <v>70</v>
      </c>
      <c r="B80" s="110">
        <v>14.43</v>
      </c>
      <c r="C80" s="110">
        <v>14.43</v>
      </c>
      <c r="D80" s="110">
        <v>14.43</v>
      </c>
      <c r="E80" s="110">
        <v>14.43</v>
      </c>
      <c r="F80" s="110">
        <v>14.44</v>
      </c>
      <c r="G80" s="110">
        <v>14.44</v>
      </c>
      <c r="H80" s="110">
        <v>14.47</v>
      </c>
      <c r="I80" s="110">
        <v>14.47</v>
      </c>
    </row>
    <row r="81" spans="1:9" x14ac:dyDescent="0.25">
      <c r="A81" s="109">
        <v>71</v>
      </c>
      <c r="B81" s="110">
        <v>13.8</v>
      </c>
      <c r="C81" s="110">
        <v>13.8</v>
      </c>
      <c r="D81" s="110">
        <v>13.8</v>
      </c>
      <c r="E81" s="110">
        <v>13.8</v>
      </c>
      <c r="F81" s="110">
        <v>13.8</v>
      </c>
      <c r="G81" s="110">
        <v>13.8</v>
      </c>
      <c r="H81" s="110">
        <v>13.82</v>
      </c>
      <c r="I81" s="110">
        <v>13.82</v>
      </c>
    </row>
    <row r="82" spans="1:9" x14ac:dyDescent="0.25">
      <c r="A82" s="109">
        <v>72</v>
      </c>
      <c r="B82" s="110">
        <v>13.18</v>
      </c>
      <c r="C82" s="110">
        <v>13.18</v>
      </c>
      <c r="D82" s="110">
        <v>13.18</v>
      </c>
      <c r="E82" s="110">
        <v>13.18</v>
      </c>
      <c r="F82" s="110">
        <v>13.18</v>
      </c>
      <c r="G82" s="110">
        <v>13.18</v>
      </c>
      <c r="H82" s="110">
        <v>13.19</v>
      </c>
      <c r="I82" s="110">
        <v>13.19</v>
      </c>
    </row>
    <row r="83" spans="1:9" x14ac:dyDescent="0.25">
      <c r="A83" s="109">
        <v>73</v>
      </c>
      <c r="B83" s="110">
        <v>12.57</v>
      </c>
      <c r="C83" s="110">
        <v>12.57</v>
      </c>
      <c r="D83" s="110">
        <v>12.57</v>
      </c>
      <c r="E83" s="110">
        <v>12.57</v>
      </c>
      <c r="F83" s="110">
        <v>12.57</v>
      </c>
      <c r="G83" s="110">
        <v>12.57</v>
      </c>
      <c r="H83" s="110">
        <v>12.57</v>
      </c>
      <c r="I83" s="110">
        <v>12.57</v>
      </c>
    </row>
    <row r="84" spans="1:9" x14ac:dyDescent="0.25">
      <c r="A84" s="109">
        <v>74</v>
      </c>
      <c r="B84" s="110">
        <v>11.96</v>
      </c>
      <c r="C84" s="110">
        <v>11.96</v>
      </c>
      <c r="D84" s="110">
        <v>11.96</v>
      </c>
      <c r="E84" s="110">
        <v>11.96</v>
      </c>
      <c r="F84" s="110">
        <v>11.96</v>
      </c>
      <c r="G84" s="110">
        <v>11.96</v>
      </c>
      <c r="H84" s="110">
        <v>11.96</v>
      </c>
      <c r="I84" s="110">
        <v>11.96</v>
      </c>
    </row>
    <row r="85" spans="1:9" x14ac:dyDescent="0.25">
      <c r="A85" s="109">
        <v>75</v>
      </c>
      <c r="B85" s="110">
        <v>11.37</v>
      </c>
      <c r="C85" s="110">
        <v>11.37</v>
      </c>
      <c r="D85" s="110">
        <v>11.37</v>
      </c>
      <c r="E85" s="110">
        <v>11.37</v>
      </c>
      <c r="F85" s="110">
        <v>11.37</v>
      </c>
      <c r="G85" s="110">
        <v>11.37</v>
      </c>
      <c r="H85" s="110">
        <v>11.37</v>
      </c>
      <c r="I85" s="110">
        <v>11.37</v>
      </c>
    </row>
  </sheetData>
  <conditionalFormatting sqref="A6:A21">
    <cfRule type="expression" dxfId="525" priority="1" stopIfTrue="1">
      <formula>MOD(ROW(),2)=0</formula>
    </cfRule>
    <cfRule type="expression" dxfId="524" priority="2" stopIfTrue="1">
      <formula>MOD(ROW(),2)&lt;&gt;0</formula>
    </cfRule>
  </conditionalFormatting>
  <conditionalFormatting sqref="A26:A85">
    <cfRule type="expression" dxfId="523" priority="7" stopIfTrue="1">
      <formula>MOD(ROW(),2)=0</formula>
    </cfRule>
    <cfRule type="expression" dxfId="522" priority="8" stopIfTrue="1">
      <formula>MOD(ROW(),2)&lt;&gt;0</formula>
    </cfRule>
  </conditionalFormatting>
  <conditionalFormatting sqref="B18:B21">
    <cfRule type="expression" dxfId="521" priority="5" stopIfTrue="1">
      <formula>MOD(ROW(),2)=0</formula>
    </cfRule>
    <cfRule type="expression" dxfId="520" priority="6" stopIfTrue="1">
      <formula>MOD(ROW(),2)&lt;&gt;0</formula>
    </cfRule>
  </conditionalFormatting>
  <conditionalFormatting sqref="B6:I21">
    <cfRule type="expression" dxfId="519" priority="21" stopIfTrue="1">
      <formula>MOD(ROW(),2)=0</formula>
    </cfRule>
    <cfRule type="expression" dxfId="518" priority="22" stopIfTrue="1">
      <formula>MOD(ROW(),2)&lt;&gt;0</formula>
    </cfRule>
  </conditionalFormatting>
  <conditionalFormatting sqref="B26:I85">
    <cfRule type="expression" dxfId="517" priority="9" stopIfTrue="1">
      <formula>MOD(ROW(),2)=0</formula>
    </cfRule>
    <cfRule type="expression" dxfId="516" priority="10" stopIfTrue="1">
      <formula>MOD(ROW(),2)&lt;&gt;0</formula>
    </cfRule>
  </conditionalFormatting>
  <hyperlinks>
    <hyperlink ref="B24" location="Assumptions!A1" display="Assumptions" xr:uid="{188C18B5-D890-4ADC-B547-C93EFB6C9DC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11"/>
  <dimension ref="A1:I79"/>
  <sheetViews>
    <sheetView workbookViewId="0"/>
  </sheetViews>
  <sheetFormatPr defaultColWidth="10" defaultRowHeight="12.5" x14ac:dyDescent="0.25"/>
  <cols>
    <col min="1" max="1" width="31.54296875" style="28" customWidth="1"/>
    <col min="2" max="3" width="22.54296875" style="28" customWidth="1"/>
    <col min="4" max="9" width="22.453125" style="28" customWidth="1"/>
    <col min="10" max="16384" width="10" style="28"/>
  </cols>
  <sheetData>
    <row r="1" spans="1:9" ht="20" x14ac:dyDescent="0.4">
      <c r="A1" s="53" t="s">
        <v>0</v>
      </c>
      <c r="B1" s="54"/>
      <c r="C1" s="54"/>
      <c r="D1" s="54"/>
    </row>
    <row r="2" spans="1:9" ht="15.5" x14ac:dyDescent="0.35">
      <c r="A2" s="55" t="str">
        <f>IF(title="&gt; Enter workbook title here","Enter workbook title in Cover sheet",title)</f>
        <v>Northern Ireland Civil Service Pension Schemes - Consolidated Factor Spreadsheet</v>
      </c>
      <c r="B2" s="56"/>
      <c r="C2" s="56"/>
      <c r="D2" s="56"/>
    </row>
    <row r="3" spans="1:9" ht="15.5" x14ac:dyDescent="0.35">
      <c r="A3" s="57" t="str">
        <f>TABLE_FACTOR_TYPE_1&amp;" - x-"&amp;TABLE_SERIES_NUMBER_1</f>
        <v>Scheme pays AA - x-603</v>
      </c>
      <c r="B3" s="56"/>
      <c r="C3" s="56"/>
      <c r="D3" s="56"/>
    </row>
    <row r="4" spans="1:9" x14ac:dyDescent="0.25">
      <c r="A4" s="58"/>
    </row>
    <row r="6" spans="1:9" ht="13" x14ac:dyDescent="0.3">
      <c r="A6" s="92" t="s">
        <v>716</v>
      </c>
      <c r="B6" s="181" t="s">
        <v>717</v>
      </c>
      <c r="C6" s="181"/>
      <c r="D6" s="181"/>
      <c r="E6" s="181"/>
      <c r="F6" s="181"/>
      <c r="G6" s="181"/>
      <c r="H6" s="181"/>
      <c r="I6" s="181"/>
    </row>
    <row r="7" spans="1:9" x14ac:dyDescent="0.25">
      <c r="A7" s="94" t="s">
        <v>797</v>
      </c>
      <c r="B7" s="181" t="s">
        <v>316</v>
      </c>
      <c r="C7" s="181"/>
      <c r="D7" s="181"/>
      <c r="E7" s="181"/>
      <c r="F7" s="181"/>
      <c r="G7" s="181"/>
      <c r="H7" s="181"/>
      <c r="I7" s="181"/>
    </row>
    <row r="8" spans="1:9" x14ac:dyDescent="0.25">
      <c r="A8" s="94" t="s">
        <v>798</v>
      </c>
      <c r="B8" s="181" t="s">
        <v>92</v>
      </c>
      <c r="C8" s="181"/>
      <c r="D8" s="181"/>
      <c r="E8" s="181"/>
      <c r="F8" s="181"/>
      <c r="G8" s="181"/>
      <c r="H8" s="181"/>
      <c r="I8" s="181"/>
    </row>
    <row r="9" spans="1:9" x14ac:dyDescent="0.25">
      <c r="A9" s="94" t="s">
        <v>300</v>
      </c>
      <c r="B9" s="181" t="s">
        <v>551</v>
      </c>
      <c r="C9" s="181"/>
      <c r="D9" s="181"/>
      <c r="E9" s="181"/>
      <c r="F9" s="181"/>
      <c r="G9" s="181"/>
      <c r="H9" s="181"/>
      <c r="I9" s="181"/>
    </row>
    <row r="10" spans="1:9" x14ac:dyDescent="0.25">
      <c r="A10" s="94" t="s">
        <v>6</v>
      </c>
      <c r="B10" s="181" t="s">
        <v>557</v>
      </c>
      <c r="C10" s="181"/>
      <c r="D10" s="181"/>
      <c r="E10" s="181"/>
      <c r="F10" s="181"/>
      <c r="G10" s="181"/>
      <c r="H10" s="181"/>
      <c r="I10" s="181"/>
    </row>
    <row r="11" spans="1:9" x14ac:dyDescent="0.25">
      <c r="A11" s="94" t="s">
        <v>301</v>
      </c>
      <c r="B11" s="181" t="s">
        <v>334</v>
      </c>
      <c r="C11" s="181"/>
      <c r="D11" s="181"/>
      <c r="E11" s="181"/>
      <c r="F11" s="181"/>
      <c r="G11" s="181"/>
      <c r="H11" s="181"/>
      <c r="I11" s="181"/>
    </row>
    <row r="12" spans="1:9" x14ac:dyDescent="0.25">
      <c r="A12" s="94" t="s">
        <v>302</v>
      </c>
      <c r="B12" s="181" t="s">
        <v>558</v>
      </c>
      <c r="C12" s="181"/>
      <c r="D12" s="181"/>
      <c r="E12" s="181"/>
      <c r="F12" s="181"/>
      <c r="G12" s="181"/>
      <c r="H12" s="181"/>
      <c r="I12" s="181"/>
    </row>
    <row r="13" spans="1:9" x14ac:dyDescent="0.25">
      <c r="A13" s="94" t="s">
        <v>813</v>
      </c>
      <c r="B13" s="181">
        <v>0</v>
      </c>
      <c r="C13" s="181"/>
      <c r="D13" s="181"/>
      <c r="E13" s="181"/>
      <c r="F13" s="181"/>
      <c r="G13" s="181"/>
      <c r="H13" s="181"/>
      <c r="I13" s="181"/>
    </row>
    <row r="14" spans="1:9" x14ac:dyDescent="0.25">
      <c r="A14" s="94" t="s">
        <v>304</v>
      </c>
      <c r="B14" s="181">
        <v>603</v>
      </c>
      <c r="C14" s="181"/>
      <c r="D14" s="181"/>
      <c r="E14" s="181"/>
      <c r="F14" s="181"/>
      <c r="G14" s="181"/>
      <c r="H14" s="181"/>
      <c r="I14" s="181"/>
    </row>
    <row r="15" spans="1:9" x14ac:dyDescent="0.25">
      <c r="A15" s="94" t="s">
        <v>727</v>
      </c>
      <c r="B15" s="181" t="s">
        <v>559</v>
      </c>
      <c r="C15" s="181"/>
      <c r="D15" s="181"/>
      <c r="E15" s="181"/>
      <c r="F15" s="181"/>
      <c r="G15" s="181"/>
      <c r="H15" s="181"/>
      <c r="I15" s="181"/>
    </row>
    <row r="16" spans="1:9" x14ac:dyDescent="0.25">
      <c r="A16" s="94" t="s">
        <v>306</v>
      </c>
      <c r="B16" s="181" t="s">
        <v>560</v>
      </c>
      <c r="C16" s="181"/>
      <c r="D16" s="181"/>
      <c r="E16" s="181"/>
      <c r="F16" s="181"/>
      <c r="G16" s="181"/>
      <c r="H16" s="181"/>
      <c r="I16" s="181"/>
    </row>
    <row r="17" spans="1:9" x14ac:dyDescent="0.25">
      <c r="A17" s="94" t="s">
        <v>800</v>
      </c>
      <c r="B17" s="181"/>
      <c r="C17" s="181"/>
      <c r="D17" s="181"/>
      <c r="E17" s="181"/>
      <c r="F17" s="181"/>
      <c r="G17" s="181"/>
      <c r="H17" s="181"/>
      <c r="I17" s="181"/>
    </row>
    <row r="18" spans="1:9" x14ac:dyDescent="0.25">
      <c r="A18" s="94" t="s">
        <v>308</v>
      </c>
      <c r="B18" s="185">
        <v>45135</v>
      </c>
      <c r="C18" s="181"/>
      <c r="D18" s="181"/>
      <c r="E18" s="181"/>
      <c r="F18" s="181"/>
      <c r="G18" s="181"/>
      <c r="H18" s="181"/>
      <c r="I18" s="181"/>
    </row>
    <row r="19" spans="1:9" x14ac:dyDescent="0.25">
      <c r="A19" s="94" t="s">
        <v>309</v>
      </c>
      <c r="B19" s="185">
        <v>45383</v>
      </c>
      <c r="C19" s="181"/>
      <c r="D19" s="181"/>
      <c r="E19" s="181"/>
      <c r="F19" s="181"/>
      <c r="G19" s="181"/>
      <c r="H19" s="181"/>
      <c r="I19" s="181"/>
    </row>
    <row r="20" spans="1:9" x14ac:dyDescent="0.25">
      <c r="A20" s="94" t="s">
        <v>310</v>
      </c>
      <c r="B20" s="181" t="s">
        <v>324</v>
      </c>
      <c r="C20" s="181"/>
      <c r="D20" s="181"/>
      <c r="E20" s="181"/>
      <c r="F20" s="181"/>
      <c r="G20" s="181"/>
      <c r="H20" s="181"/>
      <c r="I20" s="181"/>
    </row>
    <row r="21" spans="1:9" x14ac:dyDescent="0.25">
      <c r="A21" s="87" t="s">
        <v>311</v>
      </c>
      <c r="B21" s="181" t="s">
        <v>325</v>
      </c>
      <c r="C21" s="181"/>
      <c r="D21" s="181"/>
      <c r="E21" s="181"/>
      <c r="F21" s="181"/>
      <c r="G21" s="181"/>
      <c r="H21" s="181"/>
      <c r="I21" s="181"/>
    </row>
    <row r="23" spans="1:9" x14ac:dyDescent="0.25">
      <c r="B23" s="104" t="str">
        <f>HYPERLINK("#'Factor List'!A1","Back to Factor List")</f>
        <v>Back to Factor List</v>
      </c>
    </row>
    <row r="24" spans="1:9" x14ac:dyDescent="0.25">
      <c r="B24" s="104" t="s">
        <v>13</v>
      </c>
    </row>
    <row r="26" spans="1:9" ht="13" x14ac:dyDescent="0.25">
      <c r="A26" s="108" t="s">
        <v>957</v>
      </c>
      <c r="B26" s="108" t="s">
        <v>949</v>
      </c>
      <c r="C26" s="108" t="s">
        <v>951</v>
      </c>
      <c r="D26" s="108" t="s">
        <v>953</v>
      </c>
      <c r="E26" s="108" t="s">
        <v>955</v>
      </c>
      <c r="F26" s="108" t="s">
        <v>950</v>
      </c>
      <c r="G26" s="108" t="s">
        <v>952</v>
      </c>
      <c r="H26" s="108" t="s">
        <v>954</v>
      </c>
      <c r="I26" s="108" t="s">
        <v>956</v>
      </c>
    </row>
    <row r="27" spans="1:9" x14ac:dyDescent="0.25">
      <c r="A27" s="109">
        <v>0</v>
      </c>
      <c r="B27" s="126">
        <v>1</v>
      </c>
      <c r="C27" s="126">
        <v>1</v>
      </c>
      <c r="D27" s="126">
        <v>1</v>
      </c>
      <c r="E27" s="126">
        <v>1</v>
      </c>
      <c r="F27" s="126">
        <v>1</v>
      </c>
      <c r="G27" s="126">
        <v>1</v>
      </c>
      <c r="H27" s="126">
        <v>1</v>
      </c>
      <c r="I27" s="126">
        <v>1</v>
      </c>
    </row>
    <row r="28" spans="1:9" x14ac:dyDescent="0.25">
      <c r="A28" s="109">
        <v>1</v>
      </c>
      <c r="B28" s="126">
        <v>0.94699999999999995</v>
      </c>
      <c r="C28" s="126">
        <v>0.94499999999999995</v>
      </c>
      <c r="D28" s="126">
        <v>0.94399999999999995</v>
      </c>
      <c r="E28" s="126">
        <v>0.94199999999999995</v>
      </c>
      <c r="F28" s="126">
        <v>0.94699999999999995</v>
      </c>
      <c r="G28" s="126">
        <v>0.94499999999999995</v>
      </c>
      <c r="H28" s="126">
        <v>0.94399999999999995</v>
      </c>
      <c r="I28" s="126">
        <v>0.94199999999999995</v>
      </c>
    </row>
    <row r="29" spans="1:9" x14ac:dyDescent="0.25">
      <c r="A29" s="109">
        <v>2</v>
      </c>
      <c r="B29" s="126">
        <v>0.89900000000000002</v>
      </c>
      <c r="C29" s="126">
        <v>0.89600000000000002</v>
      </c>
      <c r="D29" s="126">
        <v>0.89200000000000002</v>
      </c>
      <c r="E29" s="126">
        <v>0.88900000000000001</v>
      </c>
      <c r="F29" s="126">
        <v>0.89900000000000002</v>
      </c>
      <c r="G29" s="126">
        <v>0.89600000000000002</v>
      </c>
      <c r="H29" s="126">
        <v>0.89200000000000002</v>
      </c>
      <c r="I29" s="126">
        <v>0.88900000000000001</v>
      </c>
    </row>
    <row r="30" spans="1:9" x14ac:dyDescent="0.25">
      <c r="A30" s="109">
        <v>3</v>
      </c>
      <c r="B30" s="126">
        <v>0.85499999999999998</v>
      </c>
      <c r="C30" s="126">
        <v>0.85</v>
      </c>
      <c r="D30" s="126">
        <v>0.84499999999999997</v>
      </c>
      <c r="E30" s="126">
        <v>0.84</v>
      </c>
      <c r="F30" s="126">
        <v>0.85499999999999998</v>
      </c>
      <c r="G30" s="126">
        <v>0.85</v>
      </c>
      <c r="H30" s="126">
        <v>0.84499999999999997</v>
      </c>
      <c r="I30" s="126">
        <v>0.84</v>
      </c>
    </row>
    <row r="31" spans="1:9" x14ac:dyDescent="0.25">
      <c r="A31" s="109">
        <v>4</v>
      </c>
      <c r="B31" s="126">
        <v>0.81399999999999995</v>
      </c>
      <c r="C31" s="126">
        <v>0.80800000000000005</v>
      </c>
      <c r="D31" s="126">
        <v>0.80200000000000005</v>
      </c>
      <c r="E31" s="126">
        <v>0.79600000000000004</v>
      </c>
      <c r="F31" s="126">
        <v>0.81399999999999995</v>
      </c>
      <c r="G31" s="126">
        <v>0.80800000000000005</v>
      </c>
      <c r="H31" s="126">
        <v>0.80200000000000005</v>
      </c>
      <c r="I31" s="126">
        <v>0.79600000000000004</v>
      </c>
    </row>
    <row r="32" spans="1:9" x14ac:dyDescent="0.25">
      <c r="A32" s="109">
        <v>5</v>
      </c>
      <c r="B32" s="126">
        <v>0.77600000000000002</v>
      </c>
      <c r="C32" s="126">
        <v>0.77</v>
      </c>
      <c r="D32" s="126">
        <v>0.76300000000000001</v>
      </c>
      <c r="E32" s="126">
        <v>0.75600000000000001</v>
      </c>
      <c r="F32" s="126">
        <v>0.77600000000000002</v>
      </c>
      <c r="G32" s="126">
        <v>0.77</v>
      </c>
      <c r="H32" s="126">
        <v>0.76300000000000001</v>
      </c>
      <c r="I32" s="126">
        <v>0.75600000000000001</v>
      </c>
    </row>
    <row r="33" spans="1:9" x14ac:dyDescent="0.25">
      <c r="A33" s="109">
        <v>6</v>
      </c>
      <c r="B33" s="126">
        <v>0.74099999999999999</v>
      </c>
      <c r="C33" s="126">
        <v>0.73399999999999999</v>
      </c>
      <c r="D33" s="126">
        <v>0.72699999999999998</v>
      </c>
      <c r="E33" s="126">
        <v>0.71899999999999997</v>
      </c>
      <c r="F33" s="126">
        <v>0.74099999999999999</v>
      </c>
      <c r="G33" s="126">
        <v>0.73399999999999999</v>
      </c>
      <c r="H33" s="126">
        <v>0.72699999999999998</v>
      </c>
      <c r="I33" s="126">
        <v>0.71899999999999997</v>
      </c>
    </row>
    <row r="34" spans="1:9" x14ac:dyDescent="0.25">
      <c r="A34" s="109">
        <v>7</v>
      </c>
      <c r="B34" s="126">
        <v>0.70899999999999996</v>
      </c>
      <c r="C34" s="126">
        <v>0.70199999999999996</v>
      </c>
      <c r="D34" s="126">
        <v>0.69399999999999995</v>
      </c>
      <c r="E34" s="126">
        <v>0.68500000000000005</v>
      </c>
      <c r="F34" s="126">
        <v>0.70899999999999996</v>
      </c>
      <c r="G34" s="126">
        <v>0.70199999999999996</v>
      </c>
      <c r="H34" s="126">
        <v>0.69399999999999995</v>
      </c>
      <c r="I34" s="126">
        <v>0.68500000000000005</v>
      </c>
    </row>
    <row r="35" spans="1:9" x14ac:dyDescent="0.25">
      <c r="A35" s="109">
        <v>8</v>
      </c>
      <c r="B35" s="126">
        <v>0.67900000000000005</v>
      </c>
      <c r="C35" s="126">
        <v>0.67100000000000004</v>
      </c>
      <c r="D35" s="126">
        <v>0.66300000000000003</v>
      </c>
      <c r="E35" s="126">
        <v>0.65400000000000003</v>
      </c>
      <c r="F35" s="126">
        <v>0.67900000000000005</v>
      </c>
      <c r="G35" s="126">
        <v>0.67100000000000004</v>
      </c>
      <c r="H35" s="126">
        <v>0.66300000000000003</v>
      </c>
      <c r="I35" s="126">
        <v>0.65400000000000003</v>
      </c>
    </row>
    <row r="36" spans="1:9" x14ac:dyDescent="0.25">
      <c r="A36" s="109">
        <v>9</v>
      </c>
      <c r="B36" s="126">
        <v>0.65100000000000002</v>
      </c>
      <c r="C36" s="126">
        <v>0.64300000000000002</v>
      </c>
      <c r="D36" s="126">
        <v>0.63400000000000001</v>
      </c>
      <c r="E36" s="126">
        <v>0.625</v>
      </c>
      <c r="F36" s="126">
        <v>0.65100000000000002</v>
      </c>
      <c r="G36" s="126">
        <v>0.64300000000000002</v>
      </c>
      <c r="H36" s="126">
        <v>0.63400000000000001</v>
      </c>
      <c r="I36" s="126">
        <v>0.625</v>
      </c>
    </row>
    <row r="37" spans="1:9" x14ac:dyDescent="0.25">
      <c r="A37" s="109">
        <v>10</v>
      </c>
      <c r="B37" s="126">
        <v>0.625</v>
      </c>
      <c r="C37" s="126">
        <v>0.61699999999999999</v>
      </c>
      <c r="D37" s="126">
        <v>0.60799999999999998</v>
      </c>
      <c r="E37" s="126">
        <v>0.59799999999999998</v>
      </c>
      <c r="F37" s="126">
        <v>0.625</v>
      </c>
      <c r="G37" s="126">
        <v>0.61699999999999999</v>
      </c>
      <c r="H37" s="126">
        <v>0.60799999999999998</v>
      </c>
      <c r="I37" s="126">
        <v>0.59799999999999998</v>
      </c>
    </row>
    <row r="38" spans="1:9" x14ac:dyDescent="0.25">
      <c r="A38" s="109">
        <v>11</v>
      </c>
      <c r="B38" s="126">
        <v>0.60099999999999998</v>
      </c>
      <c r="C38" s="126">
        <v>0.59199999999999997</v>
      </c>
      <c r="D38" s="126">
        <v>0.58299999999999996</v>
      </c>
      <c r="E38" s="126">
        <v>0.57299999999999995</v>
      </c>
      <c r="F38" s="126">
        <v>0.60099999999999998</v>
      </c>
      <c r="G38" s="126">
        <v>0.59199999999999997</v>
      </c>
      <c r="H38" s="126">
        <v>0.58299999999999996</v>
      </c>
      <c r="I38" s="126">
        <v>0.57299999999999995</v>
      </c>
    </row>
    <row r="39" spans="1:9" x14ac:dyDescent="0.25">
      <c r="A39" s="109">
        <v>12</v>
      </c>
      <c r="B39" s="126">
        <v>0.57799999999999996</v>
      </c>
      <c r="C39" s="126">
        <v>0.56899999999999995</v>
      </c>
      <c r="D39" s="126">
        <v>0.56000000000000005</v>
      </c>
      <c r="E39" s="126">
        <v>0.55000000000000004</v>
      </c>
      <c r="F39" s="126">
        <v>0.57799999999999996</v>
      </c>
      <c r="G39" s="126">
        <v>0.56899999999999995</v>
      </c>
      <c r="H39" s="126">
        <v>0.56000000000000005</v>
      </c>
      <c r="I39" s="126">
        <v>0.55000000000000004</v>
      </c>
    </row>
    <row r="40" spans="1:9" x14ac:dyDescent="0.25">
      <c r="A40" s="109">
        <v>13</v>
      </c>
      <c r="B40" s="126">
        <v>0.55700000000000005</v>
      </c>
      <c r="C40" s="126">
        <v>0.54700000000000004</v>
      </c>
      <c r="D40" s="126">
        <v>0.53800000000000003</v>
      </c>
      <c r="E40" s="126">
        <v>0.52800000000000002</v>
      </c>
      <c r="F40" s="126">
        <v>0.55700000000000005</v>
      </c>
      <c r="G40" s="126">
        <v>0.54700000000000004</v>
      </c>
      <c r="H40" s="126">
        <v>0.53800000000000003</v>
      </c>
      <c r="I40" s="126">
        <v>0.52800000000000002</v>
      </c>
    </row>
    <row r="41" spans="1:9" x14ac:dyDescent="0.25">
      <c r="A41" s="109">
        <v>14</v>
      </c>
      <c r="B41" s="126">
        <v>0.53600000000000003</v>
      </c>
      <c r="C41" s="126">
        <v>0.52700000000000002</v>
      </c>
      <c r="D41" s="126">
        <v>0.51800000000000002</v>
      </c>
      <c r="E41" s="126">
        <v>0.50800000000000001</v>
      </c>
      <c r="F41" s="126">
        <v>0.53600000000000003</v>
      </c>
      <c r="G41" s="126">
        <v>0.52700000000000002</v>
      </c>
      <c r="H41" s="126">
        <v>0.51800000000000002</v>
      </c>
      <c r="I41" s="126">
        <v>0.50800000000000001</v>
      </c>
    </row>
    <row r="42" spans="1:9" x14ac:dyDescent="0.25">
      <c r="A42" s="109">
        <v>15</v>
      </c>
      <c r="B42" s="126">
        <v>0.51700000000000002</v>
      </c>
      <c r="C42" s="126">
        <v>0.50800000000000001</v>
      </c>
      <c r="D42" s="126">
        <v>0.499</v>
      </c>
      <c r="E42" s="126">
        <v>0.48899999999999999</v>
      </c>
      <c r="F42" s="126">
        <v>0.51700000000000002</v>
      </c>
      <c r="G42" s="126">
        <v>0.50800000000000001</v>
      </c>
      <c r="H42" s="126">
        <v>0.499</v>
      </c>
      <c r="I42" s="126">
        <v>0.48899999999999999</v>
      </c>
    </row>
    <row r="43" spans="1:9" x14ac:dyDescent="0.25">
      <c r="A43" s="109">
        <v>16</v>
      </c>
      <c r="B43" s="126">
        <v>0.5</v>
      </c>
      <c r="C43" s="126">
        <v>0.49</v>
      </c>
      <c r="D43" s="126">
        <v>0.48099999999999998</v>
      </c>
      <c r="E43" s="126">
        <v>0.47099999999999997</v>
      </c>
      <c r="F43" s="126">
        <v>0.5</v>
      </c>
      <c r="G43" s="126">
        <v>0.49</v>
      </c>
      <c r="H43" s="126">
        <v>0.48099999999999998</v>
      </c>
      <c r="I43" s="126">
        <v>0.47099999999999997</v>
      </c>
    </row>
    <row r="44" spans="1:9" x14ac:dyDescent="0.25">
      <c r="A44" s="109">
        <v>17</v>
      </c>
      <c r="B44" s="126">
        <v>0.48299999999999998</v>
      </c>
      <c r="C44" s="126">
        <v>0.47399999999999998</v>
      </c>
      <c r="D44" s="126">
        <v>0.46400000000000002</v>
      </c>
      <c r="E44" s="126">
        <v>0.45400000000000001</v>
      </c>
      <c r="F44" s="126">
        <v>0.48299999999999998</v>
      </c>
      <c r="G44" s="126">
        <v>0.47399999999999998</v>
      </c>
      <c r="H44" s="126">
        <v>0.46400000000000002</v>
      </c>
      <c r="I44" s="126">
        <v>0.45400000000000001</v>
      </c>
    </row>
    <row r="45" spans="1:9" x14ac:dyDescent="0.25">
      <c r="A45" s="109">
        <v>18</v>
      </c>
      <c r="B45" s="126">
        <v>0.46700000000000003</v>
      </c>
      <c r="C45" s="126">
        <v>0.45800000000000002</v>
      </c>
      <c r="D45" s="126">
        <v>0.44800000000000001</v>
      </c>
      <c r="E45" s="126">
        <v>0.438</v>
      </c>
      <c r="F45" s="126">
        <v>0.46700000000000003</v>
      </c>
      <c r="G45" s="126">
        <v>0.45800000000000002</v>
      </c>
      <c r="H45" s="126">
        <v>0.44800000000000001</v>
      </c>
      <c r="I45" s="126">
        <v>0.438</v>
      </c>
    </row>
    <row r="46" spans="1:9" x14ac:dyDescent="0.25">
      <c r="A46" s="109">
        <v>19</v>
      </c>
      <c r="B46" s="126">
        <v>0.45200000000000001</v>
      </c>
      <c r="C46" s="126">
        <v>0.443</v>
      </c>
      <c r="D46" s="126">
        <v>0.433</v>
      </c>
      <c r="E46" s="126">
        <v>0.42299999999999999</v>
      </c>
      <c r="F46" s="126">
        <v>0.45200000000000001</v>
      </c>
      <c r="G46" s="126">
        <v>0.443</v>
      </c>
      <c r="H46" s="126">
        <v>0.433</v>
      </c>
      <c r="I46" s="126">
        <v>0.42299999999999999</v>
      </c>
    </row>
    <row r="47" spans="1:9" x14ac:dyDescent="0.25">
      <c r="A47" s="109">
        <v>20</v>
      </c>
      <c r="B47" s="126">
        <v>0.437</v>
      </c>
      <c r="C47" s="126">
        <v>0.42799999999999999</v>
      </c>
      <c r="D47" s="126">
        <v>0.41899999999999998</v>
      </c>
      <c r="E47" s="126">
        <v>0.40899999999999997</v>
      </c>
      <c r="F47" s="126">
        <v>0.437</v>
      </c>
      <c r="G47" s="126">
        <v>0.42799999999999999</v>
      </c>
      <c r="H47" s="126">
        <v>0.41899999999999998</v>
      </c>
      <c r="I47" s="126">
        <v>0.40899999999999997</v>
      </c>
    </row>
    <row r="48" spans="1:9" x14ac:dyDescent="0.25">
      <c r="A48" s="109">
        <v>21</v>
      </c>
      <c r="B48" s="126">
        <v>0.42399999999999999</v>
      </c>
      <c r="C48" s="126">
        <v>0.41499999999999998</v>
      </c>
      <c r="D48" s="126">
        <v>0.40600000000000003</v>
      </c>
      <c r="E48" s="126">
        <v>0.39600000000000002</v>
      </c>
      <c r="F48" s="126">
        <v>0.42399999999999999</v>
      </c>
      <c r="G48" s="126">
        <v>0.41499999999999998</v>
      </c>
      <c r="H48" s="126">
        <v>0.40600000000000003</v>
      </c>
      <c r="I48" s="126">
        <v>0.39600000000000002</v>
      </c>
    </row>
    <row r="49" spans="1:9" x14ac:dyDescent="0.25">
      <c r="A49" s="109">
        <v>22</v>
      </c>
      <c r="B49" s="126">
        <v>0.41099999999999998</v>
      </c>
      <c r="C49" s="126">
        <v>0.40200000000000002</v>
      </c>
      <c r="D49" s="126">
        <v>0.39300000000000002</v>
      </c>
      <c r="E49" s="126">
        <v>0.38300000000000001</v>
      </c>
      <c r="F49" s="126">
        <v>0.41099999999999998</v>
      </c>
      <c r="G49" s="126">
        <v>0.40200000000000002</v>
      </c>
      <c r="H49" s="126">
        <v>0.39300000000000002</v>
      </c>
      <c r="I49" s="126">
        <v>0.38300000000000001</v>
      </c>
    </row>
    <row r="50" spans="1:9" x14ac:dyDescent="0.25">
      <c r="A50" s="109">
        <v>23</v>
      </c>
      <c r="B50" s="126">
        <v>0.39800000000000002</v>
      </c>
      <c r="C50" s="126">
        <v>0.39</v>
      </c>
      <c r="D50" s="126">
        <v>0.38100000000000001</v>
      </c>
      <c r="E50" s="126">
        <v>0.371</v>
      </c>
      <c r="F50" s="126">
        <v>0.39800000000000002</v>
      </c>
      <c r="G50" s="126">
        <v>0.39</v>
      </c>
      <c r="H50" s="126">
        <v>0.38100000000000001</v>
      </c>
      <c r="I50" s="126">
        <v>0.371</v>
      </c>
    </row>
    <row r="51" spans="1:9" x14ac:dyDescent="0.25">
      <c r="A51" s="109">
        <v>24</v>
      </c>
      <c r="B51" s="126">
        <v>0.38700000000000001</v>
      </c>
      <c r="C51" s="126">
        <v>0.378</v>
      </c>
      <c r="D51" s="126">
        <v>0.36899999999999999</v>
      </c>
      <c r="E51" s="126">
        <v>0.36</v>
      </c>
      <c r="F51" s="126">
        <v>0.38700000000000001</v>
      </c>
      <c r="G51" s="126">
        <v>0.378</v>
      </c>
      <c r="H51" s="126">
        <v>0.36899999999999999</v>
      </c>
      <c r="I51" s="126">
        <v>0.36</v>
      </c>
    </row>
    <row r="52" spans="1:9" x14ac:dyDescent="0.25">
      <c r="A52" s="109">
        <v>25</v>
      </c>
      <c r="B52" s="126">
        <v>0.375</v>
      </c>
      <c r="C52" s="126">
        <v>0.36699999999999999</v>
      </c>
      <c r="D52" s="126">
        <v>0.35799999999999998</v>
      </c>
      <c r="E52" s="126">
        <v>0.34899999999999998</v>
      </c>
      <c r="F52" s="126">
        <v>0.375</v>
      </c>
      <c r="G52" s="126">
        <v>0.36699999999999999</v>
      </c>
      <c r="H52" s="126">
        <v>0.35799999999999998</v>
      </c>
      <c r="I52" s="126">
        <v>0.34899999999999998</v>
      </c>
    </row>
    <row r="53" spans="1:9" x14ac:dyDescent="0.25">
      <c r="A53" s="109">
        <v>26</v>
      </c>
      <c r="B53" s="126">
        <v>0.36499999999999999</v>
      </c>
      <c r="C53" s="126">
        <v>0.35599999999999998</v>
      </c>
      <c r="D53" s="126">
        <v>0.34799999999999998</v>
      </c>
      <c r="E53" s="126">
        <v>0.33900000000000002</v>
      </c>
      <c r="F53" s="126">
        <v>0.36499999999999999</v>
      </c>
      <c r="G53" s="126">
        <v>0.35599999999999998</v>
      </c>
      <c r="H53" s="126">
        <v>0.34799999999999998</v>
      </c>
      <c r="I53" s="126">
        <v>0.33900000000000002</v>
      </c>
    </row>
    <row r="54" spans="1:9" x14ac:dyDescent="0.25">
      <c r="A54" s="109">
        <v>27</v>
      </c>
      <c r="B54" s="126">
        <v>0.35499999999999998</v>
      </c>
      <c r="C54" s="126">
        <v>0.34599999999999997</v>
      </c>
      <c r="D54" s="126">
        <v>0.33800000000000002</v>
      </c>
      <c r="E54" s="126">
        <v>0.32900000000000001</v>
      </c>
      <c r="F54" s="126">
        <v>0.35499999999999998</v>
      </c>
      <c r="G54" s="126">
        <v>0.34599999999999997</v>
      </c>
      <c r="H54" s="126">
        <v>0.33800000000000002</v>
      </c>
      <c r="I54" s="126">
        <v>0.32900000000000001</v>
      </c>
    </row>
    <row r="55" spans="1:9" x14ac:dyDescent="0.25">
      <c r="A55" s="109">
        <v>28</v>
      </c>
      <c r="B55" s="126">
        <v>0.34499999999999997</v>
      </c>
      <c r="C55" s="126">
        <v>0.33700000000000002</v>
      </c>
      <c r="D55" s="126">
        <v>0.32800000000000001</v>
      </c>
      <c r="E55" s="126">
        <v>0.32</v>
      </c>
      <c r="F55" s="126">
        <v>0.34499999999999997</v>
      </c>
      <c r="G55" s="126">
        <v>0.33700000000000002</v>
      </c>
      <c r="H55" s="126">
        <v>0.32800000000000001</v>
      </c>
      <c r="I55" s="126">
        <v>0.32</v>
      </c>
    </row>
    <row r="56" spans="1:9" x14ac:dyDescent="0.25">
      <c r="A56" s="109">
        <v>29</v>
      </c>
      <c r="B56" s="126">
        <v>0.33500000000000002</v>
      </c>
      <c r="C56" s="126">
        <v>0.32700000000000001</v>
      </c>
      <c r="D56" s="126">
        <v>0.31900000000000001</v>
      </c>
      <c r="E56" s="126">
        <v>0.311</v>
      </c>
      <c r="F56" s="126">
        <v>0.33500000000000002</v>
      </c>
      <c r="G56" s="126">
        <v>0.32700000000000001</v>
      </c>
      <c r="H56" s="126">
        <v>0.31900000000000001</v>
      </c>
      <c r="I56" s="126">
        <v>0.311</v>
      </c>
    </row>
    <row r="57" spans="1:9" x14ac:dyDescent="0.25">
      <c r="A57" s="109">
        <v>30</v>
      </c>
      <c r="B57" s="126">
        <v>0.32600000000000001</v>
      </c>
      <c r="C57" s="126">
        <v>0.31900000000000001</v>
      </c>
      <c r="D57" s="126">
        <v>0.311</v>
      </c>
      <c r="E57" s="126">
        <v>0.30199999999999999</v>
      </c>
      <c r="F57" s="126">
        <v>0.32600000000000001</v>
      </c>
      <c r="G57" s="126">
        <v>0.31900000000000001</v>
      </c>
      <c r="H57" s="126">
        <v>0.311</v>
      </c>
      <c r="I57" s="126">
        <v>0.30199999999999999</v>
      </c>
    </row>
    <row r="58" spans="1:9" x14ac:dyDescent="0.25">
      <c r="A58" s="109">
        <v>31</v>
      </c>
      <c r="B58" s="126">
        <v>0.318</v>
      </c>
      <c r="C58" s="126">
        <v>0.31</v>
      </c>
      <c r="D58" s="126">
        <v>0.30199999999999999</v>
      </c>
      <c r="E58" s="126">
        <v>0.29399999999999998</v>
      </c>
      <c r="F58" s="126">
        <v>0.318</v>
      </c>
      <c r="G58" s="126">
        <v>0.31</v>
      </c>
      <c r="H58" s="126">
        <v>0.30199999999999999</v>
      </c>
      <c r="I58" s="126">
        <v>0.29399999999999998</v>
      </c>
    </row>
    <row r="59" spans="1:9" x14ac:dyDescent="0.25">
      <c r="A59" s="109">
        <v>32</v>
      </c>
      <c r="B59" s="126">
        <v>0.31</v>
      </c>
      <c r="C59" s="126">
        <v>0.30199999999999999</v>
      </c>
      <c r="D59" s="126">
        <v>0.29399999999999998</v>
      </c>
      <c r="E59" s="126">
        <v>0.28599999999999998</v>
      </c>
      <c r="F59" s="126">
        <v>0.31</v>
      </c>
      <c r="G59" s="126">
        <v>0.30199999999999999</v>
      </c>
      <c r="H59" s="126">
        <v>0.29399999999999998</v>
      </c>
      <c r="I59" s="126">
        <v>0.28599999999999998</v>
      </c>
    </row>
    <row r="60" spans="1:9" x14ac:dyDescent="0.25">
      <c r="A60" s="109">
        <v>33</v>
      </c>
      <c r="B60" s="126">
        <v>0.30199999999999999</v>
      </c>
      <c r="C60" s="126">
        <v>0.29399999999999998</v>
      </c>
      <c r="D60" s="126">
        <v>0.28699999999999998</v>
      </c>
      <c r="E60" s="126">
        <v>0.27900000000000003</v>
      </c>
      <c r="F60" s="126">
        <v>0.30199999999999999</v>
      </c>
      <c r="G60" s="126">
        <v>0.29399999999999998</v>
      </c>
      <c r="H60" s="126">
        <v>0.28699999999999998</v>
      </c>
      <c r="I60" s="126">
        <v>0.27900000000000003</v>
      </c>
    </row>
    <row r="61" spans="1:9" x14ac:dyDescent="0.25">
      <c r="A61" s="109">
        <v>34</v>
      </c>
      <c r="B61" s="126">
        <v>0.29399999999999998</v>
      </c>
      <c r="C61" s="126">
        <v>0.28699999999999998</v>
      </c>
      <c r="D61" s="126">
        <v>0.27900000000000003</v>
      </c>
      <c r="E61" s="126">
        <v>0.27100000000000002</v>
      </c>
      <c r="F61" s="126">
        <v>0.29399999999999998</v>
      </c>
      <c r="G61" s="126">
        <v>0.28699999999999998</v>
      </c>
      <c r="H61" s="126">
        <v>0.27900000000000003</v>
      </c>
      <c r="I61" s="126">
        <v>0.27100000000000002</v>
      </c>
    </row>
    <row r="62" spans="1:9" x14ac:dyDescent="0.25">
      <c r="A62" s="109">
        <v>35</v>
      </c>
      <c r="B62" s="126">
        <v>0.28699999999999998</v>
      </c>
      <c r="C62" s="126">
        <v>0.28000000000000003</v>
      </c>
      <c r="D62" s="126">
        <v>0.27200000000000002</v>
      </c>
      <c r="E62" s="126">
        <v>0.26400000000000001</v>
      </c>
      <c r="F62" s="126">
        <v>0.28699999999999998</v>
      </c>
      <c r="G62" s="126">
        <v>0.28000000000000003</v>
      </c>
      <c r="H62" s="126">
        <v>0.27200000000000002</v>
      </c>
      <c r="I62" s="126">
        <v>0.26400000000000001</v>
      </c>
    </row>
    <row r="63" spans="1:9" x14ac:dyDescent="0.25">
      <c r="A63" s="109">
        <v>36</v>
      </c>
      <c r="B63" s="126">
        <v>0.28000000000000003</v>
      </c>
      <c r="C63" s="126">
        <v>0.27300000000000002</v>
      </c>
      <c r="D63" s="126">
        <v>0.26500000000000001</v>
      </c>
      <c r="E63" s="126">
        <v>0.25800000000000001</v>
      </c>
      <c r="F63" s="126">
        <v>0.28000000000000003</v>
      </c>
      <c r="G63" s="126">
        <v>0.27300000000000002</v>
      </c>
      <c r="H63" s="126">
        <v>0.26500000000000001</v>
      </c>
      <c r="I63" s="126">
        <v>0.25800000000000001</v>
      </c>
    </row>
    <row r="64" spans="1:9" x14ac:dyDescent="0.25">
      <c r="A64" s="109">
        <v>37</v>
      </c>
      <c r="B64" s="126">
        <v>0.27300000000000002</v>
      </c>
      <c r="C64" s="126">
        <v>0.26600000000000001</v>
      </c>
      <c r="D64" s="126">
        <v>0.25900000000000001</v>
      </c>
      <c r="E64" s="126">
        <v>0.251</v>
      </c>
      <c r="F64" s="126">
        <v>0.27300000000000002</v>
      </c>
      <c r="G64" s="126">
        <v>0.26600000000000001</v>
      </c>
      <c r="H64" s="126">
        <v>0.25900000000000001</v>
      </c>
      <c r="I64" s="126">
        <v>0.251</v>
      </c>
    </row>
    <row r="65" spans="1:9" x14ac:dyDescent="0.25">
      <c r="A65" s="109">
        <v>38</v>
      </c>
      <c r="B65" s="126">
        <v>0.26600000000000001</v>
      </c>
      <c r="C65" s="126">
        <v>0.25900000000000001</v>
      </c>
      <c r="D65" s="126">
        <v>0.252</v>
      </c>
      <c r="E65" s="126">
        <v>0.245</v>
      </c>
      <c r="F65" s="126">
        <v>0.26600000000000001</v>
      </c>
      <c r="G65" s="126">
        <v>0.25900000000000001</v>
      </c>
      <c r="H65" s="126">
        <v>0.252</v>
      </c>
      <c r="I65" s="126">
        <v>0.245</v>
      </c>
    </row>
    <row r="66" spans="1:9" x14ac:dyDescent="0.25">
      <c r="A66" s="109">
        <v>39</v>
      </c>
      <c r="B66" s="126">
        <v>0.26</v>
      </c>
      <c r="C66" s="126">
        <v>0.253</v>
      </c>
      <c r="D66" s="126">
        <v>0.246</v>
      </c>
      <c r="E66" s="126">
        <v>0.23899999999999999</v>
      </c>
      <c r="F66" s="126">
        <v>0.26</v>
      </c>
      <c r="G66" s="126">
        <v>0.253</v>
      </c>
      <c r="H66" s="126">
        <v>0.246</v>
      </c>
      <c r="I66" s="126">
        <v>0.23899999999999999</v>
      </c>
    </row>
    <row r="67" spans="1:9" x14ac:dyDescent="0.25">
      <c r="A67" s="109">
        <v>40</v>
      </c>
      <c r="B67" s="126">
        <v>0.254</v>
      </c>
      <c r="C67" s="126">
        <v>0.247</v>
      </c>
      <c r="D67" s="126">
        <v>0.24099999999999999</v>
      </c>
      <c r="E67" s="126">
        <v>0.23400000000000001</v>
      </c>
      <c r="F67" s="126">
        <v>0.254</v>
      </c>
      <c r="G67" s="126">
        <v>0.247</v>
      </c>
      <c r="H67" s="126">
        <v>0.24099999999999999</v>
      </c>
      <c r="I67" s="126">
        <v>0.23400000000000001</v>
      </c>
    </row>
    <row r="68" spans="1:9" x14ac:dyDescent="0.25">
      <c r="A68" s="109">
        <v>41</v>
      </c>
      <c r="B68" s="126">
        <v>0.248</v>
      </c>
      <c r="C68" s="126">
        <v>0.24199999999999999</v>
      </c>
      <c r="D68" s="126">
        <v>0.23499999999999999</v>
      </c>
      <c r="E68" s="126">
        <v>0.22800000000000001</v>
      </c>
      <c r="F68" s="126">
        <v>0.248</v>
      </c>
      <c r="G68" s="126">
        <v>0.24199999999999999</v>
      </c>
      <c r="H68" s="126">
        <v>0.23499999999999999</v>
      </c>
      <c r="I68" s="126">
        <v>0.22800000000000001</v>
      </c>
    </row>
    <row r="69" spans="1:9" x14ac:dyDescent="0.25">
      <c r="A69" s="109">
        <v>42</v>
      </c>
      <c r="B69" s="126">
        <v>0.24199999999999999</v>
      </c>
      <c r="C69" s="126">
        <v>0.23599999999999999</v>
      </c>
      <c r="D69" s="126">
        <v>0.22900000000000001</v>
      </c>
      <c r="E69" s="126">
        <v>0.223</v>
      </c>
      <c r="F69" s="126">
        <v>0.24199999999999999</v>
      </c>
      <c r="G69" s="126">
        <v>0.23599999999999999</v>
      </c>
      <c r="H69" s="126">
        <v>0.22900000000000001</v>
      </c>
      <c r="I69" s="126">
        <v>0.223</v>
      </c>
    </row>
    <row r="70" spans="1:9" x14ac:dyDescent="0.25">
      <c r="A70" s="109">
        <v>43</v>
      </c>
      <c r="B70" s="126">
        <v>0.23699999999999999</v>
      </c>
      <c r="C70" s="126">
        <v>0.23100000000000001</v>
      </c>
      <c r="D70" s="126">
        <v>0.224</v>
      </c>
      <c r="E70" s="126">
        <v>0.218</v>
      </c>
      <c r="F70" s="126">
        <v>0.23699999999999999</v>
      </c>
      <c r="G70" s="126">
        <v>0.23100000000000001</v>
      </c>
      <c r="H70" s="126">
        <v>0.224</v>
      </c>
      <c r="I70" s="126">
        <v>0.218</v>
      </c>
    </row>
    <row r="71" spans="1:9" x14ac:dyDescent="0.25">
      <c r="A71" s="109">
        <v>44</v>
      </c>
      <c r="B71" s="126">
        <v>0.23100000000000001</v>
      </c>
      <c r="C71" s="126">
        <v>0.22500000000000001</v>
      </c>
      <c r="D71" s="126">
        <v>0.219</v>
      </c>
      <c r="E71" s="126">
        <v>0.21299999999999999</v>
      </c>
      <c r="F71" s="126">
        <v>0.23100000000000001</v>
      </c>
      <c r="G71" s="126">
        <v>0.22500000000000001</v>
      </c>
      <c r="H71" s="126">
        <v>0.219</v>
      </c>
      <c r="I71" s="126">
        <v>0.21299999999999999</v>
      </c>
    </row>
    <row r="72" spans="1:9" x14ac:dyDescent="0.25">
      <c r="A72" s="109">
        <v>45</v>
      </c>
      <c r="B72" s="126">
        <v>0.22600000000000001</v>
      </c>
      <c r="C72" s="126">
        <v>0.22</v>
      </c>
      <c r="D72" s="126">
        <v>0.214</v>
      </c>
      <c r="E72" s="126">
        <v>0.20799999999999999</v>
      </c>
      <c r="F72" s="126">
        <v>0.22600000000000001</v>
      </c>
      <c r="G72" s="126">
        <v>0.22</v>
      </c>
      <c r="H72" s="126">
        <v>0.214</v>
      </c>
      <c r="I72" s="126">
        <v>0.20799999999999999</v>
      </c>
    </row>
    <row r="73" spans="1:9" x14ac:dyDescent="0.25">
      <c r="A73" s="109">
        <v>46</v>
      </c>
      <c r="B73" s="126">
        <v>0.221</v>
      </c>
      <c r="C73" s="126">
        <v>0.215</v>
      </c>
      <c r="D73" s="126">
        <v>0.20899999999999999</v>
      </c>
      <c r="E73" s="126">
        <v>0.20300000000000001</v>
      </c>
      <c r="F73" s="126">
        <v>0.221</v>
      </c>
      <c r="G73" s="126">
        <v>0.215</v>
      </c>
      <c r="H73" s="126">
        <v>0.20899999999999999</v>
      </c>
      <c r="I73" s="126">
        <v>0.20300000000000001</v>
      </c>
    </row>
    <row r="74" spans="1:9" x14ac:dyDescent="0.25">
      <c r="A74" s="109">
        <v>47</v>
      </c>
      <c r="B74" s="126">
        <v>0.216</v>
      </c>
      <c r="C74" s="126">
        <v>0.21099999999999999</v>
      </c>
      <c r="D74" s="126">
        <v>0.20499999999999999</v>
      </c>
      <c r="E74" s="126">
        <v>0.19900000000000001</v>
      </c>
      <c r="F74" s="126">
        <v>0.216</v>
      </c>
      <c r="G74" s="126">
        <v>0.21099999999999999</v>
      </c>
      <c r="H74" s="126">
        <v>0.20499999999999999</v>
      </c>
      <c r="I74" s="126">
        <v>0.19900000000000001</v>
      </c>
    </row>
    <row r="75" spans="1:9" x14ac:dyDescent="0.25">
      <c r="A75" s="109">
        <v>48</v>
      </c>
      <c r="B75" s="126">
        <v>0.21199999999999999</v>
      </c>
      <c r="C75" s="126">
        <v>0.20599999999999999</v>
      </c>
      <c r="D75" s="126">
        <v>0.2</v>
      </c>
      <c r="E75" s="126">
        <v>0.19400000000000001</v>
      </c>
      <c r="F75" s="126">
        <v>0.21199999999999999</v>
      </c>
      <c r="G75" s="126">
        <v>0.20599999999999999</v>
      </c>
      <c r="H75" s="126">
        <v>0.2</v>
      </c>
      <c r="I75" s="126">
        <v>0.19400000000000001</v>
      </c>
    </row>
    <row r="76" spans="1:9" x14ac:dyDescent="0.25">
      <c r="A76" s="109">
        <v>49</v>
      </c>
      <c r="B76" s="126">
        <v>0.20699999999999999</v>
      </c>
      <c r="C76" s="126">
        <v>0.20200000000000001</v>
      </c>
      <c r="D76" s="126">
        <v>0.19600000000000001</v>
      </c>
      <c r="E76" s="126">
        <v>0.19</v>
      </c>
      <c r="F76" s="126">
        <v>0.20699999999999999</v>
      </c>
      <c r="G76" s="126">
        <v>0.20200000000000001</v>
      </c>
      <c r="H76" s="126">
        <v>0.19600000000000001</v>
      </c>
      <c r="I76" s="126">
        <v>0.19</v>
      </c>
    </row>
    <row r="77" spans="1:9" x14ac:dyDescent="0.25">
      <c r="A77" s="109">
        <v>50</v>
      </c>
      <c r="B77" s="132">
        <v>0.20300000000000001</v>
      </c>
      <c r="C77" s="132">
        <v>0.19700000000000001</v>
      </c>
      <c r="D77" s="132">
        <v>0.192</v>
      </c>
      <c r="E77" s="132">
        <v>0.186</v>
      </c>
      <c r="F77" s="132">
        <v>0.20300000000000001</v>
      </c>
      <c r="G77" s="132">
        <v>0.19700000000000001</v>
      </c>
      <c r="H77" s="132">
        <v>0.192</v>
      </c>
      <c r="I77" s="132">
        <v>0.186</v>
      </c>
    </row>
    <row r="78" spans="1:9" x14ac:dyDescent="0.25">
      <c r="D78" s="28" t="s">
        <v>958</v>
      </c>
      <c r="E78" s="28" t="s">
        <v>958</v>
      </c>
      <c r="H78" s="28" t="s">
        <v>958</v>
      </c>
      <c r="I78" s="28" t="s">
        <v>958</v>
      </c>
    </row>
    <row r="79" spans="1:9" x14ac:dyDescent="0.25">
      <c r="E79" s="28" t="s">
        <v>958</v>
      </c>
      <c r="I79" s="28" t="s">
        <v>958</v>
      </c>
    </row>
  </sheetData>
  <conditionalFormatting sqref="A6:A21">
    <cfRule type="expression" dxfId="515" priority="3" stopIfTrue="1">
      <formula>MOD(ROW(),2)=0</formula>
    </cfRule>
    <cfRule type="expression" dxfId="514" priority="4" stopIfTrue="1">
      <formula>MOD(ROW(),2)&lt;&gt;0</formula>
    </cfRule>
  </conditionalFormatting>
  <conditionalFormatting sqref="A26:A77">
    <cfRule type="expression" dxfId="513" priority="15" stopIfTrue="1">
      <formula>MOD(ROW(),2)=0</formula>
    </cfRule>
    <cfRule type="expression" dxfId="512" priority="16" stopIfTrue="1">
      <formula>MOD(ROW(),2)&lt;&gt;0</formula>
    </cfRule>
  </conditionalFormatting>
  <conditionalFormatting sqref="B18:B21">
    <cfRule type="expression" dxfId="511" priority="1" stopIfTrue="1">
      <formula>MOD(ROW(),2)=0</formula>
    </cfRule>
    <cfRule type="expression" dxfId="510" priority="2" stopIfTrue="1">
      <formula>MOD(ROW(),2)&lt;&gt;0</formula>
    </cfRule>
  </conditionalFormatting>
  <conditionalFormatting sqref="B6:I21">
    <cfRule type="expression" dxfId="509" priority="39" stopIfTrue="1">
      <formula>MOD(ROW(),2)=0</formula>
    </cfRule>
    <cfRule type="expression" dxfId="508" priority="40" stopIfTrue="1">
      <formula>MOD(ROW(),2)&lt;&gt;0</formula>
    </cfRule>
  </conditionalFormatting>
  <conditionalFormatting sqref="B26:I77">
    <cfRule type="expression" dxfId="507" priority="17" stopIfTrue="1">
      <formula>MOD(ROW(),2)=0</formula>
    </cfRule>
    <cfRule type="expression" dxfId="506" priority="18" stopIfTrue="1">
      <formula>MOD(ROW(),2)&lt;&gt;0</formula>
    </cfRule>
  </conditionalFormatting>
  <conditionalFormatting sqref="D6:I21">
    <cfRule type="expression" dxfId="505" priority="7" stopIfTrue="1">
      <formula>MOD(ROW(),2)=0</formula>
    </cfRule>
    <cfRule type="expression" dxfId="504" priority="8" stopIfTrue="1">
      <formula>MOD(ROW(),2)&lt;&gt;0</formula>
    </cfRule>
  </conditionalFormatting>
  <conditionalFormatting sqref="D26:I77">
    <cfRule type="expression" dxfId="503" priority="11" stopIfTrue="1">
      <formula>MOD(ROW(),2)=0</formula>
    </cfRule>
    <cfRule type="expression" dxfId="502" priority="12" stopIfTrue="1">
      <formula>MOD(ROW(),2)&lt;&gt;0</formula>
    </cfRule>
  </conditionalFormatting>
  <hyperlinks>
    <hyperlink ref="B24" location="Assumptions!A1" display="Assumptions" xr:uid="{DD6A3608-06C0-4680-8D38-F224D8D28B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12"/>
  <dimension ref="A1:I46"/>
  <sheetViews>
    <sheetView workbookViewId="0"/>
  </sheetViews>
  <sheetFormatPr defaultColWidth="10" defaultRowHeight="12.5" x14ac:dyDescent="0.25"/>
  <cols>
    <col min="1" max="1" width="31.54296875" style="28" customWidth="1"/>
    <col min="2" max="2" width="22.54296875" style="28" customWidth="1"/>
    <col min="3" max="3" width="10.17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Scheme pays AA LRF - x-604</v>
      </c>
      <c r="B3" s="56"/>
      <c r="C3" s="56"/>
      <c r="D3" s="56"/>
      <c r="E3" s="56"/>
      <c r="F3" s="56"/>
      <c r="G3" s="56"/>
      <c r="H3" s="56"/>
      <c r="I3" s="56"/>
    </row>
    <row r="4" spans="1:9" x14ac:dyDescent="0.25">
      <c r="A4" s="58"/>
    </row>
    <row r="6" spans="1:9" ht="13" x14ac:dyDescent="0.3">
      <c r="A6" s="92" t="s">
        <v>716</v>
      </c>
      <c r="B6" s="181" t="s">
        <v>717</v>
      </c>
    </row>
    <row r="7" spans="1:9" ht="39" customHeight="1" x14ac:dyDescent="0.25">
      <c r="A7" s="94" t="s">
        <v>797</v>
      </c>
      <c r="B7" s="181" t="s">
        <v>316</v>
      </c>
    </row>
    <row r="8" spans="1:9" x14ac:dyDescent="0.25">
      <c r="A8" s="94" t="s">
        <v>798</v>
      </c>
      <c r="B8" s="181" t="s">
        <v>92</v>
      </c>
    </row>
    <row r="9" spans="1:9" x14ac:dyDescent="0.25">
      <c r="A9" s="94" t="s">
        <v>300</v>
      </c>
      <c r="B9" s="181" t="s">
        <v>562</v>
      </c>
    </row>
    <row r="10" spans="1:9" ht="29.15" customHeight="1" x14ac:dyDescent="0.25">
      <c r="A10" s="94" t="s">
        <v>6</v>
      </c>
      <c r="B10" s="181" t="s">
        <v>563</v>
      </c>
    </row>
    <row r="11" spans="1:9" x14ac:dyDescent="0.25">
      <c r="A11" s="94" t="s">
        <v>301</v>
      </c>
      <c r="B11" s="181" t="s">
        <v>319</v>
      </c>
    </row>
    <row r="12" spans="1:9" x14ac:dyDescent="0.25">
      <c r="A12" s="94" t="s">
        <v>302</v>
      </c>
      <c r="B12" s="181" t="s">
        <v>558</v>
      </c>
    </row>
    <row r="13" spans="1:9" x14ac:dyDescent="0.25">
      <c r="A13" s="94" t="s">
        <v>813</v>
      </c>
      <c r="B13" s="181">
        <v>0</v>
      </c>
    </row>
    <row r="14" spans="1:9" x14ac:dyDescent="0.25">
      <c r="A14" s="94" t="s">
        <v>304</v>
      </c>
      <c r="B14" s="181">
        <v>604</v>
      </c>
    </row>
    <row r="15" spans="1:9" x14ac:dyDescent="0.25">
      <c r="A15" s="94" t="s">
        <v>727</v>
      </c>
      <c r="B15" s="181" t="s">
        <v>564</v>
      </c>
    </row>
    <row r="16" spans="1:9" x14ac:dyDescent="0.25">
      <c r="A16" s="94" t="s">
        <v>306</v>
      </c>
      <c r="B16" s="181" t="s">
        <v>565</v>
      </c>
    </row>
    <row r="17" spans="1:2" ht="97" customHeight="1" x14ac:dyDescent="0.25">
      <c r="A17" s="94" t="s">
        <v>800</v>
      </c>
      <c r="B17" s="181"/>
    </row>
    <row r="18" spans="1:2" x14ac:dyDescent="0.25">
      <c r="A18" s="94" t="s">
        <v>308</v>
      </c>
      <c r="B18" s="185">
        <v>45135</v>
      </c>
    </row>
    <row r="19" spans="1:2" x14ac:dyDescent="0.25">
      <c r="A19" s="94" t="s">
        <v>309</v>
      </c>
      <c r="B19" s="185">
        <v>45383</v>
      </c>
    </row>
    <row r="20" spans="1:2" x14ac:dyDescent="0.25">
      <c r="A20" s="94" t="s">
        <v>310</v>
      </c>
      <c r="B20" s="181" t="s">
        <v>324</v>
      </c>
    </row>
    <row r="21" spans="1:2" x14ac:dyDescent="0.25">
      <c r="A21" s="87" t="s">
        <v>311</v>
      </c>
      <c r="B21" s="181" t="s">
        <v>325</v>
      </c>
    </row>
    <row r="23" spans="1:2" x14ac:dyDescent="0.25">
      <c r="B23" s="104" t="str">
        <f>HYPERLINK("#'Factor List'!A1","Back to Factor List")</f>
        <v>Back to Factor List</v>
      </c>
    </row>
    <row r="24" spans="1:2" x14ac:dyDescent="0.25">
      <c r="B24" s="104" t="s">
        <v>13</v>
      </c>
    </row>
    <row r="26" spans="1:2" ht="13" x14ac:dyDescent="0.25">
      <c r="A26" s="108" t="s">
        <v>959</v>
      </c>
      <c r="B26" s="108" t="s">
        <v>802</v>
      </c>
    </row>
    <row r="27" spans="1:2" x14ac:dyDescent="0.25">
      <c r="A27" s="109">
        <v>0</v>
      </c>
      <c r="B27" s="126">
        <v>1</v>
      </c>
    </row>
    <row r="28" spans="1:2" x14ac:dyDescent="0.25">
      <c r="A28" s="109">
        <v>1</v>
      </c>
      <c r="B28" s="126">
        <v>1.056</v>
      </c>
    </row>
    <row r="29" spans="1:2" x14ac:dyDescent="0.25">
      <c r="A29" s="109">
        <v>2</v>
      </c>
      <c r="B29" s="126">
        <v>1.117</v>
      </c>
    </row>
    <row r="30" spans="1:2" x14ac:dyDescent="0.25">
      <c r="A30" s="109">
        <v>3</v>
      </c>
      <c r="B30" s="126">
        <v>1.1839999999999999</v>
      </c>
    </row>
    <row r="31" spans="1:2" x14ac:dyDescent="0.25">
      <c r="A31" s="109">
        <v>4</v>
      </c>
      <c r="B31" s="126">
        <v>1.258</v>
      </c>
    </row>
    <row r="32" spans="1:2" x14ac:dyDescent="0.25">
      <c r="A32" s="109">
        <v>5</v>
      </c>
      <c r="B32" s="126">
        <v>1.339</v>
      </c>
    </row>
    <row r="33" spans="1:2" x14ac:dyDescent="0.25">
      <c r="A33" s="109">
        <v>6</v>
      </c>
      <c r="B33" s="126">
        <v>1.429</v>
      </c>
    </row>
    <row r="34" spans="1:2" x14ac:dyDescent="0.25">
      <c r="A34" s="109">
        <v>7</v>
      </c>
      <c r="B34" s="126">
        <v>1.5269999999999999</v>
      </c>
    </row>
    <row r="35" spans="1:2" x14ac:dyDescent="0.25">
      <c r="A35" s="109">
        <v>8</v>
      </c>
      <c r="B35" s="126">
        <v>1.6359999999999999</v>
      </c>
    </row>
    <row r="36" spans="1:2" x14ac:dyDescent="0.25">
      <c r="A36" s="109">
        <v>9</v>
      </c>
      <c r="B36" s="126">
        <v>1.7549999999999999</v>
      </c>
    </row>
    <row r="37" spans="1:2" x14ac:dyDescent="0.25">
      <c r="A37" s="109">
        <v>10</v>
      </c>
      <c r="B37" s="126">
        <v>1.8859999999999999</v>
      </c>
    </row>
    <row r="38" spans="1:2" x14ac:dyDescent="0.25">
      <c r="A38" s="109">
        <v>11</v>
      </c>
      <c r="B38" s="126">
        <v>2.0310000000000001</v>
      </c>
    </row>
    <row r="39" spans="1:2" x14ac:dyDescent="0.25">
      <c r="A39" s="109">
        <v>12</v>
      </c>
      <c r="B39" s="126">
        <v>2.19</v>
      </c>
    </row>
    <row r="40" spans="1:2" x14ac:dyDescent="0.25">
      <c r="A40" s="109">
        <v>13</v>
      </c>
      <c r="B40" s="126">
        <v>2.3650000000000002</v>
      </c>
    </row>
    <row r="41" spans="1:2" x14ac:dyDescent="0.25">
      <c r="A41" s="109">
        <v>14</v>
      </c>
      <c r="B41" s="126">
        <v>2.5579999999999998</v>
      </c>
    </row>
    <row r="42" spans="1:2" x14ac:dyDescent="0.25">
      <c r="A42" s="109">
        <v>15</v>
      </c>
      <c r="B42" s="126">
        <v>2.7690000000000001</v>
      </c>
    </row>
    <row r="44" spans="1:2" ht="39.65" customHeight="1" x14ac:dyDescent="0.25"/>
    <row r="46" spans="1:2" ht="27.65" customHeight="1" x14ac:dyDescent="0.25"/>
  </sheetData>
  <conditionalFormatting sqref="A6:A21">
    <cfRule type="expression" dxfId="501" priority="3" stopIfTrue="1">
      <formula>MOD(ROW(),2)=0</formula>
    </cfRule>
    <cfRule type="expression" dxfId="500" priority="4" stopIfTrue="1">
      <formula>MOD(ROW(),2)&lt;&gt;0</formula>
    </cfRule>
  </conditionalFormatting>
  <conditionalFormatting sqref="A26:A42">
    <cfRule type="expression" dxfId="499" priority="9" stopIfTrue="1">
      <formula>MOD(ROW(),2)=0</formula>
    </cfRule>
    <cfRule type="expression" dxfId="498" priority="10" stopIfTrue="1">
      <formula>MOD(ROW(),2)&lt;&gt;0</formula>
    </cfRule>
  </conditionalFormatting>
  <conditionalFormatting sqref="B6:B21">
    <cfRule type="expression" dxfId="497" priority="23" stopIfTrue="1">
      <formula>MOD(ROW(),2)=0</formula>
    </cfRule>
    <cfRule type="expression" dxfId="496" priority="24" stopIfTrue="1">
      <formula>MOD(ROW(),2)&lt;&gt;0</formula>
    </cfRule>
  </conditionalFormatting>
  <conditionalFormatting sqref="B18:B21">
    <cfRule type="expression" dxfId="495" priority="1" stopIfTrue="1">
      <formula>MOD(ROW(),2)=0</formula>
    </cfRule>
    <cfRule type="expression" dxfId="494" priority="2" stopIfTrue="1">
      <formula>MOD(ROW(),2)&lt;&gt;0</formula>
    </cfRule>
  </conditionalFormatting>
  <conditionalFormatting sqref="B26:B42">
    <cfRule type="expression" dxfId="493" priority="11" stopIfTrue="1">
      <formula>MOD(ROW(),2)=0</formula>
    </cfRule>
    <cfRule type="expression" dxfId="492" priority="12" stopIfTrue="1">
      <formula>MOD(ROW(),2)&lt;&gt;0</formula>
    </cfRule>
  </conditionalFormatting>
  <hyperlinks>
    <hyperlink ref="B24" location="Assumptions!A1" display="Assumptions" xr:uid="{6EF7DE52-02EC-44DF-BE39-284A874994A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T1000"/>
  <sheetViews>
    <sheetView topLeftCell="A60" workbookViewId="0">
      <selection activeCell="A66" sqref="A66"/>
    </sheetView>
  </sheetViews>
  <sheetFormatPr defaultRowHeight="12.5" x14ac:dyDescent="0.25"/>
  <cols>
    <col min="1" max="1" width="17.1796875" customWidth="1"/>
    <col min="2" max="2" width="61.54296875" bestFit="1" customWidth="1"/>
    <col min="3" max="4" width="17.1796875" style="27" customWidth="1"/>
    <col min="5" max="5" width="50.54296875" style="27" customWidth="1"/>
    <col min="6" max="6" width="17.1796875" customWidth="1"/>
    <col min="7" max="7" width="50.54296875" customWidth="1"/>
    <col min="8" max="9" width="17.1796875" style="12" customWidth="1"/>
    <col min="10" max="10" width="17.1796875" customWidth="1"/>
    <col min="11" max="11" width="30.54296875" style="125" customWidth="1"/>
    <col min="12" max="12" width="23.54296875" style="125" customWidth="1"/>
    <col min="13" max="14" width="17.1796875" style="8" customWidth="1"/>
    <col min="15" max="16" width="17.1796875" customWidth="1"/>
    <col min="17" max="17" width="8.81640625" hidden="1" customWidth="1"/>
    <col min="18" max="18" width="6.81640625" hidden="1" customWidth="1"/>
    <col min="19" max="19" width="15.453125" style="202" hidden="1" customWidth="1"/>
    <col min="20" max="20" width="10.453125" hidden="1" customWidth="1"/>
  </cols>
  <sheetData>
    <row r="1" spans="1:20" ht="20" x14ac:dyDescent="0.4">
      <c r="A1" s="4" t="s">
        <v>0</v>
      </c>
      <c r="B1" s="10"/>
      <c r="C1" s="90"/>
      <c r="D1" s="90"/>
      <c r="E1" s="90"/>
      <c r="F1" s="10"/>
      <c r="G1" s="10"/>
      <c r="H1" s="13"/>
      <c r="I1" s="13"/>
      <c r="J1" s="10"/>
      <c r="K1" s="123"/>
      <c r="L1" s="123"/>
      <c r="M1" s="120"/>
      <c r="N1" s="120"/>
      <c r="O1" s="10"/>
      <c r="P1" s="10"/>
      <c r="S1"/>
    </row>
    <row r="2" spans="1:20" ht="15.5" x14ac:dyDescent="0.35">
      <c r="A2" s="11" t="str">
        <f>IF(title="&gt; Enter workbook title here","Enter workbook title in Cover sheet",title)</f>
        <v>Northern Ireland Civil Service Pension Schemes - Consolidated Factor Spreadsheet</v>
      </c>
      <c r="B2" s="9"/>
      <c r="C2" s="91"/>
      <c r="D2" s="91"/>
      <c r="E2" s="91"/>
      <c r="F2" s="9"/>
      <c r="G2" s="9"/>
      <c r="H2" s="14"/>
      <c r="I2" s="14"/>
      <c r="J2" s="9"/>
      <c r="K2" s="124"/>
      <c r="L2" s="124"/>
      <c r="M2" s="121"/>
      <c r="N2" s="121"/>
      <c r="O2" s="9"/>
      <c r="P2" s="9"/>
      <c r="S2"/>
    </row>
    <row r="3" spans="1:20" ht="15.5" x14ac:dyDescent="0.35">
      <c r="A3" s="6" t="s">
        <v>11</v>
      </c>
      <c r="B3" s="9"/>
      <c r="C3" s="91"/>
      <c r="D3" s="91"/>
      <c r="E3" s="91"/>
      <c r="F3" s="9"/>
      <c r="G3" s="9"/>
      <c r="H3" s="14"/>
      <c r="I3" s="14"/>
      <c r="J3" s="9"/>
      <c r="K3" s="124"/>
      <c r="L3" s="124"/>
      <c r="M3" s="121"/>
      <c r="N3" s="121"/>
      <c r="O3" s="9"/>
      <c r="P3" s="9"/>
      <c r="S3"/>
    </row>
    <row r="4" spans="1:20" x14ac:dyDescent="0.25">
      <c r="A4" s="7"/>
      <c r="S4"/>
    </row>
    <row r="5" spans="1:20" x14ac:dyDescent="0.25">
      <c r="C5"/>
      <c r="D5"/>
      <c r="E5"/>
      <c r="H5"/>
      <c r="I5"/>
      <c r="K5"/>
      <c r="L5"/>
      <c r="M5"/>
      <c r="N5"/>
      <c r="S5"/>
    </row>
    <row r="6" spans="1:20" x14ac:dyDescent="0.25">
      <c r="A6" s="190"/>
      <c r="B6" s="190"/>
      <c r="C6" s="190"/>
      <c r="D6" s="190"/>
      <c r="E6" s="190"/>
      <c r="F6" s="190"/>
      <c r="G6" s="190"/>
      <c r="H6" s="190"/>
      <c r="I6" s="190"/>
      <c r="J6" s="190"/>
      <c r="K6" s="191"/>
      <c r="L6" s="191"/>
      <c r="M6" s="192"/>
      <c r="N6" s="192"/>
      <c r="O6" s="190"/>
      <c r="P6" s="190"/>
      <c r="Q6" s="190"/>
      <c r="R6" s="190"/>
      <c r="S6"/>
    </row>
    <row r="7" spans="1:20" s="27" customFormat="1" ht="50.25" customHeight="1" x14ac:dyDescent="0.3">
      <c r="A7" s="193" t="s">
        <v>297</v>
      </c>
      <c r="B7" s="86" t="s">
        <v>298</v>
      </c>
      <c r="C7" s="86" t="s">
        <v>299</v>
      </c>
      <c r="D7" s="86" t="s">
        <v>300</v>
      </c>
      <c r="E7" s="86" t="s">
        <v>6</v>
      </c>
      <c r="F7" s="86" t="s">
        <v>301</v>
      </c>
      <c r="G7" s="86" t="s">
        <v>302</v>
      </c>
      <c r="H7" s="86" t="s">
        <v>303</v>
      </c>
      <c r="I7" s="86" t="s">
        <v>304</v>
      </c>
      <c r="J7" s="86" t="s">
        <v>305</v>
      </c>
      <c r="K7" s="86" t="s">
        <v>306</v>
      </c>
      <c r="L7" s="86" t="s">
        <v>307</v>
      </c>
      <c r="M7" s="194" t="s">
        <v>308</v>
      </c>
      <c r="N7" s="194" t="s">
        <v>309</v>
      </c>
      <c r="O7" s="86" t="s">
        <v>310</v>
      </c>
      <c r="P7" s="86" t="s">
        <v>311</v>
      </c>
      <c r="Q7" s="86" t="s">
        <v>312</v>
      </c>
      <c r="R7" s="86" t="s">
        <v>313</v>
      </c>
      <c r="S7" s="86" t="s">
        <v>314</v>
      </c>
      <c r="T7" s="27" t="s">
        <v>315</v>
      </c>
    </row>
    <row r="8" spans="1:20" ht="13" x14ac:dyDescent="0.3">
      <c r="A8" t="str">
        <f ca="1">HYPERLINK(MID(CELL("filename",A1),FIND("[",CELL("filename",A1)),FIND("]",CELL("filename",A1)) - FIND("[",CELL("filename",A1)) + 1) &amp; "'x-001'!TABLE_CLIENT_1","x-001 1")</f>
        <v>x-001 1</v>
      </c>
      <c r="B8" s="111" t="s">
        <v>316</v>
      </c>
      <c r="C8" s="203" t="s">
        <v>92</v>
      </c>
      <c r="D8" s="111" t="s">
        <v>317</v>
      </c>
      <c r="E8" s="111" t="s">
        <v>318</v>
      </c>
      <c r="F8" s="111" t="s">
        <v>319</v>
      </c>
      <c r="G8" s="111" t="s">
        <v>320</v>
      </c>
      <c r="H8" s="111">
        <v>0</v>
      </c>
      <c r="I8" s="111">
        <v>1</v>
      </c>
      <c r="J8" s="111" t="s">
        <v>321</v>
      </c>
      <c r="K8" s="111" t="s">
        <v>322</v>
      </c>
      <c r="L8" s="111"/>
      <c r="M8" s="122">
        <v>45071</v>
      </c>
      <c r="N8" s="122" t="s">
        <v>323</v>
      </c>
      <c r="O8" s="111" t="s">
        <v>324</v>
      </c>
      <c r="P8" s="111" t="s">
        <v>325</v>
      </c>
      <c r="Q8" s="111"/>
      <c r="R8" s="111"/>
      <c r="S8" s="87"/>
    </row>
    <row r="9" spans="1:20" ht="39.65" customHeight="1" x14ac:dyDescent="0.25">
      <c r="A9" s="195" t="str">
        <f ca="1">HYPERLINK(MID(CELL("filename",A1),FIND("[",CELL("filename",A1)),FIND("]",CELL("filename",A1)) - FIND("[",CELL("filename",A1)) + 1) &amp; "'x-001'!TABLE_CLIENT_2","x-001 2")</f>
        <v>x-001 2</v>
      </c>
      <c r="B9" s="196" t="s">
        <v>326</v>
      </c>
      <c r="C9" s="196" t="s">
        <v>327</v>
      </c>
      <c r="D9" s="196" t="s">
        <v>317</v>
      </c>
      <c r="E9" s="196" t="s">
        <v>318</v>
      </c>
      <c r="F9" s="196" t="s">
        <v>319</v>
      </c>
      <c r="G9" s="196" t="s">
        <v>320</v>
      </c>
      <c r="H9" s="196">
        <v>1</v>
      </c>
      <c r="I9" s="196">
        <v>1</v>
      </c>
      <c r="J9" s="196" t="s">
        <v>328</v>
      </c>
      <c r="K9" s="196" t="s">
        <v>322</v>
      </c>
      <c r="L9" s="197"/>
      <c r="M9" s="198">
        <v>45071</v>
      </c>
      <c r="N9" s="198" t="s">
        <v>323</v>
      </c>
      <c r="O9" s="112" t="s">
        <v>324</v>
      </c>
      <c r="P9" s="199" t="s">
        <v>325</v>
      </c>
      <c r="Q9" s="112" t="s">
        <v>329</v>
      </c>
      <c r="R9" s="112" t="s">
        <v>330</v>
      </c>
      <c r="S9" s="200" t="s">
        <v>331</v>
      </c>
      <c r="T9">
        <v>43413.345671296294</v>
      </c>
    </row>
    <row r="10" spans="1:20" ht="39.65" customHeight="1" x14ac:dyDescent="0.25">
      <c r="A10" s="195" t="str">
        <f ca="1">HYPERLINK(MID(CELL("filename",A1),FIND("[",CELL("filename",A1)),FIND("]",CELL("filename",A1)) - FIND("[",CELL("filename",A1)) + 1) &amp; "'x-201'!TABLE_CLIENT_1","x-201 1")</f>
        <v>x-201 1</v>
      </c>
      <c r="B10" s="196" t="s">
        <v>316</v>
      </c>
      <c r="C10" s="196" t="s">
        <v>92</v>
      </c>
      <c r="D10" s="196" t="s">
        <v>332</v>
      </c>
      <c r="E10" s="196" t="s">
        <v>333</v>
      </c>
      <c r="F10" s="196" t="s">
        <v>334</v>
      </c>
      <c r="G10" s="196" t="s">
        <v>335</v>
      </c>
      <c r="H10" s="196">
        <v>0</v>
      </c>
      <c r="I10" s="196">
        <v>201</v>
      </c>
      <c r="J10" s="196" t="s">
        <v>336</v>
      </c>
      <c r="K10" s="196" t="s">
        <v>337</v>
      </c>
      <c r="L10" s="197"/>
      <c r="M10" s="198">
        <v>45071</v>
      </c>
      <c r="N10" s="198">
        <v>45014</v>
      </c>
      <c r="O10" s="112" t="s">
        <v>324</v>
      </c>
      <c r="P10" s="199" t="s">
        <v>325</v>
      </c>
      <c r="Q10" s="112"/>
      <c r="R10" s="112"/>
      <c r="S10" s="200"/>
    </row>
    <row r="11" spans="1:20" ht="39.65" customHeight="1" x14ac:dyDescent="0.25">
      <c r="A11" s="195" t="str">
        <f ca="1">HYPERLINK(MID(CELL("filename",A1),FIND("[",CELL("filename",A1)),FIND("]",CELL("filename",A1)) - FIND("[",CELL("filename",A1)) + 1) &amp; "'x-202'!TABLE_CLIENT_1","x-202 1")</f>
        <v>x-202 1</v>
      </c>
      <c r="B11" s="196" t="s">
        <v>316</v>
      </c>
      <c r="C11" s="196" t="s">
        <v>92</v>
      </c>
      <c r="D11" s="196" t="s">
        <v>332</v>
      </c>
      <c r="E11" s="196" t="s">
        <v>338</v>
      </c>
      <c r="F11" s="196" t="s">
        <v>334</v>
      </c>
      <c r="G11" s="196" t="s">
        <v>335</v>
      </c>
      <c r="H11" s="196">
        <v>0</v>
      </c>
      <c r="I11" s="196">
        <v>202</v>
      </c>
      <c r="J11" s="196" t="s">
        <v>339</v>
      </c>
      <c r="K11" s="87" t="s">
        <v>340</v>
      </c>
      <c r="L11" s="197"/>
      <c r="M11" s="198">
        <v>45071</v>
      </c>
      <c r="N11" s="198">
        <v>45014</v>
      </c>
      <c r="O11" s="112" t="s">
        <v>324</v>
      </c>
      <c r="P11" s="199" t="s">
        <v>325</v>
      </c>
      <c r="Q11" s="112" t="s">
        <v>341</v>
      </c>
      <c r="R11" s="112" t="s">
        <v>330</v>
      </c>
      <c r="S11" s="200" t="s">
        <v>331</v>
      </c>
      <c r="T11">
        <v>43413.345671296294</v>
      </c>
    </row>
    <row r="12" spans="1:20" ht="39.65" customHeight="1" x14ac:dyDescent="0.25">
      <c r="A12" s="195" t="str">
        <f ca="1">HYPERLINK(MID(CELL("filename",A1),FIND("[",CELL("filename",A1)),FIND("]",CELL("filename",A1)) - FIND("[",CELL("filename",A1)) + 1) &amp; "'x-203'!TABLE_CLIENT_1","x-203 1")</f>
        <v>x-203 1</v>
      </c>
      <c r="B12" s="196" t="s">
        <v>316</v>
      </c>
      <c r="C12" s="196" t="s">
        <v>92</v>
      </c>
      <c r="D12" s="196" t="s">
        <v>332</v>
      </c>
      <c r="E12" s="196" t="s">
        <v>342</v>
      </c>
      <c r="F12" s="196" t="s">
        <v>334</v>
      </c>
      <c r="G12" s="196" t="s">
        <v>335</v>
      </c>
      <c r="H12" s="196">
        <v>0</v>
      </c>
      <c r="I12" s="196">
        <v>203</v>
      </c>
      <c r="J12" s="196" t="s">
        <v>343</v>
      </c>
      <c r="K12" s="87" t="s">
        <v>344</v>
      </c>
      <c r="L12" s="197"/>
      <c r="M12" s="198">
        <v>45071</v>
      </c>
      <c r="N12" s="198">
        <v>45014</v>
      </c>
      <c r="O12" s="112" t="s">
        <v>324</v>
      </c>
      <c r="P12" s="199" t="s">
        <v>325</v>
      </c>
      <c r="Q12" s="112" t="s">
        <v>345</v>
      </c>
      <c r="R12" s="112" t="s">
        <v>330</v>
      </c>
      <c r="S12" s="200" t="s">
        <v>331</v>
      </c>
      <c r="T12">
        <v>43413.345671296294</v>
      </c>
    </row>
    <row r="13" spans="1:20" ht="39.65" customHeight="1" x14ac:dyDescent="0.25">
      <c r="A13" s="195" t="str">
        <f ca="1">HYPERLINK(MID(CELL("filename",A1),FIND("[",CELL("filename",A1)),FIND("]",CELL("filename",A1)) - FIND("[",CELL("filename",A1)) + 1) &amp; "'x-204'!TABLE_CLIENT_1","x-204 1")</f>
        <v>x-204 1</v>
      </c>
      <c r="B13" s="196" t="s">
        <v>316</v>
      </c>
      <c r="C13" s="196" t="s">
        <v>92</v>
      </c>
      <c r="D13" s="196" t="s">
        <v>332</v>
      </c>
      <c r="E13" s="196" t="s">
        <v>346</v>
      </c>
      <c r="F13" s="196" t="s">
        <v>334</v>
      </c>
      <c r="G13" s="196" t="s">
        <v>335</v>
      </c>
      <c r="H13" s="196">
        <v>0</v>
      </c>
      <c r="I13" s="196">
        <v>204</v>
      </c>
      <c r="J13" s="196" t="s">
        <v>347</v>
      </c>
      <c r="K13" s="87" t="s">
        <v>348</v>
      </c>
      <c r="L13" s="197"/>
      <c r="M13" s="198">
        <v>45071</v>
      </c>
      <c r="N13" s="198">
        <v>45014</v>
      </c>
      <c r="O13" s="112" t="s">
        <v>324</v>
      </c>
      <c r="P13" s="199" t="s">
        <v>325</v>
      </c>
      <c r="Q13" s="112" t="s">
        <v>349</v>
      </c>
      <c r="R13" s="112" t="s">
        <v>330</v>
      </c>
      <c r="S13" s="200" t="s">
        <v>331</v>
      </c>
      <c r="T13">
        <v>43413.345671296294</v>
      </c>
    </row>
    <row r="14" spans="1:20" ht="39.65" customHeight="1" x14ac:dyDescent="0.25">
      <c r="A14" s="195" t="str">
        <f ca="1">HYPERLINK(MID(CELL("filename",A1),FIND("[",CELL("filename",A1)),FIND("]",CELL("filename",A1)) - FIND("[",CELL("filename",A1)) + 1) &amp; "'x-206'!TABLE_CLIENT_1","x-206 1")</f>
        <v>x-206 1</v>
      </c>
      <c r="B14" s="196" t="s">
        <v>326</v>
      </c>
      <c r="C14" s="196" t="s">
        <v>327</v>
      </c>
      <c r="D14" s="196" t="s">
        <v>332</v>
      </c>
      <c r="E14" s="196" t="s">
        <v>350</v>
      </c>
      <c r="F14" s="196" t="s">
        <v>334</v>
      </c>
      <c r="G14" s="196" t="s">
        <v>335</v>
      </c>
      <c r="H14" s="196">
        <v>1</v>
      </c>
      <c r="I14" s="196">
        <v>206</v>
      </c>
      <c r="J14" s="196" t="s">
        <v>351</v>
      </c>
      <c r="K14" s="87" t="s">
        <v>352</v>
      </c>
      <c r="L14" s="201"/>
      <c r="M14" s="198">
        <v>45071</v>
      </c>
      <c r="N14" s="198">
        <v>45014</v>
      </c>
      <c r="O14" s="112" t="s">
        <v>324</v>
      </c>
      <c r="P14" s="199" t="s">
        <v>325</v>
      </c>
      <c r="Q14" s="112" t="s">
        <v>353</v>
      </c>
      <c r="R14" s="112" t="s">
        <v>330</v>
      </c>
      <c r="S14" s="200" t="s">
        <v>331</v>
      </c>
      <c r="T14">
        <v>43413.345671296294</v>
      </c>
    </row>
    <row r="15" spans="1:20" ht="39.65" customHeight="1" x14ac:dyDescent="0.25">
      <c r="A15" s="195" t="str">
        <f ca="1">HYPERLINK(MID(CELL("filename",A1),FIND("[",CELL("filename",A1)),FIND("]",CELL("filename",A1)) - FIND("[",CELL("filename",A1)) + 1) &amp; "'x-207'!TABLE_CLIENT_1","x-207 1")</f>
        <v>x-207 1</v>
      </c>
      <c r="B15" s="196" t="s">
        <v>326</v>
      </c>
      <c r="C15" s="196" t="s">
        <v>327</v>
      </c>
      <c r="D15" s="196" t="s">
        <v>332</v>
      </c>
      <c r="E15" s="196" t="s">
        <v>354</v>
      </c>
      <c r="F15" s="196" t="s">
        <v>334</v>
      </c>
      <c r="G15" s="196" t="s">
        <v>335</v>
      </c>
      <c r="H15" s="196">
        <v>1</v>
      </c>
      <c r="I15" s="196">
        <v>207</v>
      </c>
      <c r="J15" s="196" t="s">
        <v>355</v>
      </c>
      <c r="K15" s="87" t="s">
        <v>356</v>
      </c>
      <c r="L15" s="87"/>
      <c r="M15" s="198">
        <v>45071</v>
      </c>
      <c r="N15" s="198">
        <v>45014</v>
      </c>
      <c r="O15" s="112" t="s">
        <v>324</v>
      </c>
      <c r="P15" s="199" t="s">
        <v>325</v>
      </c>
      <c r="Q15" s="112" t="s">
        <v>357</v>
      </c>
      <c r="R15" s="112" t="s">
        <v>330</v>
      </c>
      <c r="S15" s="200" t="s">
        <v>331</v>
      </c>
      <c r="T15">
        <v>43413.345671296294</v>
      </c>
    </row>
    <row r="16" spans="1:20" ht="39.65" customHeight="1" x14ac:dyDescent="0.25">
      <c r="A16" s="195" t="str">
        <f ca="1">HYPERLINK(MID(CELL("filename",A1),FIND("[",CELL("filename",A1)),FIND("]",CELL("filename",A1)) - FIND("[",CELL("filename",A1)) + 1) &amp; "'x-208'!TABLE_CLIENT_1","x-208 1")</f>
        <v>x-208 1</v>
      </c>
      <c r="B16" s="196" t="s">
        <v>326</v>
      </c>
      <c r="C16" s="196" t="s">
        <v>96</v>
      </c>
      <c r="D16" s="196" t="s">
        <v>332</v>
      </c>
      <c r="E16" s="196" t="s">
        <v>358</v>
      </c>
      <c r="F16" s="196" t="s">
        <v>334</v>
      </c>
      <c r="G16" s="196" t="s">
        <v>335</v>
      </c>
      <c r="H16" s="196">
        <v>1</v>
      </c>
      <c r="I16" s="196">
        <v>208</v>
      </c>
      <c r="J16" s="196" t="s">
        <v>359</v>
      </c>
      <c r="K16" s="87" t="s">
        <v>360</v>
      </c>
      <c r="L16" s="87"/>
      <c r="M16" s="198">
        <v>45071</v>
      </c>
      <c r="N16" s="198">
        <v>45014</v>
      </c>
      <c r="O16" s="112" t="s">
        <v>324</v>
      </c>
      <c r="P16" s="199" t="s">
        <v>325</v>
      </c>
      <c r="Q16" s="112" t="s">
        <v>361</v>
      </c>
      <c r="R16" s="112" t="s">
        <v>330</v>
      </c>
      <c r="S16" s="200" t="s">
        <v>331</v>
      </c>
      <c r="T16">
        <v>43413.345671296294</v>
      </c>
    </row>
    <row r="17" spans="1:20" ht="39.65" customHeight="1" x14ac:dyDescent="0.25">
      <c r="A17" s="195" t="str">
        <f ca="1">HYPERLINK(MID(CELL("filename",A1),FIND("[",CELL("filename",A1)),FIND("]",CELL("filename",A1)) - FIND("[",CELL("filename",A1)) + 1) &amp; "'x-210'!TABLE_CLIENT_1","x-210 1")</f>
        <v>x-210 1</v>
      </c>
      <c r="B17" s="196" t="s">
        <v>326</v>
      </c>
      <c r="C17" s="196" t="s">
        <v>93</v>
      </c>
      <c r="D17" s="196" t="s">
        <v>332</v>
      </c>
      <c r="E17" s="196" t="s">
        <v>362</v>
      </c>
      <c r="F17" s="196" t="s">
        <v>334</v>
      </c>
      <c r="G17" s="196" t="s">
        <v>335</v>
      </c>
      <c r="H17" s="196">
        <v>1</v>
      </c>
      <c r="I17" s="196">
        <v>210</v>
      </c>
      <c r="J17" s="196" t="s">
        <v>363</v>
      </c>
      <c r="K17" s="87" t="s">
        <v>364</v>
      </c>
      <c r="L17" s="87"/>
      <c r="M17" s="198">
        <v>45071</v>
      </c>
      <c r="N17" s="198">
        <v>45014</v>
      </c>
      <c r="O17" s="112" t="s">
        <v>324</v>
      </c>
      <c r="P17" s="199" t="s">
        <v>325</v>
      </c>
      <c r="Q17" s="112" t="s">
        <v>365</v>
      </c>
      <c r="R17" s="112" t="s">
        <v>330</v>
      </c>
      <c r="S17" s="200" t="s">
        <v>331</v>
      </c>
      <c r="T17">
        <v>43413.345671296294</v>
      </c>
    </row>
    <row r="18" spans="1:20" ht="39.65" customHeight="1" x14ac:dyDescent="0.25">
      <c r="A18" s="195" t="str">
        <f ca="1">HYPERLINK(MID(CELL("filename",A1),FIND("[",CELL("filename",A1)),FIND("]",CELL("filename",A1)) - FIND("[",CELL("filename",A1)) + 1) &amp; "'x-211'!TABLE_CLIENT_1","x-211 1")</f>
        <v>x-211 1</v>
      </c>
      <c r="B18" s="196" t="s">
        <v>326</v>
      </c>
      <c r="C18" s="196" t="s">
        <v>366</v>
      </c>
      <c r="D18" s="196" t="s">
        <v>332</v>
      </c>
      <c r="E18" s="196" t="s">
        <v>367</v>
      </c>
      <c r="F18" s="196" t="s">
        <v>334</v>
      </c>
      <c r="G18" s="196" t="s">
        <v>335</v>
      </c>
      <c r="H18" s="196">
        <v>1</v>
      </c>
      <c r="I18" s="196">
        <v>211</v>
      </c>
      <c r="J18" s="196" t="s">
        <v>368</v>
      </c>
      <c r="K18" s="87" t="s">
        <v>369</v>
      </c>
      <c r="L18" s="87"/>
      <c r="M18" s="198">
        <v>45071</v>
      </c>
      <c r="N18" s="198">
        <v>45014</v>
      </c>
      <c r="O18" s="112" t="s">
        <v>370</v>
      </c>
      <c r="P18" s="199" t="s">
        <v>325</v>
      </c>
      <c r="Q18" s="112" t="s">
        <v>371</v>
      </c>
      <c r="R18" s="112" t="s">
        <v>330</v>
      </c>
      <c r="S18" s="200" t="s">
        <v>331</v>
      </c>
      <c r="T18">
        <v>43413.345671296294</v>
      </c>
    </row>
    <row r="19" spans="1:20" ht="39.65" customHeight="1" x14ac:dyDescent="0.25">
      <c r="A19" s="195" t="str">
        <f ca="1">HYPERLINK(MID(CELL("filename",A1),FIND("[",CELL("filename",A1)),FIND("]",CELL("filename",A1)) - FIND("[",CELL("filename",A1)) + 1) &amp; "'x-214'!TABLE_CLIENT_1","x-214 1")</f>
        <v>x-214 1</v>
      </c>
      <c r="B19" s="196" t="s">
        <v>316</v>
      </c>
      <c r="C19" s="196" t="s">
        <v>92</v>
      </c>
      <c r="D19" s="196" t="s">
        <v>372</v>
      </c>
      <c r="E19" s="196" t="s">
        <v>373</v>
      </c>
      <c r="F19" s="196" t="s">
        <v>334</v>
      </c>
      <c r="G19" s="196" t="s">
        <v>335</v>
      </c>
      <c r="H19" s="196">
        <v>0</v>
      </c>
      <c r="I19" s="196">
        <v>214</v>
      </c>
      <c r="J19" s="196" t="s">
        <v>374</v>
      </c>
      <c r="K19" s="87" t="s">
        <v>375</v>
      </c>
      <c r="L19" s="87"/>
      <c r="M19" s="198">
        <v>45106</v>
      </c>
      <c r="N19" s="198">
        <v>45014</v>
      </c>
      <c r="O19" s="112" t="s">
        <v>324</v>
      </c>
      <c r="P19" s="199" t="s">
        <v>325</v>
      </c>
      <c r="Q19" s="112" t="s">
        <v>376</v>
      </c>
      <c r="R19" s="112" t="s">
        <v>330</v>
      </c>
      <c r="S19" s="200" t="s">
        <v>331</v>
      </c>
      <c r="T19">
        <v>43413.345671296294</v>
      </c>
    </row>
    <row r="20" spans="1:20" ht="39.65" customHeight="1" x14ac:dyDescent="0.25">
      <c r="A20" s="195" t="str">
        <f ca="1">HYPERLINK(MID(CELL("filename",A1),FIND("[",CELL("filename",A1)),FIND("]",CELL("filename",A1)) - FIND("[",CELL("filename",A1)) + 1) &amp; "'x-215'!TABLE_CLIENT_1","x-215 1")</f>
        <v>x-215 1</v>
      </c>
      <c r="B20" s="196" t="s">
        <v>316</v>
      </c>
      <c r="C20" s="196" t="s">
        <v>92</v>
      </c>
      <c r="D20" s="196" t="s">
        <v>372</v>
      </c>
      <c r="E20" s="196" t="s">
        <v>377</v>
      </c>
      <c r="F20" s="196" t="s">
        <v>334</v>
      </c>
      <c r="G20" s="196" t="s">
        <v>335</v>
      </c>
      <c r="H20" s="196">
        <v>0</v>
      </c>
      <c r="I20" s="196">
        <v>215</v>
      </c>
      <c r="J20" s="196" t="s">
        <v>378</v>
      </c>
      <c r="K20" s="87" t="s">
        <v>379</v>
      </c>
      <c r="L20" s="87"/>
      <c r="M20" s="198">
        <v>45106</v>
      </c>
      <c r="N20" s="198">
        <v>45014</v>
      </c>
      <c r="O20" s="112" t="s">
        <v>324</v>
      </c>
      <c r="P20" s="199" t="s">
        <v>325</v>
      </c>
      <c r="Q20" s="112" t="s">
        <v>380</v>
      </c>
      <c r="R20" s="112">
        <v>43437.435243055559</v>
      </c>
      <c r="S20" s="200"/>
    </row>
    <row r="21" spans="1:20" ht="39.65" customHeight="1" x14ac:dyDescent="0.25">
      <c r="A21" s="195" t="str">
        <f ca="1">HYPERLINK(MID(CELL("filename",A1),FIND("[",CELL("filename",A1)),FIND("]",CELL("filename",A1)) - FIND("[",CELL("filename",A1)) + 1) &amp; "'x-216'!TABLE_CLIENT_1","x-216 1")</f>
        <v>x-216 1</v>
      </c>
      <c r="B21" s="196" t="s">
        <v>316</v>
      </c>
      <c r="C21" s="196" t="s">
        <v>92</v>
      </c>
      <c r="D21" s="196" t="s">
        <v>372</v>
      </c>
      <c r="E21" s="196" t="s">
        <v>381</v>
      </c>
      <c r="F21" s="196" t="s">
        <v>334</v>
      </c>
      <c r="G21" s="196" t="s">
        <v>335</v>
      </c>
      <c r="H21" s="196">
        <v>0</v>
      </c>
      <c r="I21" s="196">
        <v>216</v>
      </c>
      <c r="J21" s="196" t="s">
        <v>382</v>
      </c>
      <c r="K21" s="87" t="s">
        <v>383</v>
      </c>
      <c r="L21" s="197"/>
      <c r="M21" s="198">
        <v>45106</v>
      </c>
      <c r="N21" s="198">
        <v>45014</v>
      </c>
      <c r="O21" s="112" t="s">
        <v>324</v>
      </c>
      <c r="P21" s="199" t="s">
        <v>325</v>
      </c>
      <c r="Q21" s="112" t="s">
        <v>380</v>
      </c>
      <c r="R21" s="112">
        <v>43437.435243055559</v>
      </c>
      <c r="S21" s="200"/>
    </row>
    <row r="22" spans="1:20" ht="39.65" customHeight="1" x14ac:dyDescent="0.25">
      <c r="A22" s="195" t="str">
        <f ca="1">HYPERLINK(MID(CELL("filename",A1),FIND("[",CELL("filename",A1)),FIND("]",CELL("filename",A1)) - FIND("[",CELL("filename",A1)) + 1) &amp; "'x-217'!TABLE_CLIENT_1","x-217 1")</f>
        <v>x-217 1</v>
      </c>
      <c r="B22" s="196" t="s">
        <v>316</v>
      </c>
      <c r="C22" s="196" t="s">
        <v>92</v>
      </c>
      <c r="D22" s="196" t="s">
        <v>372</v>
      </c>
      <c r="E22" s="196" t="s">
        <v>384</v>
      </c>
      <c r="F22" s="196" t="s">
        <v>334</v>
      </c>
      <c r="G22" s="196" t="s">
        <v>335</v>
      </c>
      <c r="H22" s="196">
        <v>0</v>
      </c>
      <c r="I22" s="196">
        <v>217</v>
      </c>
      <c r="J22" s="196" t="s">
        <v>385</v>
      </c>
      <c r="K22" s="87" t="s">
        <v>386</v>
      </c>
      <c r="L22" s="197"/>
      <c r="M22" s="198">
        <v>45106</v>
      </c>
      <c r="N22" s="198">
        <v>45014</v>
      </c>
      <c r="O22" s="112" t="s">
        <v>324</v>
      </c>
      <c r="P22" s="199" t="s">
        <v>325</v>
      </c>
      <c r="Q22" s="112" t="s">
        <v>380</v>
      </c>
      <c r="R22" s="112">
        <v>43437.435243055559</v>
      </c>
      <c r="S22" s="200"/>
    </row>
    <row r="23" spans="1:20" ht="39.65" customHeight="1" x14ac:dyDescent="0.25">
      <c r="A23" s="195" t="str">
        <f ca="1">HYPERLINK(MID(CELL("filename",A1),FIND("[",CELL("filename",A1)),FIND("]",CELL("filename",A1)) - FIND("[",CELL("filename",A1)) + 1) &amp; "'x-301'!TABLE_CLIENT_1","x-301 1")</f>
        <v>x-301 1</v>
      </c>
      <c r="B23" s="196" t="s">
        <v>316</v>
      </c>
      <c r="C23" s="196" t="s">
        <v>92</v>
      </c>
      <c r="D23" s="196" t="s">
        <v>387</v>
      </c>
      <c r="E23" s="196" t="s">
        <v>388</v>
      </c>
      <c r="F23" s="196" t="s">
        <v>334</v>
      </c>
      <c r="G23" s="196" t="s">
        <v>335</v>
      </c>
      <c r="H23" s="196">
        <v>0</v>
      </c>
      <c r="I23" s="196">
        <v>301</v>
      </c>
      <c r="J23" s="196" t="s">
        <v>389</v>
      </c>
      <c r="K23" s="196" t="s">
        <v>390</v>
      </c>
      <c r="L23" s="197"/>
      <c r="M23" s="198">
        <v>45071</v>
      </c>
      <c r="N23" s="198">
        <v>45014</v>
      </c>
      <c r="O23" s="112" t="s">
        <v>324</v>
      </c>
      <c r="P23" s="199" t="s">
        <v>325</v>
      </c>
      <c r="Q23" s="112" t="s">
        <v>380</v>
      </c>
      <c r="R23" s="112">
        <v>43437.435243055559</v>
      </c>
      <c r="S23" s="200"/>
    </row>
    <row r="24" spans="1:20" ht="39.65" customHeight="1" x14ac:dyDescent="0.25">
      <c r="A24" s="195" t="str">
        <f ca="1">HYPERLINK(MID(CELL("filename",A1),FIND("[",CELL("filename",A1)),FIND("]",CELL("filename",A1)) - FIND("[",CELL("filename",A1)) + 1) &amp; "'x-302'!TABLE_CLIENT_1","x-302 1")</f>
        <v>x-302 1</v>
      </c>
      <c r="B24" s="196" t="s">
        <v>316</v>
      </c>
      <c r="C24" s="196" t="s">
        <v>92</v>
      </c>
      <c r="D24" s="196" t="s">
        <v>387</v>
      </c>
      <c r="E24" s="196" t="s">
        <v>391</v>
      </c>
      <c r="F24" s="196" t="s">
        <v>334</v>
      </c>
      <c r="G24" s="196" t="s">
        <v>335</v>
      </c>
      <c r="H24" s="196">
        <v>0</v>
      </c>
      <c r="I24" s="196">
        <v>302</v>
      </c>
      <c r="J24" s="196" t="s">
        <v>392</v>
      </c>
      <c r="K24" s="196" t="s">
        <v>393</v>
      </c>
      <c r="L24" s="197"/>
      <c r="M24" s="198">
        <v>45071</v>
      </c>
      <c r="N24" s="198">
        <v>45014</v>
      </c>
      <c r="O24" s="112" t="s">
        <v>324</v>
      </c>
      <c r="P24" s="199" t="s">
        <v>325</v>
      </c>
      <c r="Q24" s="112" t="s">
        <v>394</v>
      </c>
      <c r="R24" s="112" t="s">
        <v>330</v>
      </c>
      <c r="S24" s="200" t="s">
        <v>331</v>
      </c>
      <c r="T24">
        <v>43413.345671296294</v>
      </c>
    </row>
    <row r="25" spans="1:20" ht="39.65" customHeight="1" x14ac:dyDescent="0.25">
      <c r="A25" s="195" t="str">
        <f ca="1">HYPERLINK(MID(CELL("filename",A1),FIND("[",CELL("filename",A1)),FIND("]",CELL("filename",A1)) - FIND("[",CELL("filename",A1)) + 1) &amp; "'x-303'!TABLE_CLIENT_1","x-303 1")</f>
        <v>x-303 1</v>
      </c>
      <c r="B25" s="196" t="s">
        <v>326</v>
      </c>
      <c r="C25" s="196" t="s">
        <v>395</v>
      </c>
      <c r="D25" s="196" t="s">
        <v>387</v>
      </c>
      <c r="E25" s="196" t="s">
        <v>396</v>
      </c>
      <c r="F25" s="196" t="s">
        <v>334</v>
      </c>
      <c r="G25" s="196" t="s">
        <v>335</v>
      </c>
      <c r="H25" s="196">
        <v>1</v>
      </c>
      <c r="I25" s="196">
        <v>303</v>
      </c>
      <c r="J25" s="196" t="s">
        <v>397</v>
      </c>
      <c r="K25" s="196" t="s">
        <v>398</v>
      </c>
      <c r="L25" s="197"/>
      <c r="M25" s="198">
        <v>45071</v>
      </c>
      <c r="N25" s="198">
        <v>45014</v>
      </c>
      <c r="O25" s="112" t="s">
        <v>324</v>
      </c>
      <c r="P25" s="199" t="s">
        <v>325</v>
      </c>
      <c r="Q25" s="112" t="s">
        <v>399</v>
      </c>
      <c r="R25" s="112" t="s">
        <v>330</v>
      </c>
      <c r="S25" s="200" t="s">
        <v>331</v>
      </c>
      <c r="T25">
        <v>43413.345671296294</v>
      </c>
    </row>
    <row r="26" spans="1:20" ht="39.65" customHeight="1" x14ac:dyDescent="0.25">
      <c r="A26" s="195" t="str">
        <f ca="1">HYPERLINK(MID(CELL("filename",A1),FIND("[",CELL("filename",A1)),FIND("]",CELL("filename",A1)) - FIND("[",CELL("filename",A1)) + 1) &amp; "'x-304'!TABLE_CLIENT_1","x-304 1")</f>
        <v>x-304 1</v>
      </c>
      <c r="B26" s="196" t="s">
        <v>326</v>
      </c>
      <c r="C26" s="196" t="s">
        <v>395</v>
      </c>
      <c r="D26" s="196" t="s">
        <v>387</v>
      </c>
      <c r="E26" s="196" t="s">
        <v>400</v>
      </c>
      <c r="F26" s="196" t="s">
        <v>334</v>
      </c>
      <c r="G26" s="196" t="s">
        <v>335</v>
      </c>
      <c r="H26" s="196">
        <v>1</v>
      </c>
      <c r="I26" s="196">
        <v>304</v>
      </c>
      <c r="J26" s="196" t="s">
        <v>401</v>
      </c>
      <c r="K26" s="196" t="s">
        <v>402</v>
      </c>
      <c r="L26" s="197"/>
      <c r="M26" s="198">
        <v>45071</v>
      </c>
      <c r="N26" s="198">
        <v>45014</v>
      </c>
      <c r="O26" s="112" t="s">
        <v>324</v>
      </c>
      <c r="P26" s="199" t="s">
        <v>325</v>
      </c>
      <c r="Q26" s="112" t="s">
        <v>403</v>
      </c>
      <c r="R26" s="112" t="s">
        <v>330</v>
      </c>
      <c r="S26" s="200" t="s">
        <v>331</v>
      </c>
      <c r="T26">
        <v>43413.345671296294</v>
      </c>
    </row>
    <row r="27" spans="1:20" ht="39.65" customHeight="1" x14ac:dyDescent="0.25">
      <c r="A27" s="195" t="str">
        <f ca="1">HYPERLINK(MID(CELL("filename",A1),FIND("[",CELL("filename",A1)),FIND("]",CELL("filename",A1)) - FIND("[",CELL("filename",A1)) + 1) &amp; "'x-305'!TABLE_CLIENT_1","x-305 1")</f>
        <v>x-305 1</v>
      </c>
      <c r="B27" s="196" t="s">
        <v>316</v>
      </c>
      <c r="C27" s="196" t="s">
        <v>92</v>
      </c>
      <c r="D27" s="196" t="s">
        <v>404</v>
      </c>
      <c r="E27" s="196" t="s">
        <v>405</v>
      </c>
      <c r="F27" s="196" t="s">
        <v>406</v>
      </c>
      <c r="G27" s="196" t="s">
        <v>407</v>
      </c>
      <c r="H27" s="196">
        <v>0</v>
      </c>
      <c r="I27" s="196">
        <v>305</v>
      </c>
      <c r="J27" s="196" t="s">
        <v>408</v>
      </c>
      <c r="K27" s="196" t="s">
        <v>409</v>
      </c>
      <c r="L27" s="197"/>
      <c r="M27" s="198">
        <v>45071</v>
      </c>
      <c r="N27" s="198">
        <v>45014</v>
      </c>
      <c r="O27" s="112" t="s">
        <v>324</v>
      </c>
      <c r="P27" s="199" t="s">
        <v>325</v>
      </c>
      <c r="Q27" s="112" t="s">
        <v>410</v>
      </c>
      <c r="R27" s="112" t="s">
        <v>330</v>
      </c>
      <c r="S27" s="200" t="s">
        <v>331</v>
      </c>
      <c r="T27">
        <v>43413.345671296294</v>
      </c>
    </row>
    <row r="28" spans="1:20" ht="39.65" customHeight="1" x14ac:dyDescent="0.25">
      <c r="A28" s="195" t="str">
        <f ca="1">HYPERLINK(MID(CELL("filename",A1),FIND("[",CELL("filename",A1)),FIND("]",CELL("filename",A1)) - FIND("[",CELL("filename",A1)) + 1) &amp; "'x-306'!TABLE_CLIENT_1","x-306 1")</f>
        <v>x-306 1</v>
      </c>
      <c r="B28" s="196" t="s">
        <v>316</v>
      </c>
      <c r="C28" s="196" t="s">
        <v>92</v>
      </c>
      <c r="D28" s="196" t="s">
        <v>404</v>
      </c>
      <c r="E28" s="196" t="s">
        <v>411</v>
      </c>
      <c r="F28" s="196" t="s">
        <v>412</v>
      </c>
      <c r="G28" s="196" t="s">
        <v>407</v>
      </c>
      <c r="H28" s="196">
        <v>0</v>
      </c>
      <c r="I28" s="196">
        <v>306</v>
      </c>
      <c r="J28" s="196" t="s">
        <v>413</v>
      </c>
      <c r="K28" s="196" t="s">
        <v>414</v>
      </c>
      <c r="L28" s="197"/>
      <c r="M28" s="198">
        <v>45071</v>
      </c>
      <c r="N28" s="198">
        <v>45014</v>
      </c>
      <c r="O28" s="112" t="s">
        <v>324</v>
      </c>
      <c r="P28" s="199" t="s">
        <v>325</v>
      </c>
      <c r="Q28" s="112" t="s">
        <v>415</v>
      </c>
      <c r="R28" s="112" t="s">
        <v>416</v>
      </c>
      <c r="S28" s="200" t="s">
        <v>417</v>
      </c>
      <c r="T28">
        <v>43427.784872685188</v>
      </c>
    </row>
    <row r="29" spans="1:20" ht="39.65" customHeight="1" x14ac:dyDescent="0.25">
      <c r="A29" s="195" t="str">
        <f ca="1">HYPERLINK(MID(CELL("filename",A1),FIND("[",CELL("filename",A1)),FIND("]",CELL("filename",A1)) - FIND("[",CELL("filename",A1)) + 1) &amp; "'x-307'!TABLE_CLIENT_1","x-307 1")</f>
        <v>x-307 1</v>
      </c>
      <c r="B29" s="196" t="s">
        <v>326</v>
      </c>
      <c r="C29" s="196" t="s">
        <v>327</v>
      </c>
      <c r="D29" s="196" t="s">
        <v>404</v>
      </c>
      <c r="E29" s="196" t="s">
        <v>418</v>
      </c>
      <c r="F29" s="196" t="s">
        <v>334</v>
      </c>
      <c r="G29" s="196" t="s">
        <v>407</v>
      </c>
      <c r="H29" s="196">
        <v>1</v>
      </c>
      <c r="I29" s="196">
        <v>307</v>
      </c>
      <c r="J29" s="196" t="s">
        <v>419</v>
      </c>
      <c r="K29" s="196" t="s">
        <v>420</v>
      </c>
      <c r="L29" s="197"/>
      <c r="M29" s="198">
        <v>45071</v>
      </c>
      <c r="N29" s="198">
        <v>45014</v>
      </c>
      <c r="O29" s="112" t="s">
        <v>324</v>
      </c>
      <c r="P29" s="199" t="s">
        <v>325</v>
      </c>
      <c r="Q29" s="112" t="s">
        <v>421</v>
      </c>
      <c r="R29" s="112" t="s">
        <v>416</v>
      </c>
      <c r="S29" s="200" t="s">
        <v>417</v>
      </c>
      <c r="T29">
        <v>43427.784872685188</v>
      </c>
    </row>
    <row r="30" spans="1:20" ht="39.65" customHeight="1" x14ac:dyDescent="0.25">
      <c r="A30" s="195" t="str">
        <f ca="1">HYPERLINK(MID(CELL("filename",A1),FIND("[",CELL("filename",A1)),FIND("]",CELL("filename",A1)) - FIND("[",CELL("filename",A1)) + 1) &amp; "'x-308'!TABLE_CLIENT_1","x-308 1")</f>
        <v>x-308 1</v>
      </c>
      <c r="B30" s="196" t="s">
        <v>326</v>
      </c>
      <c r="C30" s="196" t="s">
        <v>96</v>
      </c>
      <c r="D30" s="196" t="s">
        <v>404</v>
      </c>
      <c r="E30" s="196" t="s">
        <v>422</v>
      </c>
      <c r="F30" s="196" t="s">
        <v>334</v>
      </c>
      <c r="G30" s="196" t="s">
        <v>407</v>
      </c>
      <c r="H30" s="196">
        <v>1</v>
      </c>
      <c r="I30" s="196">
        <v>308</v>
      </c>
      <c r="J30" s="196" t="s">
        <v>423</v>
      </c>
      <c r="K30" s="196" t="s">
        <v>424</v>
      </c>
      <c r="L30" s="197"/>
      <c r="M30" s="198">
        <v>45071</v>
      </c>
      <c r="N30" s="198">
        <v>45014</v>
      </c>
      <c r="O30" s="112" t="s">
        <v>324</v>
      </c>
      <c r="P30" s="199" t="s">
        <v>325</v>
      </c>
      <c r="Q30" s="112" t="s">
        <v>425</v>
      </c>
      <c r="R30" s="112" t="s">
        <v>416</v>
      </c>
      <c r="S30" s="200" t="s">
        <v>417</v>
      </c>
      <c r="T30">
        <v>43427.784872685188</v>
      </c>
    </row>
    <row r="31" spans="1:20" ht="51.65" customHeight="1" x14ac:dyDescent="0.25">
      <c r="A31" s="195" t="str">
        <f ca="1">HYPERLINK(MID(CELL("filename",A1),FIND("[",CELL("filename",A1)),FIND("]",CELL("filename",A1)) - FIND("[",CELL("filename",A1)) + 1) &amp; "'x-401'!TABLE_CLIENT_1","x-401 1")</f>
        <v>x-401 1</v>
      </c>
      <c r="B31" s="196" t="s">
        <v>316</v>
      </c>
      <c r="C31" s="196" t="s">
        <v>92</v>
      </c>
      <c r="D31" s="196" t="s">
        <v>426</v>
      </c>
      <c r="E31" s="196" t="s">
        <v>427</v>
      </c>
      <c r="F31" s="196" t="s">
        <v>319</v>
      </c>
      <c r="G31" s="196" t="s">
        <v>428</v>
      </c>
      <c r="H31" s="196">
        <v>0</v>
      </c>
      <c r="I31" s="196">
        <v>401</v>
      </c>
      <c r="J31" s="196" t="s">
        <v>429</v>
      </c>
      <c r="K31" s="196" t="s">
        <v>430</v>
      </c>
      <c r="L31" s="197"/>
      <c r="M31" s="198">
        <v>45106</v>
      </c>
      <c r="N31" s="198">
        <v>45200</v>
      </c>
      <c r="O31" s="112" t="s">
        <v>324</v>
      </c>
      <c r="P31" s="199" t="s">
        <v>325</v>
      </c>
      <c r="Q31" s="112" t="s">
        <v>431</v>
      </c>
      <c r="R31" s="112" t="s">
        <v>416</v>
      </c>
      <c r="S31" s="200" t="s">
        <v>417</v>
      </c>
      <c r="T31">
        <v>43427.784872685188</v>
      </c>
    </row>
    <row r="32" spans="1:20" ht="69.650000000000006" customHeight="1" x14ac:dyDescent="0.25">
      <c r="A32" s="195" t="str">
        <f ca="1">HYPERLINK(MID(CELL("filename",A1),FIND("[",CELL("filename",A1)),FIND("]",CELL("filename",A1)) - FIND("[",CELL("filename",A1)) + 1) &amp; "'x-402'!TABLE_CLIENT_1","x-402 1")</f>
        <v>x-402 1</v>
      </c>
      <c r="B32" s="196" t="s">
        <v>316</v>
      </c>
      <c r="C32" s="196" t="s">
        <v>92</v>
      </c>
      <c r="D32" s="196" t="s">
        <v>426</v>
      </c>
      <c r="E32" s="196" t="s">
        <v>432</v>
      </c>
      <c r="F32" s="196" t="s">
        <v>319</v>
      </c>
      <c r="G32" s="196" t="s">
        <v>428</v>
      </c>
      <c r="H32" s="196">
        <v>0</v>
      </c>
      <c r="I32" s="196">
        <v>402</v>
      </c>
      <c r="J32" s="196" t="s">
        <v>433</v>
      </c>
      <c r="K32" s="87" t="s">
        <v>434</v>
      </c>
      <c r="L32" s="197"/>
      <c r="M32" s="198">
        <v>45106</v>
      </c>
      <c r="N32" s="198">
        <v>45200</v>
      </c>
      <c r="O32" s="112" t="s">
        <v>324</v>
      </c>
      <c r="P32" s="199" t="s">
        <v>325</v>
      </c>
      <c r="Q32" s="112" t="s">
        <v>435</v>
      </c>
      <c r="R32" s="112" t="s">
        <v>416</v>
      </c>
      <c r="S32" s="200" t="s">
        <v>331</v>
      </c>
      <c r="T32">
        <v>43423.594583333332</v>
      </c>
    </row>
    <row r="33" spans="1:20" ht="84" customHeight="1" x14ac:dyDescent="0.25">
      <c r="A33" s="195" t="str">
        <f ca="1">HYPERLINK(MID(CELL("filename",A1),FIND("[",CELL("filename",A1)),FIND("]",CELL("filename",A1)) - FIND("[",CELL("filename",A1)) + 1) &amp; "'x-403'!TABLE_CLIENT_1","x-403 1")</f>
        <v>x-403 1</v>
      </c>
      <c r="B33" s="196" t="s">
        <v>316</v>
      </c>
      <c r="C33" s="196" t="s">
        <v>92</v>
      </c>
      <c r="D33" s="196" t="s">
        <v>426</v>
      </c>
      <c r="E33" s="196" t="s">
        <v>436</v>
      </c>
      <c r="F33" s="196" t="s">
        <v>319</v>
      </c>
      <c r="G33" s="196" t="s">
        <v>428</v>
      </c>
      <c r="H33" s="196">
        <v>0</v>
      </c>
      <c r="I33" s="196">
        <v>403</v>
      </c>
      <c r="J33" s="196" t="s">
        <v>437</v>
      </c>
      <c r="K33" s="87" t="s">
        <v>438</v>
      </c>
      <c r="L33" s="197"/>
      <c r="M33" s="198">
        <v>45106</v>
      </c>
      <c r="N33" s="198">
        <v>45200</v>
      </c>
      <c r="O33" s="112" t="s">
        <v>324</v>
      </c>
      <c r="P33" s="199" t="s">
        <v>325</v>
      </c>
      <c r="Q33" s="112" t="s">
        <v>439</v>
      </c>
      <c r="R33" s="112" t="s">
        <v>416</v>
      </c>
      <c r="S33" s="200" t="s">
        <v>331</v>
      </c>
      <c r="T33">
        <v>43423.594583333332</v>
      </c>
    </row>
    <row r="34" spans="1:20" ht="25" x14ac:dyDescent="0.25">
      <c r="A34" s="195" t="str">
        <f ca="1">HYPERLINK(MID(CELL("filename",A1),FIND("[",CELL("filename",A1)),FIND("]",CELL("filename",A1)) - FIND("[",CELL("filename",A1)) + 1) &amp; "'x-404'!TABLE_CLIENT_1","x-404 1")</f>
        <v>x-404 1</v>
      </c>
      <c r="B34" s="196" t="s">
        <v>316</v>
      </c>
      <c r="C34" s="196" t="s">
        <v>92</v>
      </c>
      <c r="D34" s="196" t="s">
        <v>426</v>
      </c>
      <c r="E34" s="196" t="s">
        <v>440</v>
      </c>
      <c r="F34" s="196" t="s">
        <v>319</v>
      </c>
      <c r="G34" s="196" t="s">
        <v>428</v>
      </c>
      <c r="H34" s="196">
        <v>0</v>
      </c>
      <c r="I34" s="196">
        <v>404</v>
      </c>
      <c r="J34" s="196" t="s">
        <v>441</v>
      </c>
      <c r="K34" s="87" t="s">
        <v>442</v>
      </c>
      <c r="L34" s="197"/>
      <c r="M34" s="198">
        <v>45106</v>
      </c>
      <c r="N34" s="198">
        <v>45200</v>
      </c>
      <c r="O34" s="112" t="s">
        <v>324</v>
      </c>
      <c r="P34" s="199" t="s">
        <v>325</v>
      </c>
      <c r="Q34" s="112" t="s">
        <v>443</v>
      </c>
      <c r="R34" s="112" t="s">
        <v>416</v>
      </c>
      <c r="S34" s="200" t="s">
        <v>331</v>
      </c>
      <c r="T34">
        <v>43423.594583333332</v>
      </c>
    </row>
    <row r="35" spans="1:20" ht="37.5" x14ac:dyDescent="0.25">
      <c r="A35" s="195" t="str">
        <f ca="1">HYPERLINK(MID(CELL("filename",A1),FIND("[",CELL("filename",A1)),FIND("]",CELL("filename",A1)) - FIND("[",CELL("filename",A1)) + 1) &amp; "'x-405'!TABLE_CLIENT_1","x-405 1")</f>
        <v>x-405 1</v>
      </c>
      <c r="B35" s="196" t="s">
        <v>326</v>
      </c>
      <c r="C35" s="196" t="s">
        <v>444</v>
      </c>
      <c r="D35" s="196" t="s">
        <v>426</v>
      </c>
      <c r="E35" s="196" t="s">
        <v>445</v>
      </c>
      <c r="F35" s="196" t="s">
        <v>319</v>
      </c>
      <c r="G35" s="196" t="s">
        <v>446</v>
      </c>
      <c r="H35" s="196">
        <v>1</v>
      </c>
      <c r="I35" s="196">
        <v>405</v>
      </c>
      <c r="J35" s="196" t="s">
        <v>447</v>
      </c>
      <c r="K35" s="87" t="s">
        <v>448</v>
      </c>
      <c r="L35" s="197"/>
      <c r="M35" s="198">
        <v>45106</v>
      </c>
      <c r="N35" s="198">
        <v>45200</v>
      </c>
      <c r="O35" s="112" t="s">
        <v>324</v>
      </c>
      <c r="P35" s="199" t="s">
        <v>325</v>
      </c>
      <c r="Q35" s="112" t="s">
        <v>449</v>
      </c>
      <c r="R35" s="112" t="s">
        <v>416</v>
      </c>
      <c r="S35" s="200" t="s">
        <v>331</v>
      </c>
      <c r="T35">
        <v>43423.594583333332</v>
      </c>
    </row>
    <row r="36" spans="1:20" ht="37.5" x14ac:dyDescent="0.25">
      <c r="A36" s="195" t="str">
        <f ca="1">HYPERLINK(MID(CELL("filename",A1),FIND("[",CELL("filename",A1)),FIND("]",CELL("filename",A1)) - FIND("[",CELL("filename",A1)) + 1) &amp; "'x-406'!TABLE_CLIENT_1","x-406 1")</f>
        <v>x-406 1</v>
      </c>
      <c r="B36" s="196" t="s">
        <v>326</v>
      </c>
      <c r="C36" s="196" t="s">
        <v>93</v>
      </c>
      <c r="D36" s="196" t="s">
        <v>426</v>
      </c>
      <c r="E36" s="196" t="s">
        <v>450</v>
      </c>
      <c r="F36" s="196" t="s">
        <v>319</v>
      </c>
      <c r="G36" s="196" t="s">
        <v>446</v>
      </c>
      <c r="H36" s="196">
        <v>1</v>
      </c>
      <c r="I36" s="196">
        <v>406</v>
      </c>
      <c r="J36" s="196" t="s">
        <v>451</v>
      </c>
      <c r="K36" s="94" t="s">
        <v>452</v>
      </c>
      <c r="L36" s="197"/>
      <c r="M36" s="198">
        <v>45106</v>
      </c>
      <c r="N36" s="198">
        <v>45200</v>
      </c>
      <c r="O36" s="112" t="s">
        <v>324</v>
      </c>
      <c r="P36" s="199" t="s">
        <v>325</v>
      </c>
      <c r="Q36" s="112" t="s">
        <v>453</v>
      </c>
      <c r="R36" s="112" t="s">
        <v>416</v>
      </c>
      <c r="S36" s="200" t="s">
        <v>331</v>
      </c>
      <c r="T36">
        <v>43423.594583333332</v>
      </c>
    </row>
    <row r="37" spans="1:20" ht="37.5" x14ac:dyDescent="0.25">
      <c r="A37" s="195" t="str">
        <f ca="1">HYPERLINK(MID(CELL("filename",A1),FIND("[",CELL("filename",A1)),FIND("]",CELL("filename",A1)) - FIND("[",CELL("filename",A1)) + 1) &amp; "'x-407'!TABLE_CLIENT_1","x-407 1")</f>
        <v>x-407 1</v>
      </c>
      <c r="B37" s="196" t="s">
        <v>326</v>
      </c>
      <c r="C37" s="196" t="s">
        <v>444</v>
      </c>
      <c r="D37" s="196" t="s">
        <v>426</v>
      </c>
      <c r="E37" s="196" t="s">
        <v>454</v>
      </c>
      <c r="F37" s="196" t="s">
        <v>319</v>
      </c>
      <c r="G37" s="196" t="s">
        <v>446</v>
      </c>
      <c r="H37" s="196">
        <v>1</v>
      </c>
      <c r="I37" s="196">
        <v>407</v>
      </c>
      <c r="J37" s="196" t="s">
        <v>455</v>
      </c>
      <c r="K37" s="94" t="s">
        <v>456</v>
      </c>
      <c r="L37" s="197"/>
      <c r="M37" s="198">
        <v>45106</v>
      </c>
      <c r="N37" s="198">
        <v>45200</v>
      </c>
      <c r="O37" s="112" t="s">
        <v>324</v>
      </c>
      <c r="P37" s="199" t="s">
        <v>325</v>
      </c>
      <c r="Q37" s="112" t="s">
        <v>457</v>
      </c>
      <c r="R37" s="112" t="s">
        <v>416</v>
      </c>
      <c r="S37" s="200" t="s">
        <v>331</v>
      </c>
      <c r="T37">
        <v>43423.594583333332</v>
      </c>
    </row>
    <row r="38" spans="1:20" ht="37.5" x14ac:dyDescent="0.25">
      <c r="A38" s="195" t="str">
        <f ca="1">HYPERLINK(MID(CELL("filename",A1),FIND("[",CELL("filename",A1)),FIND("]",CELL("filename",A1)) - FIND("[",CELL("filename",A1)) + 1) &amp; "'x-408'!TABLE_CLIENT_1","x-408 1")</f>
        <v>x-408 1</v>
      </c>
      <c r="B38" s="196" t="s">
        <v>326</v>
      </c>
      <c r="C38" s="196" t="s">
        <v>93</v>
      </c>
      <c r="D38" s="196" t="s">
        <v>426</v>
      </c>
      <c r="E38" s="196" t="s">
        <v>458</v>
      </c>
      <c r="F38" s="196" t="s">
        <v>319</v>
      </c>
      <c r="G38" s="196" t="s">
        <v>446</v>
      </c>
      <c r="H38" s="196">
        <v>1</v>
      </c>
      <c r="I38" s="196">
        <v>408</v>
      </c>
      <c r="J38" s="196" t="s">
        <v>459</v>
      </c>
      <c r="K38" s="94" t="s">
        <v>460</v>
      </c>
      <c r="L38" s="197"/>
      <c r="M38" s="198">
        <v>45106</v>
      </c>
      <c r="N38" s="198">
        <v>45200</v>
      </c>
      <c r="O38" s="112" t="s">
        <v>324</v>
      </c>
      <c r="P38" s="199" t="s">
        <v>325</v>
      </c>
      <c r="Q38" s="112" t="s">
        <v>461</v>
      </c>
      <c r="R38" s="112" t="s">
        <v>416</v>
      </c>
      <c r="S38" s="200" t="s">
        <v>331</v>
      </c>
      <c r="T38">
        <v>43423.594583333332</v>
      </c>
    </row>
    <row r="39" spans="1:20" ht="37.5" x14ac:dyDescent="0.25">
      <c r="A39" s="195" t="str">
        <f ca="1">HYPERLINK(MID(CELL("filename",A1),FIND("[",CELL("filename",A1)),FIND("]",CELL("filename",A1)) - FIND("[",CELL("filename",A1)) + 1) &amp; "'x-408'!TABLE_CLIENT_2","x-408 2")</f>
        <v>x-408 2</v>
      </c>
      <c r="B39" s="196" t="s">
        <v>326</v>
      </c>
      <c r="C39" s="196" t="s">
        <v>93</v>
      </c>
      <c r="D39" s="196" t="s">
        <v>426</v>
      </c>
      <c r="E39" s="196" t="s">
        <v>458</v>
      </c>
      <c r="F39" s="196" t="s">
        <v>319</v>
      </c>
      <c r="G39" s="196" t="s">
        <v>446</v>
      </c>
      <c r="H39" s="196">
        <v>1</v>
      </c>
      <c r="I39" s="196">
        <v>408</v>
      </c>
      <c r="J39" s="196" t="s">
        <v>462</v>
      </c>
      <c r="K39" s="94" t="s">
        <v>463</v>
      </c>
      <c r="L39" s="197"/>
      <c r="M39" s="198">
        <v>45106</v>
      </c>
      <c r="N39" s="198">
        <v>45200</v>
      </c>
      <c r="O39" s="112" t="s">
        <v>324</v>
      </c>
      <c r="P39" s="199" t="s">
        <v>325</v>
      </c>
      <c r="Q39" s="112" t="s">
        <v>464</v>
      </c>
      <c r="R39" s="112" t="s">
        <v>416</v>
      </c>
      <c r="S39" s="200" t="s">
        <v>331</v>
      </c>
      <c r="T39">
        <v>43423.594583333332</v>
      </c>
    </row>
    <row r="40" spans="1:20" ht="37.5" x14ac:dyDescent="0.25">
      <c r="A40" s="195" t="str">
        <f ca="1">HYPERLINK(MID(CELL("filename",A1),FIND("[",CELL("filename",A1)),FIND("]",CELL("filename",A1)) - FIND("[",CELL("filename",A1)) + 1) &amp; "'x-409'!TABLE_CLIENT_1","x-409 1")</f>
        <v>x-409 1</v>
      </c>
      <c r="B40" s="196" t="s">
        <v>326</v>
      </c>
      <c r="C40" s="196" t="s">
        <v>444</v>
      </c>
      <c r="D40" s="196" t="s">
        <v>426</v>
      </c>
      <c r="E40" s="196" t="s">
        <v>465</v>
      </c>
      <c r="F40" s="196" t="s">
        <v>319</v>
      </c>
      <c r="G40" s="196" t="s">
        <v>446</v>
      </c>
      <c r="H40" s="196">
        <v>1</v>
      </c>
      <c r="I40" s="196">
        <v>409</v>
      </c>
      <c r="J40" s="196" t="s">
        <v>466</v>
      </c>
      <c r="K40" s="94" t="s">
        <v>467</v>
      </c>
      <c r="L40" s="197"/>
      <c r="M40" s="198">
        <v>45106</v>
      </c>
      <c r="N40" s="198">
        <v>45200</v>
      </c>
      <c r="O40" s="112" t="s">
        <v>324</v>
      </c>
      <c r="P40" s="199" t="s">
        <v>325</v>
      </c>
      <c r="Q40" s="112" t="s">
        <v>468</v>
      </c>
      <c r="R40" s="112" t="s">
        <v>416</v>
      </c>
      <c r="S40" s="200" t="s">
        <v>331</v>
      </c>
      <c r="T40">
        <v>43423.594583333332</v>
      </c>
    </row>
    <row r="41" spans="1:20" ht="37.5" x14ac:dyDescent="0.25">
      <c r="A41" s="195" t="str">
        <f ca="1">HYPERLINK(MID(CELL("filename",A1),FIND("[",CELL("filename",A1)),FIND("]",CELL("filename",A1)) - FIND("[",CELL("filename",A1)) + 1) &amp; "'x-410'!TABLE_CLIENT_1","x-410 1")</f>
        <v>x-410 1</v>
      </c>
      <c r="B41" s="196" t="s">
        <v>326</v>
      </c>
      <c r="C41" s="196" t="s">
        <v>93</v>
      </c>
      <c r="D41" s="196" t="s">
        <v>426</v>
      </c>
      <c r="E41" s="196" t="s">
        <v>469</v>
      </c>
      <c r="F41" s="196" t="s">
        <v>319</v>
      </c>
      <c r="G41" s="196" t="s">
        <v>446</v>
      </c>
      <c r="H41" s="196">
        <v>1</v>
      </c>
      <c r="I41" s="196">
        <v>410</v>
      </c>
      <c r="J41" s="196" t="s">
        <v>470</v>
      </c>
      <c r="K41" s="94" t="s">
        <v>471</v>
      </c>
      <c r="L41" s="197"/>
      <c r="M41" s="198">
        <v>45106</v>
      </c>
      <c r="N41" s="198">
        <v>45200</v>
      </c>
      <c r="O41" s="112" t="s">
        <v>324</v>
      </c>
      <c r="P41" s="199" t="s">
        <v>325</v>
      </c>
      <c r="Q41" s="112" t="s">
        <v>472</v>
      </c>
      <c r="R41" s="112" t="s">
        <v>416</v>
      </c>
      <c r="S41" s="200" t="s">
        <v>331</v>
      </c>
      <c r="T41">
        <v>43423.594583333332</v>
      </c>
    </row>
    <row r="42" spans="1:20" ht="37.5" x14ac:dyDescent="0.25">
      <c r="A42" s="195" t="str">
        <f ca="1">HYPERLINK(MID(CELL("filename",A1),FIND("[",CELL("filename",A1)),FIND("]",CELL("filename",A1)) - FIND("[",CELL("filename",A1)) + 1) &amp; "'x-411'!TABLE_CLIENT_1","x-411 1")</f>
        <v>x-411 1</v>
      </c>
      <c r="B42" s="196" t="s">
        <v>326</v>
      </c>
      <c r="C42" s="196" t="s">
        <v>444</v>
      </c>
      <c r="D42" s="196" t="s">
        <v>426</v>
      </c>
      <c r="E42" s="196" t="s">
        <v>473</v>
      </c>
      <c r="F42" s="196" t="s">
        <v>319</v>
      </c>
      <c r="G42" s="196" t="s">
        <v>446</v>
      </c>
      <c r="H42" s="196">
        <v>1</v>
      </c>
      <c r="I42" s="196">
        <v>411</v>
      </c>
      <c r="J42" s="196" t="s">
        <v>474</v>
      </c>
      <c r="K42" s="94" t="s">
        <v>475</v>
      </c>
      <c r="L42" s="197"/>
      <c r="M42" s="198">
        <v>45106</v>
      </c>
      <c r="N42" s="198">
        <v>45200</v>
      </c>
      <c r="O42" s="112" t="s">
        <v>324</v>
      </c>
      <c r="P42" s="199" t="s">
        <v>325</v>
      </c>
      <c r="Q42" s="112" t="s">
        <v>476</v>
      </c>
      <c r="R42" s="112" t="s">
        <v>416</v>
      </c>
      <c r="S42" s="200" t="s">
        <v>331</v>
      </c>
      <c r="T42">
        <v>43423.594583333332</v>
      </c>
    </row>
    <row r="43" spans="1:20" ht="37.5" x14ac:dyDescent="0.25">
      <c r="A43" s="195" t="str">
        <f ca="1">HYPERLINK(MID(CELL("filename",A1),FIND("[",CELL("filename",A1)),FIND("]",CELL("filename",A1)) - FIND("[",CELL("filename",A1)) + 1) &amp; "'x-412'!TABLE_CLIENT_1","x-412 1")</f>
        <v>x-412 1</v>
      </c>
      <c r="B43" s="196" t="s">
        <v>326</v>
      </c>
      <c r="C43" s="196" t="s">
        <v>93</v>
      </c>
      <c r="D43" s="196" t="s">
        <v>426</v>
      </c>
      <c r="E43" s="196" t="s">
        <v>477</v>
      </c>
      <c r="F43" s="196" t="s">
        <v>319</v>
      </c>
      <c r="G43" s="196" t="s">
        <v>446</v>
      </c>
      <c r="H43" s="196">
        <v>1</v>
      </c>
      <c r="I43" s="196">
        <v>412</v>
      </c>
      <c r="J43" s="196" t="s">
        <v>478</v>
      </c>
      <c r="K43" s="94" t="s">
        <v>479</v>
      </c>
      <c r="L43" s="197"/>
      <c r="M43" s="198">
        <v>45106</v>
      </c>
      <c r="N43" s="198">
        <v>45200</v>
      </c>
      <c r="O43" s="112" t="s">
        <v>324</v>
      </c>
      <c r="P43" s="199" t="s">
        <v>325</v>
      </c>
      <c r="Q43" s="112" t="s">
        <v>480</v>
      </c>
      <c r="R43" s="112" t="s">
        <v>416</v>
      </c>
      <c r="S43" s="200" t="s">
        <v>331</v>
      </c>
      <c r="T43">
        <v>43423.594583333332</v>
      </c>
    </row>
    <row r="44" spans="1:20" ht="37.5" x14ac:dyDescent="0.25">
      <c r="A44" s="195" t="str">
        <f ca="1">HYPERLINK(MID(CELL("filename",A1),FIND("[",CELL("filename",A1)),FIND("]",CELL("filename",A1)) - FIND("[",CELL("filename",A1)) + 1) &amp; "'x-412'!TABLE_CLIENT_2","x-412 2")</f>
        <v>x-412 2</v>
      </c>
      <c r="B44" s="196" t="s">
        <v>326</v>
      </c>
      <c r="C44" s="196" t="s">
        <v>93</v>
      </c>
      <c r="D44" s="196" t="s">
        <v>426</v>
      </c>
      <c r="E44" s="196" t="s">
        <v>477</v>
      </c>
      <c r="F44" s="196" t="s">
        <v>319</v>
      </c>
      <c r="G44" s="196" t="s">
        <v>446</v>
      </c>
      <c r="H44" s="196">
        <v>1</v>
      </c>
      <c r="I44" s="196">
        <v>412</v>
      </c>
      <c r="J44" s="196" t="s">
        <v>481</v>
      </c>
      <c r="K44" s="94" t="s">
        <v>482</v>
      </c>
      <c r="L44" s="197"/>
      <c r="M44" s="198">
        <v>45106</v>
      </c>
      <c r="N44" s="198">
        <v>45200</v>
      </c>
      <c r="O44" s="112" t="s">
        <v>324</v>
      </c>
      <c r="P44" s="199" t="s">
        <v>325</v>
      </c>
      <c r="Q44" s="112" t="s">
        <v>483</v>
      </c>
      <c r="R44" s="112" t="s">
        <v>416</v>
      </c>
      <c r="S44" s="200" t="s">
        <v>331</v>
      </c>
      <c r="T44">
        <v>43423.594583333332</v>
      </c>
    </row>
    <row r="45" spans="1:20" ht="25" x14ac:dyDescent="0.25">
      <c r="A45" s="195" t="str">
        <f ca="1">HYPERLINK(MID(CELL("filename",A1),FIND("[",CELL("filename",A1)),FIND("]",CELL("filename",A1)) - FIND("[",CELL("filename",A1)) + 1) &amp; "'x-413'!TABLE_CLIENT_1","x-413 1")</f>
        <v>x-413 1</v>
      </c>
      <c r="B45" s="196" t="s">
        <v>326</v>
      </c>
      <c r="C45" s="196" t="s">
        <v>96</v>
      </c>
      <c r="D45" s="196" t="s">
        <v>426</v>
      </c>
      <c r="E45" s="196" t="s">
        <v>484</v>
      </c>
      <c r="F45" s="196" t="s">
        <v>319</v>
      </c>
      <c r="G45" s="196" t="s">
        <v>428</v>
      </c>
      <c r="H45" s="196">
        <v>1</v>
      </c>
      <c r="I45" s="196">
        <v>413</v>
      </c>
      <c r="J45" s="196" t="s">
        <v>485</v>
      </c>
      <c r="K45" s="94" t="s">
        <v>486</v>
      </c>
      <c r="L45" s="197"/>
      <c r="M45" s="198">
        <v>45106</v>
      </c>
      <c r="N45" s="198">
        <v>45200</v>
      </c>
      <c r="O45" s="112" t="s">
        <v>324</v>
      </c>
      <c r="P45" s="199" t="s">
        <v>325</v>
      </c>
      <c r="Q45" s="112" t="s">
        <v>487</v>
      </c>
      <c r="R45" s="112" t="s">
        <v>416</v>
      </c>
      <c r="S45" s="200" t="s">
        <v>331</v>
      </c>
      <c r="T45">
        <v>43423.594583333332</v>
      </c>
    </row>
    <row r="46" spans="1:20" ht="25" x14ac:dyDescent="0.25">
      <c r="A46" s="195" t="str">
        <f ca="1">HYPERLINK(MID(CELL("filename",A1),FIND("[",CELL("filename",A1)),FIND("]",CELL("filename",A1)) - FIND("[",CELL("filename",A1)) + 1) &amp; "'x-416'!TABLE_CLIENT_1","x-416 1")</f>
        <v>x-416 1</v>
      </c>
      <c r="B46" s="196" t="s">
        <v>316</v>
      </c>
      <c r="C46" s="196" t="s">
        <v>92</v>
      </c>
      <c r="D46" s="196" t="s">
        <v>488</v>
      </c>
      <c r="E46" s="196" t="s">
        <v>489</v>
      </c>
      <c r="F46" s="196" t="s">
        <v>319</v>
      </c>
      <c r="G46" s="196" t="s">
        <v>490</v>
      </c>
      <c r="H46" s="196">
        <v>0</v>
      </c>
      <c r="I46" s="196">
        <v>416</v>
      </c>
      <c r="J46" s="196" t="s">
        <v>491</v>
      </c>
      <c r="K46" s="196" t="s">
        <v>492</v>
      </c>
      <c r="L46" s="197"/>
      <c r="M46" s="198">
        <v>45106</v>
      </c>
      <c r="N46" s="198">
        <v>45200</v>
      </c>
      <c r="O46" s="112" t="s">
        <v>324</v>
      </c>
      <c r="P46" s="199" t="s">
        <v>325</v>
      </c>
      <c r="Q46" s="112" t="s">
        <v>493</v>
      </c>
      <c r="R46" s="112" t="s">
        <v>416</v>
      </c>
      <c r="S46" s="200" t="s">
        <v>494</v>
      </c>
      <c r="T46">
        <v>43419.709606481483</v>
      </c>
    </row>
    <row r="47" spans="1:20" ht="25" x14ac:dyDescent="0.25">
      <c r="A47" s="195" t="str">
        <f ca="1">HYPERLINK(MID(CELL("filename",A1),FIND("[",CELL("filename",A1)),FIND("]",CELL("filename",A1)) - FIND("[",CELL("filename",A1)) + 1) &amp; "'x-417'!TABLE_CLIENT_1","x-417 1")</f>
        <v>x-417 1</v>
      </c>
      <c r="B47" s="196" t="s">
        <v>316</v>
      </c>
      <c r="C47" s="196" t="s">
        <v>92</v>
      </c>
      <c r="D47" s="196" t="s">
        <v>488</v>
      </c>
      <c r="E47" s="196" t="s">
        <v>495</v>
      </c>
      <c r="F47" s="196" t="s">
        <v>319</v>
      </c>
      <c r="G47" s="196" t="s">
        <v>490</v>
      </c>
      <c r="H47" s="196">
        <v>0</v>
      </c>
      <c r="I47" s="196">
        <v>417</v>
      </c>
      <c r="J47" s="196" t="s">
        <v>496</v>
      </c>
      <c r="K47" s="196" t="s">
        <v>497</v>
      </c>
      <c r="L47" s="197"/>
      <c r="M47" s="198">
        <v>45106</v>
      </c>
      <c r="N47" s="198">
        <v>45200</v>
      </c>
      <c r="O47" s="112" t="s">
        <v>324</v>
      </c>
      <c r="P47" s="199" t="s">
        <v>325</v>
      </c>
      <c r="Q47" s="112" t="s">
        <v>498</v>
      </c>
      <c r="R47" s="112" t="s">
        <v>416</v>
      </c>
      <c r="S47" s="200" t="s">
        <v>494</v>
      </c>
      <c r="T47">
        <v>43419.709606481483</v>
      </c>
    </row>
    <row r="48" spans="1:20" ht="37.5" x14ac:dyDescent="0.25">
      <c r="A48" s="195" t="str">
        <f ca="1">HYPERLINK(MID(CELL("filename",A1),FIND("[",CELL("filename",A1)),FIND("]",CELL("filename",A1)) - FIND("[",CELL("filename",A1)) + 1) &amp; "'x-418'!TABLE_CLIENT_1","x-418 1")</f>
        <v>x-418 1</v>
      </c>
      <c r="B48" s="196" t="s">
        <v>316</v>
      </c>
      <c r="C48" s="196" t="s">
        <v>92</v>
      </c>
      <c r="D48" s="196" t="s">
        <v>488</v>
      </c>
      <c r="E48" s="196" t="s">
        <v>499</v>
      </c>
      <c r="F48" s="196" t="s">
        <v>319</v>
      </c>
      <c r="G48" s="196" t="s">
        <v>500</v>
      </c>
      <c r="H48" s="196">
        <v>0</v>
      </c>
      <c r="I48" s="196">
        <v>418</v>
      </c>
      <c r="J48" s="196" t="s">
        <v>501</v>
      </c>
      <c r="K48" s="196" t="s">
        <v>502</v>
      </c>
      <c r="L48" s="197"/>
      <c r="M48" s="198">
        <v>45106</v>
      </c>
      <c r="N48" s="198">
        <v>45200</v>
      </c>
      <c r="O48" s="112" t="s">
        <v>324</v>
      </c>
      <c r="P48" s="199" t="s">
        <v>325</v>
      </c>
      <c r="Q48" s="112" t="s">
        <v>503</v>
      </c>
      <c r="R48" s="112" t="s">
        <v>504</v>
      </c>
      <c r="S48" s="200" t="s">
        <v>494</v>
      </c>
      <c r="T48">
        <v>43419.709606481483</v>
      </c>
    </row>
    <row r="49" spans="1:20" ht="25" x14ac:dyDescent="0.25">
      <c r="A49" s="195" t="str">
        <f ca="1">HYPERLINK(MID(CELL("filename",A1),FIND("[",CELL("filename",A1)),FIND("]",CELL("filename",A1)) - FIND("[",CELL("filename",A1)) + 1) &amp; "'x-419'!TABLE_CLIENT_1","x-419 1")</f>
        <v>x-419 1</v>
      </c>
      <c r="B49" s="196" t="s">
        <v>316</v>
      </c>
      <c r="C49" s="196" t="s">
        <v>92</v>
      </c>
      <c r="D49" s="196" t="s">
        <v>488</v>
      </c>
      <c r="E49" s="196" t="s">
        <v>505</v>
      </c>
      <c r="F49" s="196" t="s">
        <v>319</v>
      </c>
      <c r="G49" s="196" t="s">
        <v>500</v>
      </c>
      <c r="H49" s="196">
        <v>0</v>
      </c>
      <c r="I49" s="196">
        <v>419</v>
      </c>
      <c r="J49" s="196" t="s">
        <v>506</v>
      </c>
      <c r="K49" s="196" t="s">
        <v>507</v>
      </c>
      <c r="L49" s="197"/>
      <c r="M49" s="198">
        <v>45106</v>
      </c>
      <c r="N49" s="198">
        <v>45200</v>
      </c>
      <c r="O49" s="112" t="s">
        <v>324</v>
      </c>
      <c r="P49" s="199" t="s">
        <v>325</v>
      </c>
      <c r="Q49" s="112" t="s">
        <v>508</v>
      </c>
      <c r="R49" s="112" t="s">
        <v>509</v>
      </c>
      <c r="S49" s="200" t="s">
        <v>510</v>
      </c>
      <c r="T49">
        <v>43453.619375000002</v>
      </c>
    </row>
    <row r="50" spans="1:20" ht="37.5" x14ac:dyDescent="0.25">
      <c r="A50" s="195" t="str">
        <f ca="1">HYPERLINK(MID(CELL("filename",A1),FIND("[",CELL("filename",A1)),FIND("]",CELL("filename",A1)) - FIND("[",CELL("filename",A1)) + 1) &amp; "'x-420'!TABLE_CLIENT_1","x-420 1")</f>
        <v>x-420 1</v>
      </c>
      <c r="B50" s="196" t="s">
        <v>326</v>
      </c>
      <c r="C50" s="196" t="s">
        <v>444</v>
      </c>
      <c r="D50" s="196" t="s">
        <v>426</v>
      </c>
      <c r="E50" s="196" t="s">
        <v>511</v>
      </c>
      <c r="F50" s="196" t="s">
        <v>319</v>
      </c>
      <c r="G50" s="196"/>
      <c r="H50" s="196">
        <v>1</v>
      </c>
      <c r="I50" s="196">
        <v>420</v>
      </c>
      <c r="J50" s="196" t="s">
        <v>512</v>
      </c>
      <c r="K50" s="196" t="s">
        <v>513</v>
      </c>
      <c r="L50" s="197"/>
      <c r="M50" s="198">
        <v>45106</v>
      </c>
      <c r="N50" s="198">
        <v>45200</v>
      </c>
      <c r="O50" s="112" t="s">
        <v>324</v>
      </c>
      <c r="P50" s="199" t="s">
        <v>325</v>
      </c>
      <c r="Q50" s="112" t="s">
        <v>514</v>
      </c>
      <c r="R50" s="112" t="s">
        <v>509</v>
      </c>
      <c r="S50" s="200" t="s">
        <v>510</v>
      </c>
      <c r="T50">
        <v>43453.619375000002</v>
      </c>
    </row>
    <row r="51" spans="1:20" ht="25" x14ac:dyDescent="0.25">
      <c r="A51" s="195" t="str">
        <f ca="1">HYPERLINK(MID(CELL("filename",A1),FIND("[",CELL("filename",A1)),FIND("]",CELL("filename",A1)) - FIND("[",CELL("filename",A1)) + 1) &amp; "'x-421'!TABLE_CLIENT_1","x-421 1")</f>
        <v>x-421 1</v>
      </c>
      <c r="B51" s="196" t="s">
        <v>326</v>
      </c>
      <c r="C51" s="196" t="s">
        <v>96</v>
      </c>
      <c r="D51" s="196" t="s">
        <v>488</v>
      </c>
      <c r="E51" s="196" t="s">
        <v>515</v>
      </c>
      <c r="F51" s="196" t="s">
        <v>516</v>
      </c>
      <c r="G51" s="196" t="s">
        <v>490</v>
      </c>
      <c r="H51" s="196">
        <v>1</v>
      </c>
      <c r="I51" s="196">
        <v>421</v>
      </c>
      <c r="J51" s="196" t="s">
        <v>517</v>
      </c>
      <c r="K51" s="196" t="s">
        <v>518</v>
      </c>
      <c r="L51" s="197"/>
      <c r="M51" s="198">
        <v>45106</v>
      </c>
      <c r="N51" s="198">
        <v>45200</v>
      </c>
      <c r="O51" s="112" t="s">
        <v>324</v>
      </c>
      <c r="P51" s="199" t="s">
        <v>325</v>
      </c>
      <c r="Q51" s="112" t="s">
        <v>519</v>
      </c>
      <c r="R51" s="112"/>
      <c r="S51" s="200" t="s">
        <v>417</v>
      </c>
      <c r="T51">
        <v>43418.482592592591</v>
      </c>
    </row>
    <row r="52" spans="1:20" ht="37.5" x14ac:dyDescent="0.25">
      <c r="A52" s="195" t="str">
        <f ca="1">HYPERLINK(MID(CELL("filename",A1),FIND("[",CELL("filename",A1)),FIND("]",CELL("filename",A1)) - FIND("[",CELL("filename",A1)) + 1) &amp; "'x-422'!TABLE_CLIENT_1","x-422 1")</f>
        <v>x-422 1</v>
      </c>
      <c r="B52" s="196" t="s">
        <v>326</v>
      </c>
      <c r="C52" s="196" t="s">
        <v>96</v>
      </c>
      <c r="D52" s="196" t="s">
        <v>488</v>
      </c>
      <c r="E52" s="196" t="s">
        <v>520</v>
      </c>
      <c r="F52" s="196" t="s">
        <v>319</v>
      </c>
      <c r="G52" s="196" t="s">
        <v>490</v>
      </c>
      <c r="H52" s="196">
        <v>1</v>
      </c>
      <c r="I52" s="196">
        <v>422</v>
      </c>
      <c r="J52" s="196" t="s">
        <v>521</v>
      </c>
      <c r="K52" s="196" t="s">
        <v>522</v>
      </c>
      <c r="L52" s="197"/>
      <c r="M52" s="198">
        <v>45106</v>
      </c>
      <c r="N52" s="198">
        <v>45200</v>
      </c>
      <c r="O52" s="112" t="s">
        <v>324</v>
      </c>
      <c r="P52" s="199" t="s">
        <v>325</v>
      </c>
      <c r="Q52" s="112" t="s">
        <v>523</v>
      </c>
      <c r="R52" s="112" t="s">
        <v>416</v>
      </c>
      <c r="S52" s="200" t="s">
        <v>494</v>
      </c>
      <c r="T52">
        <v>43419.709606481483</v>
      </c>
    </row>
    <row r="53" spans="1:20" ht="37.5" x14ac:dyDescent="0.25">
      <c r="A53" s="195" t="str">
        <f ca="1">HYPERLINK(MID(CELL("filename",A1),FIND("[",CELL("filename",A1)),FIND("]",CELL("filename",A1)) - FIND("[",CELL("filename",A1)) + 1) &amp; "'x-423'!TABLE_CLIENT_1","x-423 1")</f>
        <v>x-423 1</v>
      </c>
      <c r="B53" s="196" t="s">
        <v>326</v>
      </c>
      <c r="C53" s="196" t="s">
        <v>96</v>
      </c>
      <c r="D53" s="196" t="s">
        <v>488</v>
      </c>
      <c r="E53" s="196" t="s">
        <v>524</v>
      </c>
      <c r="F53" s="196" t="s">
        <v>319</v>
      </c>
      <c r="G53" s="196" t="s">
        <v>525</v>
      </c>
      <c r="H53" s="196">
        <v>1</v>
      </c>
      <c r="I53" s="196">
        <v>423</v>
      </c>
      <c r="J53" s="196" t="s">
        <v>526</v>
      </c>
      <c r="K53" s="196" t="s">
        <v>527</v>
      </c>
      <c r="L53" s="197"/>
      <c r="M53" s="198">
        <v>45106</v>
      </c>
      <c r="N53" s="198">
        <v>45200</v>
      </c>
      <c r="O53" s="112" t="s">
        <v>324</v>
      </c>
      <c r="P53" s="199" t="s">
        <v>325</v>
      </c>
      <c r="Q53" s="112"/>
      <c r="R53" s="112"/>
      <c r="S53" s="200"/>
    </row>
    <row r="54" spans="1:20" ht="37.5" x14ac:dyDescent="0.25">
      <c r="A54" s="195" t="str">
        <f ca="1">HYPERLINK(MID(CELL("filename",A1),FIND("[",CELL("filename",A1)),FIND("]",CELL("filename",A1)) - FIND("[",CELL("filename",A1)) + 1) &amp; "'x-424'!TABLE_CLIENT_1","x-424 1")</f>
        <v>x-424 1</v>
      </c>
      <c r="B54" s="196" t="s">
        <v>326</v>
      </c>
      <c r="C54" s="196" t="s">
        <v>96</v>
      </c>
      <c r="D54" s="196" t="s">
        <v>488</v>
      </c>
      <c r="E54" s="196" t="s">
        <v>528</v>
      </c>
      <c r="F54" s="196" t="s">
        <v>319</v>
      </c>
      <c r="G54" s="196" t="s">
        <v>525</v>
      </c>
      <c r="H54" s="196">
        <v>1</v>
      </c>
      <c r="I54" s="196">
        <v>424</v>
      </c>
      <c r="J54" s="196" t="s">
        <v>529</v>
      </c>
      <c r="K54" s="196" t="s">
        <v>530</v>
      </c>
      <c r="L54" s="197"/>
      <c r="M54" s="198">
        <v>45106</v>
      </c>
      <c r="N54" s="198">
        <v>45200</v>
      </c>
      <c r="O54" s="112" t="s">
        <v>324</v>
      </c>
      <c r="P54" s="199" t="s">
        <v>325</v>
      </c>
      <c r="Q54" s="112" t="s">
        <v>531</v>
      </c>
      <c r="R54" s="112" t="s">
        <v>416</v>
      </c>
      <c r="S54" s="200" t="s">
        <v>494</v>
      </c>
      <c r="T54">
        <v>43419.709606481483</v>
      </c>
    </row>
    <row r="55" spans="1:20" ht="25" x14ac:dyDescent="0.25">
      <c r="A55" s="195" t="str">
        <f ca="1">HYPERLINK(MID(CELL("filename",A1),FIND("[",CELL("filename",A1)),FIND("]",CELL("filename",A1)) - FIND("[",CELL("filename",A1)) + 1) &amp; "'x-501'!TABLE_CLIENT_1","x-501 1")</f>
        <v>x-501 1</v>
      </c>
      <c r="B55" s="196" t="s">
        <v>316</v>
      </c>
      <c r="C55" s="196" t="s">
        <v>92</v>
      </c>
      <c r="D55" s="196" t="s">
        <v>532</v>
      </c>
      <c r="E55" s="196" t="s">
        <v>533</v>
      </c>
      <c r="F55" s="196" t="s">
        <v>319</v>
      </c>
      <c r="G55" s="196" t="s">
        <v>534</v>
      </c>
      <c r="H55" s="196">
        <v>0</v>
      </c>
      <c r="I55" s="196">
        <v>501</v>
      </c>
      <c r="J55" s="196" t="s">
        <v>535</v>
      </c>
      <c r="K55" s="196" t="s">
        <v>536</v>
      </c>
      <c r="L55" s="197"/>
      <c r="M55" s="198">
        <v>45135</v>
      </c>
      <c r="N55" s="198">
        <v>45135</v>
      </c>
      <c r="O55" s="112" t="s">
        <v>324</v>
      </c>
      <c r="P55" s="199" t="s">
        <v>325</v>
      </c>
      <c r="Q55" s="112" t="s">
        <v>531</v>
      </c>
      <c r="R55" s="112" t="s">
        <v>416</v>
      </c>
      <c r="S55" s="200" t="s">
        <v>494</v>
      </c>
      <c r="T55">
        <v>43419.709606481483</v>
      </c>
    </row>
    <row r="56" spans="1:20" ht="39.65" customHeight="1" x14ac:dyDescent="0.25">
      <c r="A56" s="195" t="str">
        <f ca="1">HYPERLINK(MID(CELL("filename",A1),FIND("[",CELL("filename",A1)),FIND("]",CELL("filename",A1)) - FIND("[",CELL("filename",A1)) + 1) &amp; "'x-502'!TABLE_CLIENT_1","x-502 1")</f>
        <v>x-502 1</v>
      </c>
      <c r="B56" s="196" t="s">
        <v>326</v>
      </c>
      <c r="C56" s="196" t="s">
        <v>537</v>
      </c>
      <c r="D56" s="196" t="s">
        <v>532</v>
      </c>
      <c r="E56" s="196" t="s">
        <v>538</v>
      </c>
      <c r="F56" s="196" t="s">
        <v>319</v>
      </c>
      <c r="G56" s="196" t="s">
        <v>534</v>
      </c>
      <c r="H56" s="196">
        <v>1</v>
      </c>
      <c r="I56" s="196">
        <v>502</v>
      </c>
      <c r="J56" s="196" t="s">
        <v>539</v>
      </c>
      <c r="K56" s="196" t="s">
        <v>540</v>
      </c>
      <c r="L56" s="197"/>
      <c r="M56" s="198">
        <v>45135</v>
      </c>
      <c r="N56" s="198">
        <v>45135</v>
      </c>
      <c r="O56" s="112" t="s">
        <v>324</v>
      </c>
      <c r="P56" s="199" t="s">
        <v>325</v>
      </c>
      <c r="Q56" s="112" t="s">
        <v>541</v>
      </c>
      <c r="R56" s="112" t="s">
        <v>416</v>
      </c>
      <c r="S56" s="200" t="s">
        <v>417</v>
      </c>
      <c r="T56">
        <v>43427.784872685188</v>
      </c>
    </row>
    <row r="57" spans="1:20" ht="39.65" customHeight="1" x14ac:dyDescent="0.25">
      <c r="A57" s="195" t="str">
        <f ca="1">HYPERLINK(MID(CELL("filename",A1),FIND("[",CELL("filename",A1)),FIND("]",CELL("filename",A1)) - FIND("[",CELL("filename",A1)) + 1) &amp; "'x-503'!TABLE_CLIENT_1","x-503 1")</f>
        <v>x-503 1</v>
      </c>
      <c r="B57" s="196" t="s">
        <v>326</v>
      </c>
      <c r="C57" s="196" t="s">
        <v>93</v>
      </c>
      <c r="D57" s="196" t="s">
        <v>542</v>
      </c>
      <c r="E57" s="196" t="s">
        <v>543</v>
      </c>
      <c r="F57" s="196" t="s">
        <v>334</v>
      </c>
      <c r="G57" s="196" t="s">
        <v>544</v>
      </c>
      <c r="H57" s="196">
        <v>1</v>
      </c>
      <c r="I57" s="196">
        <v>503</v>
      </c>
      <c r="J57" s="196" t="s">
        <v>545</v>
      </c>
      <c r="K57" s="196" t="s">
        <v>546</v>
      </c>
      <c r="L57" s="197"/>
      <c r="M57" s="198">
        <v>45135</v>
      </c>
      <c r="N57" s="198">
        <v>45135</v>
      </c>
      <c r="O57" s="112" t="s">
        <v>324</v>
      </c>
      <c r="P57" s="199" t="s">
        <v>325</v>
      </c>
      <c r="Q57" s="112" t="s">
        <v>547</v>
      </c>
      <c r="R57" s="112" t="s">
        <v>416</v>
      </c>
      <c r="S57" s="200" t="s">
        <v>417</v>
      </c>
      <c r="T57">
        <v>43427.784872685188</v>
      </c>
    </row>
    <row r="58" spans="1:20" ht="39.65" customHeight="1" x14ac:dyDescent="0.25">
      <c r="A58" s="195" t="str">
        <f ca="1">HYPERLINK(MID(CELL("filename",A2),FIND("[",CELL("filename",A2)),FIND("]",CELL("filename",A2)) - FIND("[",CELL("filename",A2)) + 1) &amp; "'x-504'!TABLE_CLIENT_1","x-504 1")</f>
        <v>x-504 1</v>
      </c>
      <c r="B58" s="196" t="s">
        <v>326</v>
      </c>
      <c r="C58" s="196" t="s">
        <v>93</v>
      </c>
      <c r="D58" s="196" t="s">
        <v>542</v>
      </c>
      <c r="E58" s="196" t="s">
        <v>548</v>
      </c>
      <c r="F58" s="196" t="s">
        <v>319</v>
      </c>
      <c r="G58" s="196" t="s">
        <v>544</v>
      </c>
      <c r="H58" s="196">
        <v>1</v>
      </c>
      <c r="I58" s="196">
        <v>504</v>
      </c>
      <c r="J58" s="196" t="s">
        <v>549</v>
      </c>
      <c r="K58" s="196" t="s">
        <v>550</v>
      </c>
      <c r="L58" s="197"/>
      <c r="M58" s="198">
        <v>45135</v>
      </c>
      <c r="N58" s="198">
        <v>45135</v>
      </c>
      <c r="O58" s="112" t="s">
        <v>324</v>
      </c>
      <c r="P58" s="199" t="s">
        <v>325</v>
      </c>
      <c r="Q58" s="112"/>
      <c r="R58" s="112"/>
      <c r="S58" s="200"/>
    </row>
    <row r="59" spans="1:20" ht="25" x14ac:dyDescent="0.25">
      <c r="A59" s="195" t="str">
        <f ca="1">HYPERLINK(MID(CELL("filename",A1),FIND("[",CELL("filename",A1)),FIND("]",CELL("filename",A1)) - FIND("[",CELL("filename",A1)) + 1) &amp; "'x-601'!TABLE_CLIENT_1","x-601 1")</f>
        <v>x-601 1</v>
      </c>
      <c r="B59" s="196" t="s">
        <v>316</v>
      </c>
      <c r="C59" s="196" t="s">
        <v>92</v>
      </c>
      <c r="D59" s="196" t="s">
        <v>551</v>
      </c>
      <c r="E59" s="196" t="s">
        <v>552</v>
      </c>
      <c r="F59" s="196" t="s">
        <v>334</v>
      </c>
      <c r="G59" s="196" t="s">
        <v>335</v>
      </c>
      <c r="H59" s="196">
        <v>0</v>
      </c>
      <c r="I59" s="196">
        <v>601</v>
      </c>
      <c r="J59" s="196" t="s">
        <v>553</v>
      </c>
      <c r="K59" s="196" t="s">
        <v>554</v>
      </c>
      <c r="L59" s="197"/>
      <c r="M59" s="198">
        <v>45135</v>
      </c>
      <c r="N59" s="198">
        <v>45383</v>
      </c>
      <c r="O59" s="112" t="s">
        <v>324</v>
      </c>
      <c r="P59" s="199" t="s">
        <v>325</v>
      </c>
      <c r="Q59" s="112" t="s">
        <v>555</v>
      </c>
      <c r="R59" s="112" t="s">
        <v>556</v>
      </c>
      <c r="S59" s="200" t="s">
        <v>510</v>
      </c>
      <c r="T59">
        <v>43453.477997685186</v>
      </c>
    </row>
    <row r="60" spans="1:20" ht="25" x14ac:dyDescent="0.25">
      <c r="A60" s="195" t="str">
        <f ca="1">HYPERLINK(MID(CELL("filename",A1),FIND("[",CELL("filename",A1)),FIND("]",CELL("filename",A1)) - FIND("[",CELL("filename",A1)) + 1) &amp; "'x-603'!TABLE_CLIENT_1","x-603 1")</f>
        <v>x-603 1</v>
      </c>
      <c r="B60" s="196" t="s">
        <v>316</v>
      </c>
      <c r="C60" s="196" t="s">
        <v>92</v>
      </c>
      <c r="D60" s="196" t="s">
        <v>551</v>
      </c>
      <c r="E60" s="196" t="s">
        <v>557</v>
      </c>
      <c r="F60" s="196" t="s">
        <v>334</v>
      </c>
      <c r="G60" s="196" t="s">
        <v>558</v>
      </c>
      <c r="H60" s="196">
        <v>0</v>
      </c>
      <c r="I60" s="196">
        <v>603</v>
      </c>
      <c r="J60" s="196" t="s">
        <v>559</v>
      </c>
      <c r="K60" s="196" t="s">
        <v>560</v>
      </c>
      <c r="L60" s="197"/>
      <c r="M60" s="198">
        <v>45135</v>
      </c>
      <c r="N60" s="198">
        <v>45383</v>
      </c>
      <c r="O60" s="112" t="s">
        <v>324</v>
      </c>
      <c r="P60" s="199" t="s">
        <v>325</v>
      </c>
      <c r="Q60" s="112" t="s">
        <v>561</v>
      </c>
      <c r="R60" s="112" t="s">
        <v>556</v>
      </c>
      <c r="S60" s="200" t="s">
        <v>510</v>
      </c>
      <c r="T60">
        <v>43453.477997685186</v>
      </c>
    </row>
    <row r="61" spans="1:20" ht="25" x14ac:dyDescent="0.25">
      <c r="A61" s="195" t="str">
        <f ca="1">HYPERLINK(MID(CELL("filename",A1),FIND("[",CELL("filename",A1)),FIND("]",CELL("filename",A1)) - FIND("[",CELL("filename",A1)) + 1) &amp; "'x-604'!TABLE_CLIENT_1","x-604 1")</f>
        <v>x-604 1</v>
      </c>
      <c r="B61" s="196" t="s">
        <v>316</v>
      </c>
      <c r="C61" s="196" t="s">
        <v>92</v>
      </c>
      <c r="D61" s="196" t="s">
        <v>562</v>
      </c>
      <c r="E61" s="196" t="s">
        <v>563</v>
      </c>
      <c r="F61" s="196" t="s">
        <v>319</v>
      </c>
      <c r="G61" s="196" t="s">
        <v>558</v>
      </c>
      <c r="H61" s="196">
        <v>0</v>
      </c>
      <c r="I61" s="196">
        <v>604</v>
      </c>
      <c r="J61" s="196" t="s">
        <v>564</v>
      </c>
      <c r="K61" s="196" t="s">
        <v>565</v>
      </c>
      <c r="L61" s="197"/>
      <c r="M61" s="198">
        <v>45135</v>
      </c>
      <c r="N61" s="198">
        <v>45383</v>
      </c>
      <c r="O61" s="112" t="s">
        <v>324</v>
      </c>
      <c r="P61" s="199" t="s">
        <v>325</v>
      </c>
      <c r="Q61" s="112" t="s">
        <v>566</v>
      </c>
      <c r="R61" s="112" t="s">
        <v>556</v>
      </c>
      <c r="S61" s="200" t="s">
        <v>510</v>
      </c>
      <c r="T61">
        <v>43453.477997685186</v>
      </c>
    </row>
    <row r="62" spans="1:20" ht="25" x14ac:dyDescent="0.25">
      <c r="A62" s="195" t="str">
        <f ca="1">HYPERLINK(MID(CELL("filename",A1),FIND("[",CELL("filename",A1)),FIND("]",CELL("filename",A1)) - FIND("[",CELL("filename",A1)) + 1) &amp; "'x-605'!TABLE_CLIENT_1","x-605 1")</f>
        <v>x-605 1</v>
      </c>
      <c r="B62" s="196" t="s">
        <v>316</v>
      </c>
      <c r="C62" s="196" t="s">
        <v>92</v>
      </c>
      <c r="D62" s="196" t="s">
        <v>551</v>
      </c>
      <c r="E62" s="196" t="s">
        <v>567</v>
      </c>
      <c r="F62" s="196" t="s">
        <v>334</v>
      </c>
      <c r="G62" s="196" t="s">
        <v>335</v>
      </c>
      <c r="H62" s="196">
        <v>0</v>
      </c>
      <c r="I62" s="196">
        <v>605</v>
      </c>
      <c r="J62" s="196" t="s">
        <v>568</v>
      </c>
      <c r="K62" s="196" t="s">
        <v>569</v>
      </c>
      <c r="L62" s="197"/>
      <c r="M62" s="198">
        <v>45135</v>
      </c>
      <c r="N62" s="198">
        <v>45383</v>
      </c>
      <c r="O62" s="112" t="s">
        <v>324</v>
      </c>
      <c r="P62" s="199" t="s">
        <v>325</v>
      </c>
      <c r="Q62" s="112" t="s">
        <v>570</v>
      </c>
      <c r="R62" s="112" t="s">
        <v>556</v>
      </c>
      <c r="S62" s="200" t="s">
        <v>510</v>
      </c>
      <c r="T62">
        <v>43453.477997685186</v>
      </c>
    </row>
    <row r="63" spans="1:20" ht="54" customHeight="1" x14ac:dyDescent="0.25">
      <c r="A63" s="195" t="str">
        <f ca="1">HYPERLINK(MID(CELL("filename",A1),FIND("[",CELL("filename",A1)),FIND("]",CELL("filename",A1)) - FIND("[",CELL("filename",A1)) + 1) &amp; "'x-606'!TABLE_CLIENT_1","x-606 1")</f>
        <v>x-606 1</v>
      </c>
      <c r="B63" s="196" t="s">
        <v>316</v>
      </c>
      <c r="C63" s="196" t="s">
        <v>92</v>
      </c>
      <c r="D63" s="196" t="s">
        <v>551</v>
      </c>
      <c r="E63" s="196" t="s">
        <v>571</v>
      </c>
      <c r="F63" s="196" t="s">
        <v>334</v>
      </c>
      <c r="G63" s="196" t="s">
        <v>335</v>
      </c>
      <c r="H63" s="196">
        <v>0</v>
      </c>
      <c r="I63" s="196">
        <v>606</v>
      </c>
      <c r="J63" s="196" t="s">
        <v>572</v>
      </c>
      <c r="K63" s="196" t="s">
        <v>573</v>
      </c>
      <c r="L63" s="197"/>
      <c r="M63" s="198">
        <v>45135</v>
      </c>
      <c r="N63" s="198">
        <v>45383</v>
      </c>
      <c r="O63" s="112" t="s">
        <v>324</v>
      </c>
      <c r="P63" s="199" t="s">
        <v>325</v>
      </c>
      <c r="Q63" s="112" t="s">
        <v>574</v>
      </c>
      <c r="R63" s="112" t="s">
        <v>556</v>
      </c>
      <c r="S63" s="200" t="s">
        <v>510</v>
      </c>
      <c r="T63">
        <v>43453.477997685186</v>
      </c>
    </row>
    <row r="64" spans="1:20" ht="25" x14ac:dyDescent="0.25">
      <c r="A64" s="195" t="str">
        <f ca="1">HYPERLINK(MID(CELL("filename",A1),FIND("[",CELL("filename",A1)),FIND("]",CELL("filename",A1)) - FIND("[",CELL("filename",A1)) + 1) &amp; "'x-607'!TABLE_CLIENT_1","x-607 1")</f>
        <v>x-607 1</v>
      </c>
      <c r="B64" s="196" t="s">
        <v>326</v>
      </c>
      <c r="C64" s="196" t="s">
        <v>444</v>
      </c>
      <c r="D64" s="196" t="s">
        <v>551</v>
      </c>
      <c r="E64" s="196" t="s">
        <v>575</v>
      </c>
      <c r="F64" s="196" t="s">
        <v>334</v>
      </c>
      <c r="G64" s="196" t="s">
        <v>335</v>
      </c>
      <c r="H64" s="196">
        <v>1</v>
      </c>
      <c r="I64" s="196">
        <v>607</v>
      </c>
      <c r="J64" s="196" t="s">
        <v>576</v>
      </c>
      <c r="K64" s="196" t="s">
        <v>554</v>
      </c>
      <c r="L64" s="197"/>
      <c r="M64" s="198">
        <v>45135</v>
      </c>
      <c r="N64" s="198">
        <v>45383</v>
      </c>
      <c r="O64" s="112" t="s">
        <v>324</v>
      </c>
      <c r="P64" s="199" t="s">
        <v>325</v>
      </c>
      <c r="Q64" s="112" t="s">
        <v>577</v>
      </c>
      <c r="R64" s="112" t="s">
        <v>556</v>
      </c>
      <c r="S64" s="200" t="s">
        <v>510</v>
      </c>
      <c r="T64">
        <v>43453.477997685186</v>
      </c>
    </row>
    <row r="65" spans="1:20" ht="25" x14ac:dyDescent="0.25">
      <c r="A65" s="195" t="str">
        <f ca="1">HYPERLINK(MID(CELL("filename",A1),FIND("[",CELL("filename",A1)),FIND("]",CELL("filename",A1)) - FIND("[",CELL("filename",A1)) + 1) &amp; "'x-608'!TABLE_CLIENT_1","x-608 1")</f>
        <v>x-608 1</v>
      </c>
      <c r="B65" s="196" t="s">
        <v>326</v>
      </c>
      <c r="C65" s="196" t="s">
        <v>96</v>
      </c>
      <c r="D65" s="196" t="s">
        <v>551</v>
      </c>
      <c r="E65" s="196" t="s">
        <v>578</v>
      </c>
      <c r="F65" s="196" t="s">
        <v>334</v>
      </c>
      <c r="G65" s="196" t="s">
        <v>335</v>
      </c>
      <c r="H65" s="196">
        <v>1</v>
      </c>
      <c r="I65" s="196">
        <v>608</v>
      </c>
      <c r="J65" s="196" t="s">
        <v>579</v>
      </c>
      <c r="K65" s="196" t="s">
        <v>580</v>
      </c>
      <c r="L65" s="197"/>
      <c r="M65" s="198">
        <v>45135</v>
      </c>
      <c r="N65" s="198">
        <v>45383</v>
      </c>
      <c r="O65" s="112" t="s">
        <v>324</v>
      </c>
      <c r="P65" s="199" t="s">
        <v>325</v>
      </c>
      <c r="Q65" s="112" t="s">
        <v>581</v>
      </c>
      <c r="R65" s="112" t="s">
        <v>556</v>
      </c>
      <c r="S65" s="200" t="s">
        <v>510</v>
      </c>
      <c r="T65">
        <v>43453.477997685186</v>
      </c>
    </row>
    <row r="66" spans="1:20" ht="25" x14ac:dyDescent="0.25">
      <c r="A66" s="195" t="str">
        <f ca="1">HYPERLINK(MID(CELL("filename",A1),FIND("[",CELL("filename",A1)),FIND("]",CELL("filename",A1)) - FIND("[",CELL("filename",A1)) + 1) &amp; "'x-610'!TABLE_CLIENT_1","x-610 1")</f>
        <v>x-610 1</v>
      </c>
      <c r="B66" s="196" t="s">
        <v>326</v>
      </c>
      <c r="C66" s="196" t="s">
        <v>395</v>
      </c>
      <c r="D66" s="196" t="s">
        <v>551</v>
      </c>
      <c r="E66" s="196" t="s">
        <v>582</v>
      </c>
      <c r="F66" s="196" t="s">
        <v>334</v>
      </c>
      <c r="G66" s="196" t="s">
        <v>583</v>
      </c>
      <c r="H66" s="196">
        <v>1</v>
      </c>
      <c r="I66" s="196">
        <v>610</v>
      </c>
      <c r="J66" s="196" t="s">
        <v>584</v>
      </c>
      <c r="K66" s="196" t="s">
        <v>560</v>
      </c>
      <c r="L66" s="197"/>
      <c r="M66" s="198">
        <v>45135</v>
      </c>
      <c r="N66" s="198">
        <v>45383</v>
      </c>
      <c r="O66" s="112" t="s">
        <v>324</v>
      </c>
      <c r="P66" s="199" t="s">
        <v>325</v>
      </c>
      <c r="Q66" s="112" t="s">
        <v>585</v>
      </c>
      <c r="R66" s="112" t="s">
        <v>556</v>
      </c>
      <c r="S66" s="200" t="s">
        <v>510</v>
      </c>
      <c r="T66">
        <v>43453.477997685186</v>
      </c>
    </row>
    <row r="67" spans="1:20" ht="25" x14ac:dyDescent="0.25">
      <c r="A67" s="195" t="str">
        <f ca="1">HYPERLINK(MID(CELL("filename",A1),FIND("[",CELL("filename",A1)),FIND("]",CELL("filename",A1)) - FIND("[",CELL("filename",A1)) + 1) &amp; "'x-610'!TABLE_CLIENT_2","x-610 2")</f>
        <v>x-610 2</v>
      </c>
      <c r="B67" s="196" t="s">
        <v>326</v>
      </c>
      <c r="C67" s="196" t="s">
        <v>395</v>
      </c>
      <c r="D67" s="196" t="s">
        <v>551</v>
      </c>
      <c r="E67" s="196" t="s">
        <v>586</v>
      </c>
      <c r="F67" s="196" t="s">
        <v>334</v>
      </c>
      <c r="G67" s="196" t="s">
        <v>583</v>
      </c>
      <c r="H67" s="196">
        <v>1</v>
      </c>
      <c r="I67" s="196">
        <v>610</v>
      </c>
      <c r="J67" s="196" t="s">
        <v>587</v>
      </c>
      <c r="K67" s="196" t="s">
        <v>560</v>
      </c>
      <c r="L67" s="197"/>
      <c r="M67" s="198">
        <v>45135</v>
      </c>
      <c r="N67" s="198">
        <v>45383</v>
      </c>
      <c r="O67" s="112" t="s">
        <v>324</v>
      </c>
      <c r="P67" s="199" t="s">
        <v>325</v>
      </c>
      <c r="Q67" s="112" t="s">
        <v>588</v>
      </c>
      <c r="R67" s="112" t="s">
        <v>556</v>
      </c>
      <c r="S67" s="200" t="s">
        <v>510</v>
      </c>
      <c r="T67">
        <v>43453.477997685186</v>
      </c>
    </row>
    <row r="68" spans="1:20" ht="25" x14ac:dyDescent="0.25">
      <c r="A68" s="195" t="str">
        <f ca="1">HYPERLINK(MID(CELL("filename",A1),FIND("[",CELL("filename",A1)),FIND("]",CELL("filename",A1)) - FIND("[",CELL("filename",A1)) + 1) &amp; "'x-611'!TABLE_CLIENT_1","x-611 1")</f>
        <v>x-611 1</v>
      </c>
      <c r="B68" s="196" t="s">
        <v>326</v>
      </c>
      <c r="C68" s="196" t="s">
        <v>395</v>
      </c>
      <c r="D68" s="196" t="s">
        <v>562</v>
      </c>
      <c r="E68" s="196" t="s">
        <v>589</v>
      </c>
      <c r="F68" s="196" t="s">
        <v>319</v>
      </c>
      <c r="G68" s="196" t="s">
        <v>558</v>
      </c>
      <c r="H68" s="196">
        <v>1</v>
      </c>
      <c r="I68" s="196">
        <v>611</v>
      </c>
      <c r="J68" s="196" t="s">
        <v>590</v>
      </c>
      <c r="K68" s="196" t="s">
        <v>565</v>
      </c>
      <c r="L68" s="197"/>
      <c r="M68" s="198">
        <v>45135</v>
      </c>
      <c r="N68" s="198">
        <v>45383</v>
      </c>
      <c r="O68" s="112" t="s">
        <v>324</v>
      </c>
      <c r="P68" s="199" t="s">
        <v>325</v>
      </c>
      <c r="Q68" s="112" t="s">
        <v>591</v>
      </c>
      <c r="R68" s="112" t="s">
        <v>556</v>
      </c>
      <c r="S68" s="200" t="s">
        <v>510</v>
      </c>
      <c r="T68">
        <v>43453.477997685186</v>
      </c>
    </row>
    <row r="69" spans="1:20" ht="25" x14ac:dyDescent="0.25">
      <c r="A69" s="195" t="str">
        <f ca="1">HYPERLINK(MID(CELL("filename",A1),FIND("[",CELL("filename",A1)),FIND("]",CELL("filename",A1)) - FIND("[",CELL("filename",A1)) + 1) &amp; "'x-611'!TABLE_CLIENT_2","x-611 2")</f>
        <v>x-611 2</v>
      </c>
      <c r="B69" s="196" t="s">
        <v>326</v>
      </c>
      <c r="C69" s="196" t="s">
        <v>395</v>
      </c>
      <c r="D69" s="196" t="s">
        <v>562</v>
      </c>
      <c r="E69" s="196" t="s">
        <v>592</v>
      </c>
      <c r="F69" s="196" t="s">
        <v>319</v>
      </c>
      <c r="G69" s="196" t="s">
        <v>558</v>
      </c>
      <c r="H69" s="196">
        <v>1</v>
      </c>
      <c r="I69" s="196">
        <v>611</v>
      </c>
      <c r="J69" s="196" t="s">
        <v>593</v>
      </c>
      <c r="K69" s="196" t="s">
        <v>565</v>
      </c>
      <c r="L69" s="197"/>
      <c r="M69" s="198">
        <v>45135</v>
      </c>
      <c r="N69" s="198">
        <v>45383</v>
      </c>
      <c r="O69" s="112" t="s">
        <v>324</v>
      </c>
      <c r="P69" s="199" t="s">
        <v>325</v>
      </c>
      <c r="Q69" s="112" t="s">
        <v>594</v>
      </c>
      <c r="R69" s="112" t="s">
        <v>556</v>
      </c>
      <c r="S69" s="200" t="s">
        <v>510</v>
      </c>
      <c r="T69">
        <v>43453.477997685186</v>
      </c>
    </row>
    <row r="70" spans="1:20" ht="25" x14ac:dyDescent="0.25">
      <c r="A70" s="195" t="str">
        <f ca="1">HYPERLINK(MID(CELL("filename",A1),FIND("[",CELL("filename",A1)),FIND("]",CELL("filename",A1)) - FIND("[",CELL("filename",A1)) + 1) &amp; "'x-612'!TABLE_CLIENT_1","x-612 1")</f>
        <v>x-612 1</v>
      </c>
      <c r="B70" s="196" t="s">
        <v>326</v>
      </c>
      <c r="C70" s="196" t="s">
        <v>395</v>
      </c>
      <c r="D70" s="196" t="s">
        <v>551</v>
      </c>
      <c r="E70" s="196" t="s">
        <v>595</v>
      </c>
      <c r="F70" s="196" t="s">
        <v>334</v>
      </c>
      <c r="G70" s="196" t="s">
        <v>335</v>
      </c>
      <c r="H70" s="196">
        <v>1</v>
      </c>
      <c r="I70" s="196">
        <v>612</v>
      </c>
      <c r="J70" s="196" t="s">
        <v>596</v>
      </c>
      <c r="K70" s="196" t="s">
        <v>569</v>
      </c>
      <c r="L70" s="197"/>
      <c r="M70" s="198">
        <v>45135</v>
      </c>
      <c r="N70" s="198">
        <v>45383</v>
      </c>
      <c r="O70" s="112" t="s">
        <v>324</v>
      </c>
      <c r="P70" s="199" t="s">
        <v>325</v>
      </c>
      <c r="Q70" s="112" t="s">
        <v>597</v>
      </c>
      <c r="R70" s="112" t="s">
        <v>556</v>
      </c>
      <c r="S70" s="200" t="s">
        <v>510</v>
      </c>
      <c r="T70">
        <v>43453.477997685186</v>
      </c>
    </row>
    <row r="71" spans="1:20" ht="25" x14ac:dyDescent="0.25">
      <c r="A71" s="195" t="str">
        <f ca="1">HYPERLINK(MID(CELL("filename",A1),FIND("[",CELL("filename",A1)),FIND("]",CELL("filename",A1)) - FIND("[",CELL("filename",A1)) + 1) &amp; "'x-613'!TABLE_CLIENT_1","x-613 1")</f>
        <v>x-613 1</v>
      </c>
      <c r="B71" s="196" t="s">
        <v>326</v>
      </c>
      <c r="C71" s="196" t="s">
        <v>395</v>
      </c>
      <c r="D71" s="196" t="s">
        <v>551</v>
      </c>
      <c r="E71" s="196" t="s">
        <v>598</v>
      </c>
      <c r="F71" s="196" t="s">
        <v>334</v>
      </c>
      <c r="G71" s="196" t="s">
        <v>335</v>
      </c>
      <c r="H71" s="196">
        <v>1</v>
      </c>
      <c r="I71" s="196">
        <v>613</v>
      </c>
      <c r="J71" s="196" t="s">
        <v>599</v>
      </c>
      <c r="K71" s="196" t="s">
        <v>573</v>
      </c>
      <c r="L71" s="197"/>
      <c r="M71" s="198">
        <v>45135</v>
      </c>
      <c r="N71" s="198">
        <v>45383</v>
      </c>
      <c r="O71" s="112" t="s">
        <v>324</v>
      </c>
      <c r="P71" s="199" t="s">
        <v>325</v>
      </c>
      <c r="Q71" s="112" t="s">
        <v>600</v>
      </c>
      <c r="R71" s="112" t="s">
        <v>556</v>
      </c>
      <c r="S71" s="200" t="s">
        <v>510</v>
      </c>
      <c r="T71">
        <v>43453.477997685186</v>
      </c>
    </row>
    <row r="72" spans="1:20" ht="39.65" customHeight="1" x14ac:dyDescent="0.25">
      <c r="A72" s="195" t="str">
        <f ca="1">HYPERLINK(MID(CELL("filename",A1),FIND("[",CELL("filename",A1)),FIND("]",CELL("filename",A1)) - FIND("[",CELL("filename",A1)) + 1) &amp; "'x-701'!TABLE_CLIENT_1","x-701 1")</f>
        <v>x-701 1</v>
      </c>
      <c r="B72" s="196" t="s">
        <v>316</v>
      </c>
      <c r="C72" s="196" t="s">
        <v>92</v>
      </c>
      <c r="D72" s="196" t="s">
        <v>601</v>
      </c>
      <c r="E72" s="196" t="s">
        <v>602</v>
      </c>
      <c r="F72" s="196" t="s">
        <v>334</v>
      </c>
      <c r="G72" s="196" t="s">
        <v>335</v>
      </c>
      <c r="H72" s="196">
        <v>0</v>
      </c>
      <c r="I72" s="196">
        <v>701</v>
      </c>
      <c r="J72" s="196" t="s">
        <v>603</v>
      </c>
      <c r="K72" s="196" t="s">
        <v>604</v>
      </c>
      <c r="L72" s="197"/>
      <c r="M72" s="198">
        <v>45184</v>
      </c>
      <c r="N72" s="198">
        <v>45383</v>
      </c>
      <c r="O72" s="112" t="s">
        <v>324</v>
      </c>
      <c r="P72" s="199" t="s">
        <v>325</v>
      </c>
      <c r="Q72" s="112"/>
      <c r="R72" s="112"/>
      <c r="S72" s="200"/>
    </row>
    <row r="73" spans="1:20" ht="39.65" customHeight="1" x14ac:dyDescent="0.25">
      <c r="A73" s="195" t="str">
        <f ca="1">HYPERLINK(MID(CELL("filename",A1),FIND("[",CELL("filename",A1)),FIND("]",CELL("filename",A1)) - FIND("[",CELL("filename",A1)) + 1) &amp; "'x-702'!TABLE_CLIENT_1","x-702 1")</f>
        <v>x-702 1</v>
      </c>
      <c r="B73" s="196" t="s">
        <v>316</v>
      </c>
      <c r="C73" s="196" t="s">
        <v>92</v>
      </c>
      <c r="D73" s="196" t="s">
        <v>601</v>
      </c>
      <c r="E73" s="196" t="s">
        <v>605</v>
      </c>
      <c r="F73" s="196" t="s">
        <v>334</v>
      </c>
      <c r="G73" s="196" t="s">
        <v>335</v>
      </c>
      <c r="H73" s="196">
        <v>0</v>
      </c>
      <c r="I73" s="196">
        <v>702</v>
      </c>
      <c r="J73" s="196" t="s">
        <v>606</v>
      </c>
      <c r="K73" s="196" t="s">
        <v>607</v>
      </c>
      <c r="L73" s="197"/>
      <c r="M73" s="198">
        <v>45184</v>
      </c>
      <c r="N73" s="198">
        <v>45383</v>
      </c>
      <c r="O73" s="112" t="s">
        <v>324</v>
      </c>
      <c r="P73" s="199" t="s">
        <v>325</v>
      </c>
      <c r="Q73" s="112"/>
      <c r="R73" s="112"/>
      <c r="S73" s="200"/>
    </row>
    <row r="74" spans="1:20" ht="39.65" customHeight="1" x14ac:dyDescent="0.25">
      <c r="A74" s="195" t="str">
        <f ca="1">HYPERLINK(MID(CELL("filename",A1),FIND("[",CELL("filename",A1)),FIND("]",CELL("filename",A1)) - FIND("[",CELL("filename",A1)) + 1) &amp; "'x-703'!TABLE_CLIENT_1","x-703 1")</f>
        <v>x-703 1</v>
      </c>
      <c r="B74" s="196" t="s">
        <v>316</v>
      </c>
      <c r="C74" s="196" t="s">
        <v>92</v>
      </c>
      <c r="D74" s="196" t="s">
        <v>601</v>
      </c>
      <c r="E74" s="196" t="s">
        <v>608</v>
      </c>
      <c r="F74" s="196" t="s">
        <v>334</v>
      </c>
      <c r="G74" s="196" t="s">
        <v>335</v>
      </c>
      <c r="H74" s="196">
        <v>0</v>
      </c>
      <c r="I74" s="196">
        <v>703</v>
      </c>
      <c r="J74" s="196" t="s">
        <v>609</v>
      </c>
      <c r="K74" s="196" t="s">
        <v>610</v>
      </c>
      <c r="L74" s="197"/>
      <c r="M74" s="198">
        <v>45184</v>
      </c>
      <c r="N74" s="198">
        <v>45383</v>
      </c>
      <c r="O74" s="112" t="s">
        <v>324</v>
      </c>
      <c r="P74" s="199" t="s">
        <v>325</v>
      </c>
      <c r="Q74" s="112"/>
      <c r="R74" s="112"/>
      <c r="S74" s="200"/>
    </row>
    <row r="75" spans="1:20" ht="39.65" customHeight="1" x14ac:dyDescent="0.25">
      <c r="A75" s="195" t="str">
        <f ca="1">HYPERLINK(MID(CELL("filename",A1),FIND("[",CELL("filename",A1)),FIND("]",CELL("filename",A1)) - FIND("[",CELL("filename",A1)) + 1) &amp; "'x-704'!TABLE_CLIENT_1","x-704 1")</f>
        <v>x-704 1</v>
      </c>
      <c r="B75" s="196" t="s">
        <v>316</v>
      </c>
      <c r="C75" s="196" t="s">
        <v>92</v>
      </c>
      <c r="D75" s="196" t="s">
        <v>601</v>
      </c>
      <c r="E75" s="196" t="s">
        <v>611</v>
      </c>
      <c r="F75" s="196" t="s">
        <v>334</v>
      </c>
      <c r="G75" s="196" t="s">
        <v>335</v>
      </c>
      <c r="H75" s="196">
        <v>0</v>
      </c>
      <c r="I75" s="196">
        <v>704</v>
      </c>
      <c r="J75" s="196" t="s">
        <v>612</v>
      </c>
      <c r="K75" s="196" t="s">
        <v>613</v>
      </c>
      <c r="L75" s="197"/>
      <c r="M75" s="198">
        <v>45184</v>
      </c>
      <c r="N75" s="198">
        <v>45383</v>
      </c>
      <c r="O75" s="112" t="s">
        <v>324</v>
      </c>
      <c r="P75" s="199" t="s">
        <v>325</v>
      </c>
      <c r="Q75" s="112"/>
      <c r="R75" s="112"/>
      <c r="S75" s="200"/>
    </row>
    <row r="76" spans="1:20" ht="39.65" customHeight="1" x14ac:dyDescent="0.25">
      <c r="A76" s="195" t="str">
        <f ca="1">HYPERLINK(MID(CELL("filename",A1),FIND("[",CELL("filename",A1)),FIND("]",CELL("filename",A1)) - FIND("[",CELL("filename",A1)) + 1) &amp; "'x-705'!TABLE_CLIENT_1","x-705 1")</f>
        <v>x-705 1</v>
      </c>
      <c r="B76" s="196" t="s">
        <v>316</v>
      </c>
      <c r="C76" s="196" t="s">
        <v>92</v>
      </c>
      <c r="D76" s="196" t="s">
        <v>601</v>
      </c>
      <c r="E76" s="196" t="s">
        <v>614</v>
      </c>
      <c r="F76" s="196" t="s">
        <v>334</v>
      </c>
      <c r="G76" s="196" t="s">
        <v>335</v>
      </c>
      <c r="H76" s="196">
        <v>0</v>
      </c>
      <c r="I76" s="196">
        <v>705</v>
      </c>
      <c r="J76" s="196" t="s">
        <v>615</v>
      </c>
      <c r="K76" s="196" t="s">
        <v>616</v>
      </c>
      <c r="L76" s="197"/>
      <c r="M76" s="198">
        <v>45184</v>
      </c>
      <c r="N76" s="198">
        <v>45383</v>
      </c>
      <c r="O76" s="112" t="s">
        <v>324</v>
      </c>
      <c r="P76" s="199" t="s">
        <v>325</v>
      </c>
      <c r="Q76" s="112"/>
      <c r="R76" s="112"/>
      <c r="S76" s="200"/>
    </row>
    <row r="77" spans="1:20" ht="39.65" customHeight="1" x14ac:dyDescent="0.25">
      <c r="A77" s="195" t="str">
        <f ca="1">HYPERLINK(MID(CELL("filename",A1),FIND("[",CELL("filename",A1)),FIND("]",CELL("filename",A1)) - FIND("[",CELL("filename",A1)) + 1) &amp; "'x-706'!TABLE_CLIENT_1","x-706 1")</f>
        <v>x-706 1</v>
      </c>
      <c r="B77" s="196" t="s">
        <v>316</v>
      </c>
      <c r="C77" s="196" t="s">
        <v>92</v>
      </c>
      <c r="D77" s="196" t="s">
        <v>601</v>
      </c>
      <c r="E77" s="196" t="s">
        <v>617</v>
      </c>
      <c r="F77" s="196" t="s">
        <v>334</v>
      </c>
      <c r="G77" s="196" t="s">
        <v>335</v>
      </c>
      <c r="H77" s="196">
        <v>0</v>
      </c>
      <c r="I77" s="196">
        <v>706</v>
      </c>
      <c r="J77" s="196" t="s">
        <v>618</v>
      </c>
      <c r="K77" s="196" t="s">
        <v>619</v>
      </c>
      <c r="L77" s="197"/>
      <c r="M77" s="198">
        <v>45184</v>
      </c>
      <c r="N77" s="198">
        <v>45383</v>
      </c>
      <c r="O77" s="112" t="s">
        <v>324</v>
      </c>
      <c r="P77" s="199" t="s">
        <v>325</v>
      </c>
      <c r="Q77" s="112"/>
      <c r="R77" s="112"/>
      <c r="S77" s="200"/>
    </row>
    <row r="78" spans="1:20" ht="39.65" customHeight="1" x14ac:dyDescent="0.25">
      <c r="A78" s="195" t="str">
        <f ca="1">HYPERLINK(MID(CELL("filename",A1),FIND("[",CELL("filename",A1)),FIND("]",CELL("filename",A1)) - FIND("[",CELL("filename",A1)) + 1) &amp; "'x-707'!TABLE_CLIENT_1","x-707 1")</f>
        <v>x-707 1</v>
      </c>
      <c r="B78" s="196" t="s">
        <v>316</v>
      </c>
      <c r="C78" s="196" t="s">
        <v>92</v>
      </c>
      <c r="D78" s="196" t="s">
        <v>601</v>
      </c>
      <c r="E78" s="196" t="s">
        <v>620</v>
      </c>
      <c r="F78" s="196" t="s">
        <v>334</v>
      </c>
      <c r="G78" s="196" t="s">
        <v>335</v>
      </c>
      <c r="H78" s="196">
        <v>0</v>
      </c>
      <c r="I78" s="196">
        <v>707</v>
      </c>
      <c r="J78" s="196" t="s">
        <v>621</v>
      </c>
      <c r="K78" s="196" t="s">
        <v>622</v>
      </c>
      <c r="L78" s="197"/>
      <c r="M78" s="198">
        <v>45184</v>
      </c>
      <c r="N78" s="198">
        <v>45383</v>
      </c>
      <c r="O78" s="112" t="s">
        <v>324</v>
      </c>
      <c r="P78" s="199" t="s">
        <v>325</v>
      </c>
      <c r="Q78" s="112"/>
      <c r="R78" s="112"/>
      <c r="S78" s="200"/>
    </row>
    <row r="79" spans="1:20" ht="39.65" customHeight="1" x14ac:dyDescent="0.25">
      <c r="A79" s="195" t="str">
        <f ca="1">HYPERLINK(MID(CELL("filename",A1),FIND("[",CELL("filename",A1)),FIND("]",CELL("filename",A1)) - FIND("[",CELL("filename",A1)) + 1) &amp; "'x-708'!TABLE_CLIENT_1","x-708 1")</f>
        <v>x-708 1</v>
      </c>
      <c r="B79" s="196" t="s">
        <v>316</v>
      </c>
      <c r="C79" s="196" t="s">
        <v>92</v>
      </c>
      <c r="D79" s="196" t="s">
        <v>601</v>
      </c>
      <c r="E79" s="196" t="s">
        <v>623</v>
      </c>
      <c r="F79" s="196" t="s">
        <v>334</v>
      </c>
      <c r="G79" s="196" t="s">
        <v>335</v>
      </c>
      <c r="H79" s="196">
        <v>0</v>
      </c>
      <c r="I79" s="196">
        <v>708</v>
      </c>
      <c r="J79" s="196" t="s">
        <v>624</v>
      </c>
      <c r="K79" s="196" t="s">
        <v>625</v>
      </c>
      <c r="L79" s="197"/>
      <c r="M79" s="198">
        <v>45184</v>
      </c>
      <c r="N79" s="198">
        <v>45383</v>
      </c>
      <c r="O79" s="112" t="s">
        <v>324</v>
      </c>
      <c r="P79" s="199" t="s">
        <v>325</v>
      </c>
      <c r="Q79" s="112"/>
      <c r="R79" s="112"/>
      <c r="S79" s="200"/>
    </row>
    <row r="80" spans="1:20" ht="39.65" customHeight="1" x14ac:dyDescent="0.25">
      <c r="A80" s="195" t="str">
        <f ca="1">HYPERLINK(MID(CELL("filename",A1),FIND("[",CELL("filename",A1)),FIND("]",CELL("filename",A1)) - FIND("[",CELL("filename",A1)) + 1) &amp; "'x-709'!TABLE_CLIENT_1","x-709 1")</f>
        <v>x-709 1</v>
      </c>
      <c r="B80" s="196" t="s">
        <v>326</v>
      </c>
      <c r="C80" s="196" t="s">
        <v>93</v>
      </c>
      <c r="D80" s="196" t="s">
        <v>601</v>
      </c>
      <c r="E80" s="196" t="s">
        <v>626</v>
      </c>
      <c r="F80" s="196" t="s">
        <v>319</v>
      </c>
      <c r="G80" s="196" t="s">
        <v>335</v>
      </c>
      <c r="H80" s="196">
        <v>1</v>
      </c>
      <c r="I80" s="196">
        <v>709</v>
      </c>
      <c r="J80" s="196" t="s">
        <v>627</v>
      </c>
      <c r="K80" s="196" t="s">
        <v>628</v>
      </c>
      <c r="L80" s="197"/>
      <c r="M80" s="198">
        <v>45184</v>
      </c>
      <c r="N80" s="198">
        <v>45383</v>
      </c>
      <c r="O80" s="112" t="s">
        <v>324</v>
      </c>
      <c r="P80" s="199" t="s">
        <v>325</v>
      </c>
      <c r="Q80" s="112"/>
      <c r="R80" s="112"/>
      <c r="S80" s="200"/>
    </row>
    <row r="81" spans="1:20" ht="39.65" customHeight="1" x14ac:dyDescent="0.25">
      <c r="A81" s="195" t="str">
        <f ca="1">HYPERLINK(MID(CELL("filename",A1),FIND("[",CELL("filename",A1)),FIND("]",CELL("filename",A1)) - FIND("[",CELL("filename",A1)) + 1) &amp; "'x-710'!TABLE_CLIENT_1","x-710 1")</f>
        <v>x-710 1</v>
      </c>
      <c r="B81" s="196" t="s">
        <v>326</v>
      </c>
      <c r="C81" s="196" t="s">
        <v>629</v>
      </c>
      <c r="D81" s="196" t="s">
        <v>601</v>
      </c>
      <c r="E81" s="196" t="s">
        <v>630</v>
      </c>
      <c r="F81" s="196" t="s">
        <v>319</v>
      </c>
      <c r="G81" s="196" t="s">
        <v>335</v>
      </c>
      <c r="H81" s="196">
        <v>1</v>
      </c>
      <c r="I81" s="196">
        <v>710</v>
      </c>
      <c r="J81" s="196" t="s">
        <v>631</v>
      </c>
      <c r="K81" s="196" t="s">
        <v>632</v>
      </c>
      <c r="L81" s="197"/>
      <c r="M81" s="198">
        <v>45184</v>
      </c>
      <c r="N81" s="198">
        <v>45383</v>
      </c>
      <c r="O81" s="112" t="s">
        <v>324</v>
      </c>
      <c r="P81" s="199" t="s">
        <v>325</v>
      </c>
      <c r="Q81" s="112"/>
      <c r="R81" s="112"/>
      <c r="S81" s="200"/>
    </row>
    <row r="82" spans="1:20" ht="39.65" customHeight="1" x14ac:dyDescent="0.25">
      <c r="A82" s="195" t="str">
        <f ca="1">HYPERLINK(MID(CELL("filename",A1),FIND("[",CELL("filename",A1)),FIND("]",CELL("filename",A1)) - FIND("[",CELL("filename",A1)) + 1) &amp; "'x-711'!TABLE_CLIENT_1","x-711 1")</f>
        <v>x-711 1</v>
      </c>
      <c r="B82" s="196" t="s">
        <v>326</v>
      </c>
      <c r="C82" s="196" t="s">
        <v>96</v>
      </c>
      <c r="D82" s="196" t="s">
        <v>601</v>
      </c>
      <c r="E82" s="196" t="s">
        <v>633</v>
      </c>
      <c r="F82" s="196" t="s">
        <v>334</v>
      </c>
      <c r="G82" s="196" t="s">
        <v>335</v>
      </c>
      <c r="H82" s="196">
        <v>1</v>
      </c>
      <c r="I82" s="196">
        <v>711</v>
      </c>
      <c r="J82" s="196" t="s">
        <v>634</v>
      </c>
      <c r="K82" s="196" t="s">
        <v>635</v>
      </c>
      <c r="L82" s="197"/>
      <c r="M82" s="198">
        <v>45184</v>
      </c>
      <c r="N82" s="198">
        <v>45383</v>
      </c>
      <c r="O82" s="112" t="s">
        <v>324</v>
      </c>
      <c r="P82" s="199" t="s">
        <v>325</v>
      </c>
      <c r="Q82" s="112"/>
      <c r="R82" s="112"/>
      <c r="S82" s="200"/>
    </row>
    <row r="83" spans="1:20" ht="39.65" customHeight="1" x14ac:dyDescent="0.25">
      <c r="A83" s="195" t="str">
        <f ca="1">HYPERLINK(MID(CELL("filename",A1),FIND("[",CELL("filename",A1)),FIND("]",CELL("filename",A1)) - FIND("[",CELL("filename",A1)) + 1) &amp; "'x-717'!TABLE_CLIENT_1","x-717 1")</f>
        <v>x-717 1</v>
      </c>
      <c r="B83" s="196" t="s">
        <v>316</v>
      </c>
      <c r="C83" s="196" t="s">
        <v>92</v>
      </c>
      <c r="D83" s="196" t="s">
        <v>636</v>
      </c>
      <c r="E83" s="196" t="s">
        <v>637</v>
      </c>
      <c r="F83" s="196" t="s">
        <v>319</v>
      </c>
      <c r="G83" s="196" t="s">
        <v>638</v>
      </c>
      <c r="H83" s="196">
        <v>0</v>
      </c>
      <c r="I83" s="196">
        <v>717</v>
      </c>
      <c r="J83" s="196" t="s">
        <v>639</v>
      </c>
      <c r="K83" s="196" t="s">
        <v>640</v>
      </c>
      <c r="L83" s="197"/>
      <c r="M83" s="198">
        <v>45184</v>
      </c>
      <c r="N83" s="198">
        <v>45383</v>
      </c>
      <c r="O83" s="112" t="s">
        <v>324</v>
      </c>
      <c r="P83" s="199" t="s">
        <v>325</v>
      </c>
      <c r="Q83" s="112" t="s">
        <v>641</v>
      </c>
      <c r="R83" s="112" t="s">
        <v>416</v>
      </c>
      <c r="S83" s="200" t="s">
        <v>494</v>
      </c>
      <c r="T83">
        <v>43416.600335648145</v>
      </c>
    </row>
    <row r="84" spans="1:20" ht="39.65" customHeight="1" x14ac:dyDescent="0.25">
      <c r="A84" s="195" t="str">
        <f ca="1">HYPERLINK(MID(CELL("filename",A1),FIND("[",CELL("filename",A1)),FIND("]",CELL("filename",A1)) - FIND("[",CELL("filename",A1)) + 1) &amp; "'x-718'!TABLE_CLIENT_1","x-718 1")</f>
        <v>x-718 1</v>
      </c>
      <c r="B84" s="196" t="s">
        <v>316</v>
      </c>
      <c r="C84" s="196" t="s">
        <v>92</v>
      </c>
      <c r="D84" s="196" t="s">
        <v>636</v>
      </c>
      <c r="E84" s="196" t="s">
        <v>642</v>
      </c>
      <c r="F84" s="196" t="s">
        <v>319</v>
      </c>
      <c r="G84" s="196" t="s">
        <v>638</v>
      </c>
      <c r="H84" s="196">
        <v>0</v>
      </c>
      <c r="I84" s="196">
        <v>718</v>
      </c>
      <c r="J84" s="196" t="s">
        <v>643</v>
      </c>
      <c r="K84" s="196" t="s">
        <v>644</v>
      </c>
      <c r="L84" s="197"/>
      <c r="M84" s="198">
        <v>45184</v>
      </c>
      <c r="N84" s="198">
        <v>45383</v>
      </c>
      <c r="O84" s="112" t="s">
        <v>324</v>
      </c>
      <c r="P84" s="199" t="s">
        <v>325</v>
      </c>
      <c r="Q84" s="112" t="s">
        <v>645</v>
      </c>
      <c r="R84" s="112" t="s">
        <v>416</v>
      </c>
      <c r="S84" s="200" t="s">
        <v>494</v>
      </c>
      <c r="T84">
        <v>43416.600335648145</v>
      </c>
    </row>
    <row r="85" spans="1:20" ht="39.65" customHeight="1" x14ac:dyDescent="0.25">
      <c r="A85" s="195" t="str">
        <f ca="1">HYPERLINK(MID(CELL("filename",A1),FIND("[",CELL("filename",A1)),FIND("]",CELL("filename",A1)) - FIND("[",CELL("filename",A1)) + 1) &amp; "'x-718'!TABLE_CLIENT_2","x-718 2")</f>
        <v>x-718 2</v>
      </c>
      <c r="B85" s="196" t="s">
        <v>316</v>
      </c>
      <c r="C85" s="196" t="s">
        <v>92</v>
      </c>
      <c r="D85" s="196" t="s">
        <v>636</v>
      </c>
      <c r="E85" s="196" t="s">
        <v>646</v>
      </c>
      <c r="F85" s="196" t="s">
        <v>319</v>
      </c>
      <c r="G85" s="196" t="s">
        <v>638</v>
      </c>
      <c r="H85" s="196">
        <v>0</v>
      </c>
      <c r="I85" s="196">
        <v>718</v>
      </c>
      <c r="J85" s="196" t="s">
        <v>647</v>
      </c>
      <c r="K85" s="196" t="s">
        <v>644</v>
      </c>
      <c r="L85" s="197"/>
      <c r="M85" s="198">
        <v>45184</v>
      </c>
      <c r="N85" s="198">
        <v>45383</v>
      </c>
      <c r="O85" s="112" t="s">
        <v>324</v>
      </c>
      <c r="P85" s="199" t="s">
        <v>325</v>
      </c>
      <c r="Q85" s="112" t="s">
        <v>648</v>
      </c>
      <c r="R85" s="112" t="s">
        <v>416</v>
      </c>
      <c r="S85" s="200" t="s">
        <v>494</v>
      </c>
      <c r="T85">
        <v>43416.600335648145</v>
      </c>
    </row>
    <row r="86" spans="1:20" ht="39.65" customHeight="1" x14ac:dyDescent="0.25">
      <c r="A86" s="195" t="str">
        <f ca="1">HYPERLINK(MID(CELL("filename",A1),FIND("[",CELL("filename",A1)),FIND("]",CELL("filename",A1)) - FIND("[",CELL("filename",A1)) + 1) &amp; "'x-718'!TABLE_CLIENT_3","x-718 3")</f>
        <v>x-718 3</v>
      </c>
      <c r="B86" s="196" t="s">
        <v>316</v>
      </c>
      <c r="C86" s="196" t="s">
        <v>92</v>
      </c>
      <c r="D86" s="196" t="s">
        <v>636</v>
      </c>
      <c r="E86" s="196" t="s">
        <v>649</v>
      </c>
      <c r="F86" s="196" t="s">
        <v>319</v>
      </c>
      <c r="G86" s="196" t="s">
        <v>650</v>
      </c>
      <c r="H86" s="196">
        <v>0</v>
      </c>
      <c r="I86" s="196">
        <v>718</v>
      </c>
      <c r="J86" s="196" t="s">
        <v>651</v>
      </c>
      <c r="K86" s="196" t="s">
        <v>644</v>
      </c>
      <c r="L86" s="197"/>
      <c r="M86" s="198">
        <v>45184</v>
      </c>
      <c r="N86" s="198">
        <v>45383</v>
      </c>
      <c r="O86" s="112" t="s">
        <v>324</v>
      </c>
      <c r="P86" s="199"/>
      <c r="Q86" s="112" t="s">
        <v>652</v>
      </c>
      <c r="R86" s="112" t="s">
        <v>416</v>
      </c>
      <c r="S86" s="200" t="s">
        <v>494</v>
      </c>
      <c r="T86">
        <v>43416.600335648145</v>
      </c>
    </row>
    <row r="87" spans="1:20" ht="39.65" customHeight="1" x14ac:dyDescent="0.25">
      <c r="A87" s="195" t="str">
        <f ca="1">HYPERLINK(MID(CELL("filename",A1),FIND("[",CELL("filename",A1)),FIND("]",CELL("filename",A1)) - FIND("[",CELL("filename",A1)) + 1) &amp; "'x-719'!TABLE_CLIENT_1","x-719 1")</f>
        <v>x-719 1</v>
      </c>
      <c r="B87" s="196" t="s">
        <v>316</v>
      </c>
      <c r="C87" s="196" t="s">
        <v>92</v>
      </c>
      <c r="D87" s="196" t="s">
        <v>636</v>
      </c>
      <c r="E87" s="196" t="s">
        <v>653</v>
      </c>
      <c r="F87" s="196" t="s">
        <v>319</v>
      </c>
      <c r="G87" s="196" t="s">
        <v>638</v>
      </c>
      <c r="H87" s="196">
        <v>0</v>
      </c>
      <c r="I87" s="196">
        <v>719</v>
      </c>
      <c r="J87" s="196" t="s">
        <v>654</v>
      </c>
      <c r="K87" s="196" t="s">
        <v>655</v>
      </c>
      <c r="L87" s="197"/>
      <c r="M87" s="198">
        <v>45184</v>
      </c>
      <c r="N87" s="198">
        <v>45383</v>
      </c>
      <c r="O87" s="112" t="s">
        <v>324</v>
      </c>
      <c r="P87" s="199" t="s">
        <v>325</v>
      </c>
      <c r="Q87" s="112" t="s">
        <v>656</v>
      </c>
      <c r="R87" s="112" t="s">
        <v>416</v>
      </c>
      <c r="S87" s="200" t="s">
        <v>494</v>
      </c>
      <c r="T87">
        <v>43416.600335648145</v>
      </c>
    </row>
    <row r="88" spans="1:20" ht="39.65" customHeight="1" x14ac:dyDescent="0.25">
      <c r="A88" s="195" t="str">
        <f ca="1">HYPERLINK(MID(CELL("filename",A1),FIND("[",CELL("filename",A1)),FIND("]",CELL("filename",A1)) - FIND("[",CELL("filename",A1)) + 1) &amp; "'x-719'!TABLE_CLIENT_2","x-719 2")</f>
        <v>x-719 2</v>
      </c>
      <c r="B88" s="196" t="s">
        <v>316</v>
      </c>
      <c r="C88" s="196" t="s">
        <v>92</v>
      </c>
      <c r="D88" s="196" t="s">
        <v>636</v>
      </c>
      <c r="E88" s="196" t="s">
        <v>657</v>
      </c>
      <c r="F88" s="196" t="s">
        <v>319</v>
      </c>
      <c r="G88" s="196" t="s">
        <v>650</v>
      </c>
      <c r="H88" s="196">
        <v>0</v>
      </c>
      <c r="I88" s="196">
        <v>719</v>
      </c>
      <c r="J88" s="196" t="s">
        <v>658</v>
      </c>
      <c r="K88" s="196" t="s">
        <v>655</v>
      </c>
      <c r="L88" s="197"/>
      <c r="M88" s="198">
        <v>45184</v>
      </c>
      <c r="N88" s="198">
        <v>45383</v>
      </c>
      <c r="O88" s="112" t="s">
        <v>324</v>
      </c>
      <c r="P88" s="199" t="s">
        <v>325</v>
      </c>
      <c r="Q88" s="112" t="s">
        <v>659</v>
      </c>
      <c r="R88" s="112" t="s">
        <v>416</v>
      </c>
      <c r="S88" s="200" t="s">
        <v>494</v>
      </c>
      <c r="T88">
        <v>43416.600335648145</v>
      </c>
    </row>
    <row r="89" spans="1:20" ht="39.65" customHeight="1" x14ac:dyDescent="0.25">
      <c r="A89" s="195" t="str">
        <f ca="1">HYPERLINK(MID(CELL("filename",A1),FIND("[",CELL("filename",A1)),FIND("]",CELL("filename",A1)) - FIND("[",CELL("filename",A1)) + 1) &amp; "'x-720'!TABLE_CLIENT_1","x-720 1")</f>
        <v>x-720 1</v>
      </c>
      <c r="B89" s="196" t="s">
        <v>316</v>
      </c>
      <c r="C89" s="196" t="s">
        <v>92</v>
      </c>
      <c r="D89" s="196" t="s">
        <v>636</v>
      </c>
      <c r="E89" s="196" t="s">
        <v>660</v>
      </c>
      <c r="F89" s="196" t="s">
        <v>319</v>
      </c>
      <c r="G89" s="196" t="s">
        <v>661</v>
      </c>
      <c r="H89" s="196">
        <v>0</v>
      </c>
      <c r="I89" s="196">
        <v>720</v>
      </c>
      <c r="J89" s="196" t="s">
        <v>662</v>
      </c>
      <c r="K89" s="196" t="s">
        <v>663</v>
      </c>
      <c r="L89" s="197"/>
      <c r="M89" s="198">
        <v>45184</v>
      </c>
      <c r="N89" s="198">
        <v>45383</v>
      </c>
      <c r="O89" s="112" t="s">
        <v>324</v>
      </c>
      <c r="P89" s="199" t="s">
        <v>325</v>
      </c>
      <c r="Q89" s="112" t="s">
        <v>664</v>
      </c>
      <c r="R89" s="112" t="s">
        <v>416</v>
      </c>
      <c r="S89" s="200" t="s">
        <v>494</v>
      </c>
      <c r="T89">
        <v>43416.600335648145</v>
      </c>
    </row>
    <row r="90" spans="1:20" ht="39.65" customHeight="1" x14ac:dyDescent="0.25">
      <c r="A90" s="195" t="str">
        <f ca="1">HYPERLINK(MID(CELL("filename",A1),FIND("[",CELL("filename",A1)),FIND("]",CELL("filename",A1)) - FIND("[",CELL("filename",A1)) + 1) &amp; "'x-721'!TABLE_CLIENT_1","x-721 1")</f>
        <v>x-721 1</v>
      </c>
      <c r="B90" s="196" t="s">
        <v>316</v>
      </c>
      <c r="C90" s="196" t="s">
        <v>92</v>
      </c>
      <c r="D90" s="196" t="s">
        <v>636</v>
      </c>
      <c r="E90" s="196" t="s">
        <v>665</v>
      </c>
      <c r="F90" s="196" t="s">
        <v>319</v>
      </c>
      <c r="G90" s="196" t="s">
        <v>666</v>
      </c>
      <c r="H90" s="196">
        <v>0</v>
      </c>
      <c r="I90" s="196">
        <v>721</v>
      </c>
      <c r="J90" s="196" t="s">
        <v>667</v>
      </c>
      <c r="K90" s="196" t="s">
        <v>668</v>
      </c>
      <c r="L90" s="197"/>
      <c r="M90" s="198">
        <v>45184</v>
      </c>
      <c r="N90" s="198">
        <v>45383</v>
      </c>
      <c r="O90" s="112" t="s">
        <v>324</v>
      </c>
      <c r="P90" s="199" t="s">
        <v>325</v>
      </c>
      <c r="Q90" s="112" t="s">
        <v>669</v>
      </c>
      <c r="R90" s="112" t="s">
        <v>416</v>
      </c>
      <c r="S90" s="200" t="s">
        <v>494</v>
      </c>
      <c r="T90">
        <v>43416.600335648145</v>
      </c>
    </row>
    <row r="91" spans="1:20" ht="39.65" customHeight="1" x14ac:dyDescent="0.25">
      <c r="A91" s="195" t="str">
        <f ca="1">HYPERLINK(MID(CELL("filename",A1),FIND("[",CELL("filename",A1)),FIND("]",CELL("filename",A1)) - FIND("[",CELL("filename",A1)) + 1) &amp; "'x-722'!TABLE_CLIENT_1","x-722 1")</f>
        <v>x-722 1</v>
      </c>
      <c r="B91" s="196" t="s">
        <v>316</v>
      </c>
      <c r="C91" s="196" t="s">
        <v>92</v>
      </c>
      <c r="D91" s="196" t="s">
        <v>670</v>
      </c>
      <c r="E91" s="196" t="s">
        <v>671</v>
      </c>
      <c r="F91" s="196" t="s">
        <v>319</v>
      </c>
      <c r="G91" s="196" t="s">
        <v>672</v>
      </c>
      <c r="H91" s="196">
        <v>0</v>
      </c>
      <c r="I91" s="196">
        <v>722</v>
      </c>
      <c r="J91" s="196" t="s">
        <v>673</v>
      </c>
      <c r="K91" s="196" t="s">
        <v>674</v>
      </c>
      <c r="L91" s="197"/>
      <c r="M91" s="198">
        <v>45135</v>
      </c>
      <c r="N91" s="198">
        <v>45231</v>
      </c>
      <c r="O91" s="112" t="s">
        <v>324</v>
      </c>
      <c r="P91" s="199" t="s">
        <v>325</v>
      </c>
      <c r="Q91" s="112" t="s">
        <v>675</v>
      </c>
      <c r="R91" s="112" t="s">
        <v>416</v>
      </c>
      <c r="S91" s="200" t="s">
        <v>494</v>
      </c>
      <c r="T91">
        <v>43416.600335648145</v>
      </c>
    </row>
    <row r="92" spans="1:20" ht="39.65" customHeight="1" x14ac:dyDescent="0.25">
      <c r="A92" s="195" t="str">
        <f ca="1">HYPERLINK(MID(CELL("filename",A1),FIND("[",CELL("filename",A1)),FIND("]",CELL("filename",A1)) - FIND("[",CELL("filename",A1)) + 1) &amp; "'x-723'!TABLE_CLIENT_1","x-723 1")</f>
        <v>x-723 1</v>
      </c>
      <c r="B92" s="196" t="s">
        <v>316</v>
      </c>
      <c r="C92" s="196" t="s">
        <v>92</v>
      </c>
      <c r="D92" s="196" t="s">
        <v>670</v>
      </c>
      <c r="E92" s="196" t="s">
        <v>676</v>
      </c>
      <c r="F92" s="196" t="s">
        <v>319</v>
      </c>
      <c r="G92" s="196" t="s">
        <v>672</v>
      </c>
      <c r="H92" s="196">
        <v>0</v>
      </c>
      <c r="I92" s="196">
        <v>723</v>
      </c>
      <c r="J92" s="196" t="s">
        <v>677</v>
      </c>
      <c r="K92" s="196" t="s">
        <v>678</v>
      </c>
      <c r="L92" s="197"/>
      <c r="M92" s="198">
        <v>45135</v>
      </c>
      <c r="N92" s="198">
        <v>45231</v>
      </c>
      <c r="O92" s="112" t="s">
        <v>324</v>
      </c>
      <c r="P92" s="199" t="s">
        <v>325</v>
      </c>
      <c r="Q92" s="112" t="s">
        <v>679</v>
      </c>
      <c r="R92" s="112" t="s">
        <v>416</v>
      </c>
      <c r="S92" s="200" t="s">
        <v>494</v>
      </c>
      <c r="T92">
        <v>43416.600335648145</v>
      </c>
    </row>
    <row r="93" spans="1:20" ht="39.65" customHeight="1" x14ac:dyDescent="0.25">
      <c r="A93" s="195" t="str">
        <f ca="1">HYPERLINK(MID(CELL("filename",A1),FIND("[",CELL("filename",A1)),FIND("]",CELL("filename",A1)) - FIND("[",CELL("filename",A1)) + 1) &amp; "'x-724'!TABLE_CLIENT_1","x-724 1")</f>
        <v>x-724 1</v>
      </c>
      <c r="B93" s="196" t="s">
        <v>316</v>
      </c>
      <c r="C93" s="196" t="s">
        <v>92</v>
      </c>
      <c r="D93" s="196" t="s">
        <v>670</v>
      </c>
      <c r="E93" s="196" t="s">
        <v>680</v>
      </c>
      <c r="F93" s="196" t="s">
        <v>319</v>
      </c>
      <c r="G93" s="196" t="s">
        <v>672</v>
      </c>
      <c r="H93" s="196">
        <v>0</v>
      </c>
      <c r="I93" s="196">
        <v>724</v>
      </c>
      <c r="J93" s="196" t="s">
        <v>681</v>
      </c>
      <c r="K93" s="196" t="s">
        <v>682</v>
      </c>
      <c r="L93" s="197"/>
      <c r="M93" s="198">
        <v>45135</v>
      </c>
      <c r="N93" s="198">
        <v>45231</v>
      </c>
      <c r="O93" s="112" t="s">
        <v>324</v>
      </c>
      <c r="P93" s="199" t="s">
        <v>325</v>
      </c>
      <c r="Q93" s="112"/>
      <c r="R93" s="112"/>
      <c r="S93" s="200"/>
    </row>
    <row r="94" spans="1:20" ht="25" x14ac:dyDescent="0.25">
      <c r="A94" s="195" t="str">
        <f ca="1">HYPERLINK(MID(CELL("filename",A1),FIND("[",CELL("filename",A1)),FIND("]",CELL("filename",A1)) - FIND("[",CELL("filename",A1)) + 1) &amp; "'x-725'!TABLE_CLIENT_1","x-725 1")</f>
        <v>x-725 1</v>
      </c>
      <c r="B94" s="196" t="s">
        <v>316</v>
      </c>
      <c r="C94" s="196" t="s">
        <v>92</v>
      </c>
      <c r="D94" s="196" t="s">
        <v>670</v>
      </c>
      <c r="E94" s="196" t="s">
        <v>683</v>
      </c>
      <c r="F94" s="196" t="s">
        <v>319</v>
      </c>
      <c r="G94" s="196" t="s">
        <v>672</v>
      </c>
      <c r="H94" s="196">
        <v>0</v>
      </c>
      <c r="I94" s="196">
        <v>725</v>
      </c>
      <c r="J94" s="196" t="s">
        <v>684</v>
      </c>
      <c r="K94" s="196" t="s">
        <v>685</v>
      </c>
      <c r="L94" s="197"/>
      <c r="M94" s="198">
        <v>45135</v>
      </c>
      <c r="N94" s="198">
        <v>45231</v>
      </c>
      <c r="O94" s="112" t="s">
        <v>324</v>
      </c>
      <c r="P94" s="199" t="s">
        <v>325</v>
      </c>
      <c r="Q94" s="112"/>
      <c r="R94" s="112"/>
      <c r="S94" s="200"/>
    </row>
    <row r="95" spans="1:20" ht="25" x14ac:dyDescent="0.25">
      <c r="A95" s="195" t="str">
        <f ca="1">HYPERLINK(MID(CELL("filename",A1),FIND("[",CELL("filename",A1)),FIND("]",CELL("filename",A1)) - FIND("[",CELL("filename",A1)) + 1) &amp; "'x-726'!TABLE_CLIENT_1","x-726 1")</f>
        <v>x-726 1</v>
      </c>
      <c r="B95" s="196" t="s">
        <v>326</v>
      </c>
      <c r="C95" s="196" t="s">
        <v>444</v>
      </c>
      <c r="D95" s="196" t="s">
        <v>670</v>
      </c>
      <c r="E95" s="196" t="s">
        <v>686</v>
      </c>
      <c r="F95" s="196" t="s">
        <v>319</v>
      </c>
      <c r="G95" s="196" t="s">
        <v>672</v>
      </c>
      <c r="H95" s="196">
        <v>1</v>
      </c>
      <c r="I95" s="196">
        <v>726</v>
      </c>
      <c r="J95" s="196" t="s">
        <v>687</v>
      </c>
      <c r="K95" s="196" t="s">
        <v>688</v>
      </c>
      <c r="L95" s="197"/>
      <c r="M95" s="198">
        <v>45135</v>
      </c>
      <c r="N95" s="198">
        <v>45231</v>
      </c>
      <c r="O95" s="112" t="s">
        <v>324</v>
      </c>
      <c r="P95" s="199" t="s">
        <v>325</v>
      </c>
      <c r="Q95" s="112"/>
      <c r="R95" s="112"/>
      <c r="S95" s="200"/>
    </row>
    <row r="96" spans="1:20" ht="25" x14ac:dyDescent="0.25">
      <c r="A96" s="195" t="str">
        <f ca="1">HYPERLINK(MID(CELL("filename",A1),FIND("[",CELL("filename",A1)),FIND("]",CELL("filename",A1)) - FIND("[",CELL("filename",A1)) + 1) &amp; "'x-727'!TABLE_CLIENT_1","x-727 1")</f>
        <v>x-727 1</v>
      </c>
      <c r="B96" s="196" t="s">
        <v>326</v>
      </c>
      <c r="C96" s="196" t="s">
        <v>444</v>
      </c>
      <c r="D96" s="196" t="s">
        <v>670</v>
      </c>
      <c r="E96" s="196" t="s">
        <v>689</v>
      </c>
      <c r="F96" s="196" t="s">
        <v>319</v>
      </c>
      <c r="G96" s="196" t="s">
        <v>672</v>
      </c>
      <c r="H96" s="196">
        <v>1</v>
      </c>
      <c r="I96" s="196">
        <v>727</v>
      </c>
      <c r="J96" s="196" t="s">
        <v>690</v>
      </c>
      <c r="K96" s="196" t="s">
        <v>691</v>
      </c>
      <c r="L96" s="197"/>
      <c r="M96" s="198">
        <v>45135</v>
      </c>
      <c r="N96" s="198">
        <v>45231</v>
      </c>
      <c r="O96" s="112" t="s">
        <v>324</v>
      </c>
      <c r="P96" s="199" t="s">
        <v>325</v>
      </c>
      <c r="Q96" s="112"/>
      <c r="R96" s="112"/>
      <c r="S96" s="200"/>
    </row>
    <row r="97" spans="1:20" ht="25" x14ac:dyDescent="0.25">
      <c r="A97" s="195" t="str">
        <f ca="1">HYPERLINK(MID(CELL("filename",A1),FIND("[",CELL("filename",A1)),FIND("]",CELL("filename",A1)) - FIND("[",CELL("filename",A1)) + 1) &amp; "'x-728'!TABLE_CLIENT_1","x-728 1")</f>
        <v>x-728 1</v>
      </c>
      <c r="B97" s="196" t="s">
        <v>326</v>
      </c>
      <c r="C97" s="196" t="s">
        <v>96</v>
      </c>
      <c r="D97" s="196" t="s">
        <v>670</v>
      </c>
      <c r="E97" s="196" t="s">
        <v>692</v>
      </c>
      <c r="F97" s="196" t="s">
        <v>319</v>
      </c>
      <c r="G97" s="196" t="s">
        <v>672</v>
      </c>
      <c r="H97" s="196">
        <v>1</v>
      </c>
      <c r="I97" s="196">
        <v>728</v>
      </c>
      <c r="J97" s="196" t="s">
        <v>693</v>
      </c>
      <c r="K97" s="196" t="s">
        <v>694</v>
      </c>
      <c r="L97" s="197"/>
      <c r="M97" s="198">
        <v>45135</v>
      </c>
      <c r="N97" s="198">
        <v>45231</v>
      </c>
      <c r="O97" s="112" t="s">
        <v>324</v>
      </c>
      <c r="P97" s="199" t="s">
        <v>325</v>
      </c>
      <c r="Q97" s="112"/>
      <c r="R97" s="112"/>
      <c r="S97" s="200"/>
    </row>
    <row r="98" spans="1:20" ht="25" x14ac:dyDescent="0.25">
      <c r="A98" s="195" t="str">
        <f ca="1">HYPERLINK(MID(CELL("filename",A1),FIND("[",CELL("filename",A1)),FIND("]",CELL("filename",A1)) - FIND("[",CELL("filename",A1)) + 1) &amp; "'x-729'!TABLE_CLIENT_1","x-729 1")</f>
        <v>x-729 1</v>
      </c>
      <c r="B98" s="196" t="s">
        <v>326</v>
      </c>
      <c r="C98" s="196" t="s">
        <v>96</v>
      </c>
      <c r="D98" s="196" t="s">
        <v>670</v>
      </c>
      <c r="E98" s="196" t="s">
        <v>695</v>
      </c>
      <c r="F98" s="196" t="s">
        <v>319</v>
      </c>
      <c r="G98" s="196" t="s">
        <v>672</v>
      </c>
      <c r="H98" s="196">
        <v>1</v>
      </c>
      <c r="I98" s="196">
        <v>729</v>
      </c>
      <c r="J98" s="196" t="s">
        <v>696</v>
      </c>
      <c r="K98" s="196" t="s">
        <v>697</v>
      </c>
      <c r="L98" s="197"/>
      <c r="M98" s="198">
        <v>45135</v>
      </c>
      <c r="N98" s="198">
        <v>45231</v>
      </c>
      <c r="O98" s="112" t="s">
        <v>324</v>
      </c>
      <c r="P98" s="199" t="s">
        <v>325</v>
      </c>
      <c r="Q98" s="112"/>
      <c r="R98" s="112"/>
      <c r="S98" s="200"/>
    </row>
    <row r="99" spans="1:20" ht="25" x14ac:dyDescent="0.25">
      <c r="A99" s="195" t="str">
        <f ca="1">HYPERLINK(MID(CELL("filename",A1),FIND("[",CELL("filename",A1)),FIND("]",CELL("filename",A1)) - FIND("[",CELL("filename",A1)) + 1) &amp; "'x-811'!TABLE_CLIENT_1","x-811 1")</f>
        <v>x-811 1</v>
      </c>
      <c r="B99" s="196" t="s">
        <v>326</v>
      </c>
      <c r="C99" s="196" t="s">
        <v>93</v>
      </c>
      <c r="D99" s="196" t="s">
        <v>698</v>
      </c>
      <c r="E99" s="196" t="s">
        <v>699</v>
      </c>
      <c r="F99" s="196" t="s">
        <v>319</v>
      </c>
      <c r="G99" s="196" t="s">
        <v>335</v>
      </c>
      <c r="H99" s="196">
        <v>1</v>
      </c>
      <c r="I99" s="196">
        <v>811</v>
      </c>
      <c r="J99" s="196" t="s">
        <v>700</v>
      </c>
      <c r="K99" s="196" t="s">
        <v>701</v>
      </c>
      <c r="L99" s="197"/>
      <c r="M99" s="198">
        <v>45184</v>
      </c>
      <c r="N99" s="198">
        <v>45184</v>
      </c>
      <c r="O99" s="112" t="s">
        <v>324</v>
      </c>
      <c r="P99" s="199" t="s">
        <v>325</v>
      </c>
      <c r="Q99" s="112"/>
      <c r="R99" s="112"/>
      <c r="S99" s="200"/>
    </row>
    <row r="100" spans="1:20" ht="25" x14ac:dyDescent="0.25">
      <c r="A100" s="195" t="str">
        <f ca="1">HYPERLINK(MID(CELL("filename",A1),FIND("[",CELL("filename",A1)),FIND("]",CELL("filename",A1)) - FIND("[",CELL("filename",A1)) + 1) &amp; "'x-812'!TABLE_CLIENT_1","x-812 1")</f>
        <v>x-812 1</v>
      </c>
      <c r="B100" s="196" t="s">
        <v>326</v>
      </c>
      <c r="C100" s="196" t="s">
        <v>93</v>
      </c>
      <c r="D100" s="196" t="s">
        <v>698</v>
      </c>
      <c r="E100" s="196" t="s">
        <v>702</v>
      </c>
      <c r="F100" s="196" t="s">
        <v>319</v>
      </c>
      <c r="G100" s="196" t="s">
        <v>335</v>
      </c>
      <c r="H100" s="196">
        <v>1</v>
      </c>
      <c r="I100" s="196">
        <v>812</v>
      </c>
      <c r="J100" s="196" t="s">
        <v>703</v>
      </c>
      <c r="K100" s="196" t="s">
        <v>704</v>
      </c>
      <c r="L100" s="197"/>
      <c r="M100" s="198">
        <v>45184</v>
      </c>
      <c r="N100" s="198">
        <v>45184</v>
      </c>
      <c r="O100" s="112" t="s">
        <v>324</v>
      </c>
      <c r="P100" s="199" t="s">
        <v>325</v>
      </c>
      <c r="Q100" s="112"/>
      <c r="R100" s="112"/>
      <c r="S100" s="200"/>
    </row>
    <row r="101" spans="1:20" ht="25" x14ac:dyDescent="0.25">
      <c r="A101" s="195" t="str">
        <f ca="1">HYPERLINK(MID(CELL("filename",A1),FIND("[",CELL("filename",A1)),FIND("]",CELL("filename",A1)) - FIND("[",CELL("filename",A1)) + 1) &amp; "'x-813'!TABLE_CLIENT_1","x-813 1")</f>
        <v>x-813 1</v>
      </c>
      <c r="B101" s="196" t="s">
        <v>326</v>
      </c>
      <c r="C101" s="196" t="s">
        <v>95</v>
      </c>
      <c r="D101" s="196" t="s">
        <v>698</v>
      </c>
      <c r="E101" s="196" t="s">
        <v>705</v>
      </c>
      <c r="F101" s="196" t="s">
        <v>319</v>
      </c>
      <c r="G101" s="196" t="s">
        <v>335</v>
      </c>
      <c r="H101" s="196">
        <v>1</v>
      </c>
      <c r="I101" s="196">
        <v>813</v>
      </c>
      <c r="J101" s="196" t="s">
        <v>706</v>
      </c>
      <c r="K101" s="196" t="s">
        <v>707</v>
      </c>
      <c r="L101" s="197"/>
      <c r="M101" s="198">
        <v>45184</v>
      </c>
      <c r="N101" s="198">
        <v>45184</v>
      </c>
      <c r="O101" s="112" t="s">
        <v>324</v>
      </c>
      <c r="P101" s="199" t="s">
        <v>325</v>
      </c>
      <c r="Q101" s="112"/>
      <c r="R101" s="112"/>
      <c r="S101" s="200"/>
    </row>
    <row r="102" spans="1:20" ht="25" x14ac:dyDescent="0.25">
      <c r="A102" s="195" t="str">
        <f ca="1">HYPERLINK(MID(CELL("filename",A1),FIND("[",CELL("filename",A1)),FIND("]",CELL("filename",A1)) - FIND("[",CELL("filename",A1)) + 1) &amp; "'x-814'!TABLE_CLIENT_1","x-814 1")</f>
        <v>x-814 1</v>
      </c>
      <c r="B102" s="196" t="s">
        <v>326</v>
      </c>
      <c r="C102" s="196" t="s">
        <v>95</v>
      </c>
      <c r="D102" s="196" t="s">
        <v>698</v>
      </c>
      <c r="E102" s="196" t="s">
        <v>708</v>
      </c>
      <c r="F102" s="196" t="s">
        <v>319</v>
      </c>
      <c r="G102" s="196" t="s">
        <v>335</v>
      </c>
      <c r="H102" s="196">
        <v>1</v>
      </c>
      <c r="I102" s="196">
        <v>814</v>
      </c>
      <c r="J102" s="196" t="s">
        <v>709</v>
      </c>
      <c r="K102" s="196" t="s">
        <v>710</v>
      </c>
      <c r="L102" s="197"/>
      <c r="M102" s="198">
        <v>45184</v>
      </c>
      <c r="N102" s="198">
        <v>45184</v>
      </c>
      <c r="O102" s="112" t="s">
        <v>324</v>
      </c>
      <c r="P102" s="199" t="s">
        <v>325</v>
      </c>
      <c r="Q102" s="112"/>
      <c r="R102" s="112"/>
      <c r="S102" s="200"/>
    </row>
    <row r="103" spans="1:20" ht="25" x14ac:dyDescent="0.25">
      <c r="A103" s="195" t="str">
        <f ca="1">HYPERLINK(MID(CELL("filename",A2),FIND("[",CELL("filename",A2)),FIND("]",CELL("filename",A2)) - FIND("[",CELL("filename",A2)) + 1) &amp; "'x-815'!TABLE_CLIENT_1","x-815 1")</f>
        <v>x-815 1</v>
      </c>
      <c r="B103" s="196" t="s">
        <v>326</v>
      </c>
      <c r="C103" s="196" t="s">
        <v>395</v>
      </c>
      <c r="D103" s="196" t="s">
        <v>711</v>
      </c>
      <c r="E103" s="196" t="s">
        <v>712</v>
      </c>
      <c r="F103" s="196" t="s">
        <v>319</v>
      </c>
      <c r="G103" s="196" t="s">
        <v>713</v>
      </c>
      <c r="H103" s="196">
        <v>1</v>
      </c>
      <c r="I103" s="196">
        <v>815</v>
      </c>
      <c r="J103" s="196" t="s">
        <v>714</v>
      </c>
      <c r="K103" s="196" t="s">
        <v>715</v>
      </c>
      <c r="L103" s="197"/>
      <c r="M103" s="198">
        <v>43812</v>
      </c>
      <c r="N103" s="198"/>
      <c r="O103" s="112" t="s">
        <v>324</v>
      </c>
      <c r="P103" s="199" t="s">
        <v>325</v>
      </c>
      <c r="Q103" s="112"/>
      <c r="R103" s="112"/>
      <c r="S103" s="200"/>
    </row>
    <row r="104" spans="1:20" x14ac:dyDescent="0.25">
      <c r="A104" s="195"/>
      <c r="B104" s="196"/>
      <c r="C104" s="196"/>
      <c r="D104" s="196"/>
      <c r="E104" s="196"/>
      <c r="F104" s="196"/>
      <c r="G104" s="196"/>
      <c r="H104" s="196"/>
      <c r="I104" s="196"/>
      <c r="J104" s="196"/>
      <c r="K104" s="196"/>
      <c r="L104" s="197"/>
      <c r="M104" s="198"/>
      <c r="N104" s="198"/>
      <c r="O104" s="112"/>
      <c r="P104" s="199"/>
      <c r="Q104" s="112"/>
      <c r="R104" s="112"/>
      <c r="S104" s="200"/>
    </row>
    <row r="105" spans="1:20" x14ac:dyDescent="0.25">
      <c r="A105" s="195"/>
      <c r="B105" s="196"/>
      <c r="C105" s="196"/>
      <c r="D105" s="196"/>
      <c r="E105" s="196"/>
      <c r="F105" s="196"/>
      <c r="G105" s="196"/>
      <c r="H105" s="196"/>
      <c r="I105" s="196"/>
      <c r="J105" s="196"/>
      <c r="K105" s="196"/>
      <c r="L105" s="197"/>
      <c r="M105" s="198"/>
      <c r="N105" s="198"/>
      <c r="O105" s="112"/>
      <c r="P105" s="199"/>
      <c r="Q105" s="12"/>
      <c r="S105"/>
      <c r="T105" s="202"/>
    </row>
    <row r="106" spans="1:20" x14ac:dyDescent="0.25">
      <c r="C106"/>
      <c r="D106"/>
      <c r="E106"/>
      <c r="H106"/>
      <c r="I106"/>
      <c r="K106"/>
      <c r="L106"/>
      <c r="M106"/>
      <c r="N106"/>
      <c r="S106"/>
    </row>
    <row r="107" spans="1:20" x14ac:dyDescent="0.25">
      <c r="C107"/>
      <c r="D107"/>
      <c r="E107"/>
      <c r="H107"/>
      <c r="I107"/>
      <c r="K107"/>
      <c r="L107"/>
      <c r="M107"/>
      <c r="N107"/>
      <c r="S107"/>
    </row>
    <row r="108" spans="1:20" x14ac:dyDescent="0.25">
      <c r="C108"/>
      <c r="D108"/>
      <c r="E108"/>
      <c r="H108"/>
      <c r="I108"/>
      <c r="K108"/>
      <c r="L108"/>
      <c r="M108"/>
      <c r="N108"/>
      <c r="S108"/>
    </row>
    <row r="109" spans="1:20" x14ac:dyDescent="0.25">
      <c r="C109"/>
      <c r="D109"/>
      <c r="E109"/>
      <c r="H109"/>
      <c r="I109"/>
      <c r="K109"/>
      <c r="L109"/>
      <c r="M109"/>
      <c r="N109"/>
      <c r="S109"/>
    </row>
    <row r="110" spans="1:20" x14ac:dyDescent="0.25">
      <c r="C110"/>
      <c r="D110"/>
      <c r="E110"/>
      <c r="H110"/>
      <c r="I110"/>
      <c r="K110"/>
      <c r="L110"/>
      <c r="M110"/>
      <c r="N110"/>
      <c r="S110"/>
    </row>
    <row r="111" spans="1:20" x14ac:dyDescent="0.25">
      <c r="C111"/>
      <c r="D111"/>
      <c r="E111"/>
      <c r="H111"/>
      <c r="I111"/>
      <c r="K111"/>
      <c r="L111"/>
      <c r="M111"/>
      <c r="N111"/>
      <c r="S111"/>
    </row>
    <row r="112" spans="1:20" x14ac:dyDescent="0.25">
      <c r="C112"/>
      <c r="D112"/>
      <c r="E112"/>
      <c r="H112"/>
      <c r="I112"/>
      <c r="K112"/>
      <c r="L112"/>
      <c r="M112"/>
      <c r="N112"/>
      <c r="S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spans="19:19" customFormat="1" x14ac:dyDescent="0.25"/>
    <row r="866" spans="19:19" customFormat="1" x14ac:dyDescent="0.25"/>
    <row r="867" spans="19:19" customFormat="1" x14ac:dyDescent="0.25">
      <c r="S867" s="202"/>
    </row>
    <row r="868" spans="19:19" customFormat="1" x14ac:dyDescent="0.25">
      <c r="S868" s="202"/>
    </row>
    <row r="869" spans="19:19" customFormat="1" x14ac:dyDescent="0.25">
      <c r="S869" s="202"/>
    </row>
    <row r="870" spans="19:19" customFormat="1" x14ac:dyDescent="0.25">
      <c r="S870" s="202"/>
    </row>
    <row r="871" spans="19:19" customFormat="1" x14ac:dyDescent="0.25">
      <c r="S871" s="202"/>
    </row>
    <row r="872" spans="19:19" customFormat="1" x14ac:dyDescent="0.25">
      <c r="S872" s="202"/>
    </row>
    <row r="873" spans="19:19" customFormat="1" x14ac:dyDescent="0.25">
      <c r="S873" s="202"/>
    </row>
    <row r="874" spans="19:19" customFormat="1" x14ac:dyDescent="0.25">
      <c r="S874" s="202"/>
    </row>
    <row r="875" spans="19:19" customFormat="1" x14ac:dyDescent="0.25">
      <c r="S875" s="202"/>
    </row>
    <row r="876" spans="19:19" customFormat="1" x14ac:dyDescent="0.25">
      <c r="S876" s="202"/>
    </row>
    <row r="877" spans="19:19" customFormat="1" x14ac:dyDescent="0.25">
      <c r="S877" s="202"/>
    </row>
    <row r="878" spans="19:19" customFormat="1" x14ac:dyDescent="0.25">
      <c r="S878" s="202"/>
    </row>
    <row r="879" spans="19:19" customFormat="1" x14ac:dyDescent="0.25">
      <c r="S879" s="202"/>
    </row>
    <row r="880" spans="19:19" customFormat="1" x14ac:dyDescent="0.25">
      <c r="S880" s="202"/>
    </row>
    <row r="881" spans="19:19" customFormat="1" x14ac:dyDescent="0.25">
      <c r="S881" s="202"/>
    </row>
    <row r="882" spans="19:19" customFormat="1" x14ac:dyDescent="0.25">
      <c r="S882" s="202"/>
    </row>
    <row r="883" spans="19:19" customFormat="1" x14ac:dyDescent="0.25">
      <c r="S883" s="202"/>
    </row>
    <row r="884" spans="19:19" customFormat="1" x14ac:dyDescent="0.25">
      <c r="S884" s="202"/>
    </row>
    <row r="885" spans="19:19" customFormat="1" x14ac:dyDescent="0.25">
      <c r="S885" s="202"/>
    </row>
    <row r="886" spans="19:19" customFormat="1" x14ac:dyDescent="0.25">
      <c r="S886" s="202"/>
    </row>
    <row r="887" spans="19:19" customFormat="1" x14ac:dyDescent="0.25">
      <c r="S887" s="202"/>
    </row>
    <row r="888" spans="19:19" customFormat="1" x14ac:dyDescent="0.25">
      <c r="S888" s="202"/>
    </row>
    <row r="889" spans="19:19" customFormat="1" x14ac:dyDescent="0.25">
      <c r="S889" s="202"/>
    </row>
    <row r="890" spans="19:19" customFormat="1" x14ac:dyDescent="0.25">
      <c r="S890" s="202"/>
    </row>
    <row r="891" spans="19:19" customFormat="1" x14ac:dyDescent="0.25">
      <c r="S891" s="202"/>
    </row>
    <row r="892" spans="19:19" customFormat="1" x14ac:dyDescent="0.25">
      <c r="S892" s="202"/>
    </row>
    <row r="893" spans="19:19" customFormat="1" x14ac:dyDescent="0.25">
      <c r="S893" s="202"/>
    </row>
    <row r="894" spans="19:19" customFormat="1" x14ac:dyDescent="0.25">
      <c r="S894" s="202"/>
    </row>
    <row r="895" spans="19:19" customFormat="1" x14ac:dyDescent="0.25">
      <c r="S895" s="202"/>
    </row>
    <row r="896" spans="19:19" customFormat="1" x14ac:dyDescent="0.25">
      <c r="S896" s="202"/>
    </row>
    <row r="897" spans="19:19" customFormat="1" x14ac:dyDescent="0.25">
      <c r="S897" s="202"/>
    </row>
    <row r="898" spans="19:19" customFormat="1" x14ac:dyDescent="0.25">
      <c r="S898" s="202"/>
    </row>
    <row r="899" spans="19:19" customFormat="1" x14ac:dyDescent="0.25">
      <c r="S899" s="202"/>
    </row>
    <row r="900" spans="19:19" customFormat="1" x14ac:dyDescent="0.25">
      <c r="S900" s="202"/>
    </row>
    <row r="901" spans="19:19" customFormat="1" x14ac:dyDescent="0.25">
      <c r="S901" s="202"/>
    </row>
    <row r="902" spans="19:19" customFormat="1" x14ac:dyDescent="0.25">
      <c r="S902" s="202"/>
    </row>
    <row r="903" spans="19:19" customFormat="1" x14ac:dyDescent="0.25">
      <c r="S903" s="202"/>
    </row>
    <row r="904" spans="19:19" customFormat="1" x14ac:dyDescent="0.25">
      <c r="S904" s="202"/>
    </row>
    <row r="905" spans="19:19" customFormat="1" x14ac:dyDescent="0.25">
      <c r="S905" s="202"/>
    </row>
    <row r="906" spans="19:19" customFormat="1" x14ac:dyDescent="0.25">
      <c r="S906" s="202"/>
    </row>
    <row r="907" spans="19:19" customFormat="1" x14ac:dyDescent="0.25">
      <c r="S907" s="202"/>
    </row>
    <row r="908" spans="19:19" customFormat="1" x14ac:dyDescent="0.25">
      <c r="S908" s="202"/>
    </row>
    <row r="909" spans="19:19" customFormat="1" x14ac:dyDescent="0.25">
      <c r="S909" s="202"/>
    </row>
    <row r="910" spans="19:19" customFormat="1" x14ac:dyDescent="0.25">
      <c r="S910" s="202"/>
    </row>
    <row r="911" spans="19:19" customFormat="1" x14ac:dyDescent="0.25">
      <c r="S911" s="202"/>
    </row>
    <row r="912" spans="19:19" customFormat="1" x14ac:dyDescent="0.25">
      <c r="S912" s="202"/>
    </row>
    <row r="913" spans="19:19" customFormat="1" x14ac:dyDescent="0.25">
      <c r="S913" s="202"/>
    </row>
    <row r="914" spans="19:19" customFormat="1" x14ac:dyDescent="0.25">
      <c r="S914" s="202"/>
    </row>
    <row r="915" spans="19:19" customFormat="1" x14ac:dyDescent="0.25">
      <c r="S915" s="202"/>
    </row>
    <row r="916" spans="19:19" customFormat="1" x14ac:dyDescent="0.25">
      <c r="S916" s="202"/>
    </row>
    <row r="917" spans="19:19" customFormat="1" x14ac:dyDescent="0.25">
      <c r="S917" s="202"/>
    </row>
    <row r="918" spans="19:19" customFormat="1" x14ac:dyDescent="0.25">
      <c r="S918" s="202"/>
    </row>
    <row r="919" spans="19:19" customFormat="1" x14ac:dyDescent="0.25">
      <c r="S919" s="202"/>
    </row>
    <row r="920" spans="19:19" customFormat="1" x14ac:dyDescent="0.25">
      <c r="S920" s="202"/>
    </row>
    <row r="921" spans="19:19" customFormat="1" x14ac:dyDescent="0.25">
      <c r="S921" s="202"/>
    </row>
    <row r="922" spans="19:19" customFormat="1" x14ac:dyDescent="0.25">
      <c r="S922" s="202"/>
    </row>
    <row r="923" spans="19:19" customFormat="1" x14ac:dyDescent="0.25">
      <c r="S923" s="202"/>
    </row>
    <row r="924" spans="19:19" customFormat="1" x14ac:dyDescent="0.25">
      <c r="S924" s="202"/>
    </row>
    <row r="925" spans="19:19" customFormat="1" x14ac:dyDescent="0.25">
      <c r="S925" s="202"/>
    </row>
    <row r="926" spans="19:19" customFormat="1" x14ac:dyDescent="0.25">
      <c r="S926" s="202"/>
    </row>
    <row r="927" spans="19:19" customFormat="1" x14ac:dyDescent="0.25">
      <c r="S927" s="202"/>
    </row>
    <row r="928" spans="19:19" customFormat="1" x14ac:dyDescent="0.25">
      <c r="S928" s="202"/>
    </row>
    <row r="929" spans="19:19" customFormat="1" x14ac:dyDescent="0.25">
      <c r="S929" s="202"/>
    </row>
    <row r="930" spans="19:19" customFormat="1" x14ac:dyDescent="0.25">
      <c r="S930" s="202"/>
    </row>
    <row r="931" spans="19:19" customFormat="1" x14ac:dyDescent="0.25">
      <c r="S931" s="202"/>
    </row>
    <row r="932" spans="19:19" customFormat="1" x14ac:dyDescent="0.25">
      <c r="S932" s="202"/>
    </row>
    <row r="933" spans="19:19" customFormat="1" x14ac:dyDescent="0.25">
      <c r="S933" s="202"/>
    </row>
    <row r="934" spans="19:19" customFormat="1" x14ac:dyDescent="0.25">
      <c r="S934" s="202"/>
    </row>
    <row r="935" spans="19:19" customFormat="1" x14ac:dyDescent="0.25">
      <c r="S935" s="202"/>
    </row>
    <row r="936" spans="19:19" customFormat="1" x14ac:dyDescent="0.25">
      <c r="S936" s="202"/>
    </row>
    <row r="937" spans="19:19" customFormat="1" x14ac:dyDescent="0.25">
      <c r="S937" s="202"/>
    </row>
    <row r="938" spans="19:19" customFormat="1" x14ac:dyDescent="0.25">
      <c r="S938" s="202"/>
    </row>
    <row r="939" spans="19:19" customFormat="1" x14ac:dyDescent="0.25">
      <c r="S939" s="202"/>
    </row>
    <row r="940" spans="19:19" customFormat="1" x14ac:dyDescent="0.25">
      <c r="S940" s="202"/>
    </row>
    <row r="941" spans="19:19" customFormat="1" x14ac:dyDescent="0.25">
      <c r="S941" s="202"/>
    </row>
    <row r="942" spans="19:19" customFormat="1" x14ac:dyDescent="0.25">
      <c r="S942" s="202"/>
    </row>
    <row r="943" spans="19:19" customFormat="1" x14ac:dyDescent="0.25">
      <c r="S943" s="202"/>
    </row>
    <row r="944" spans="19:19" customFormat="1" x14ac:dyDescent="0.25">
      <c r="S944" s="202"/>
    </row>
    <row r="945" spans="19:19" customFormat="1" x14ac:dyDescent="0.25">
      <c r="S945" s="202"/>
    </row>
    <row r="946" spans="19:19" customFormat="1" x14ac:dyDescent="0.25">
      <c r="S946" s="202"/>
    </row>
    <row r="947" spans="19:19" customFormat="1" x14ac:dyDescent="0.25">
      <c r="S947" s="202"/>
    </row>
    <row r="948" spans="19:19" customFormat="1" x14ac:dyDescent="0.25">
      <c r="S948" s="202"/>
    </row>
    <row r="949" spans="19:19" customFormat="1" x14ac:dyDescent="0.25">
      <c r="S949" s="202"/>
    </row>
    <row r="950" spans="19:19" customFormat="1" x14ac:dyDescent="0.25">
      <c r="S950" s="202"/>
    </row>
    <row r="951" spans="19:19" customFormat="1" x14ac:dyDescent="0.25">
      <c r="S951" s="202"/>
    </row>
    <row r="952" spans="19:19" customFormat="1" x14ac:dyDescent="0.25">
      <c r="S952" s="202"/>
    </row>
    <row r="953" spans="19:19" customFormat="1" x14ac:dyDescent="0.25">
      <c r="S953" s="202"/>
    </row>
    <row r="954" spans="19:19" customFormat="1" x14ac:dyDescent="0.25">
      <c r="S954" s="202"/>
    </row>
    <row r="955" spans="19:19" customFormat="1" x14ac:dyDescent="0.25">
      <c r="S955" s="202"/>
    </row>
    <row r="956" spans="19:19" customFormat="1" x14ac:dyDescent="0.25">
      <c r="S956" s="202"/>
    </row>
    <row r="957" spans="19:19" customFormat="1" x14ac:dyDescent="0.25">
      <c r="S957" s="202"/>
    </row>
    <row r="958" spans="19:19" customFormat="1" x14ac:dyDescent="0.25">
      <c r="S958" s="202"/>
    </row>
    <row r="959" spans="19:19" customFormat="1" x14ac:dyDescent="0.25">
      <c r="S959" s="202"/>
    </row>
    <row r="960" spans="19:19" customFormat="1" x14ac:dyDescent="0.25">
      <c r="S960" s="202"/>
    </row>
    <row r="961" spans="19:19" customFormat="1" x14ac:dyDescent="0.25">
      <c r="S961" s="202"/>
    </row>
    <row r="962" spans="19:19" customFormat="1" x14ac:dyDescent="0.25">
      <c r="S962" s="202"/>
    </row>
    <row r="963" spans="19:19" customFormat="1" x14ac:dyDescent="0.25">
      <c r="S963" s="202"/>
    </row>
    <row r="964" spans="19:19" customFormat="1" x14ac:dyDescent="0.25">
      <c r="S964" s="202"/>
    </row>
    <row r="965" spans="19:19" customFormat="1" x14ac:dyDescent="0.25">
      <c r="S965" s="202"/>
    </row>
    <row r="966" spans="19:19" customFormat="1" x14ac:dyDescent="0.25">
      <c r="S966" s="202"/>
    </row>
    <row r="967" spans="19:19" customFormat="1" x14ac:dyDescent="0.25">
      <c r="S967" s="202"/>
    </row>
    <row r="968" spans="19:19" customFormat="1" x14ac:dyDescent="0.25">
      <c r="S968" s="202"/>
    </row>
    <row r="969" spans="19:19" customFormat="1" x14ac:dyDescent="0.25">
      <c r="S969" s="202"/>
    </row>
    <row r="970" spans="19:19" customFormat="1" x14ac:dyDescent="0.25">
      <c r="S970" s="202"/>
    </row>
    <row r="971" spans="19:19" customFormat="1" x14ac:dyDescent="0.25">
      <c r="S971" s="202"/>
    </row>
    <row r="972" spans="19:19" customFormat="1" x14ac:dyDescent="0.25">
      <c r="S972" s="202"/>
    </row>
    <row r="973" spans="19:19" customFormat="1" x14ac:dyDescent="0.25">
      <c r="S973" s="202"/>
    </row>
    <row r="974" spans="19:19" customFormat="1" x14ac:dyDescent="0.25">
      <c r="S974" s="202"/>
    </row>
    <row r="975" spans="19:19" customFormat="1" x14ac:dyDescent="0.25">
      <c r="S975" s="202"/>
    </row>
    <row r="976" spans="19:19" customFormat="1" x14ac:dyDescent="0.25">
      <c r="S976" s="202"/>
    </row>
    <row r="977" spans="19:19" customFormat="1" x14ac:dyDescent="0.25">
      <c r="S977" s="202"/>
    </row>
    <row r="978" spans="19:19" customFormat="1" x14ac:dyDescent="0.25">
      <c r="S978" s="202"/>
    </row>
    <row r="979" spans="19:19" customFormat="1" x14ac:dyDescent="0.25">
      <c r="S979" s="202"/>
    </row>
    <row r="980" spans="19:19" customFormat="1" x14ac:dyDescent="0.25">
      <c r="S980" s="202"/>
    </row>
    <row r="981" spans="19:19" customFormat="1" x14ac:dyDescent="0.25">
      <c r="S981" s="202"/>
    </row>
    <row r="982" spans="19:19" customFormat="1" x14ac:dyDescent="0.25">
      <c r="S982" s="202"/>
    </row>
    <row r="983" spans="19:19" customFormat="1" x14ac:dyDescent="0.25">
      <c r="S983" s="202"/>
    </row>
    <row r="984" spans="19:19" customFormat="1" x14ac:dyDescent="0.25">
      <c r="S984" s="202"/>
    </row>
    <row r="985" spans="19:19" customFormat="1" x14ac:dyDescent="0.25">
      <c r="S985" s="202"/>
    </row>
    <row r="986" spans="19:19" customFormat="1" x14ac:dyDescent="0.25">
      <c r="S986" s="202"/>
    </row>
    <row r="987" spans="19:19" customFormat="1" x14ac:dyDescent="0.25">
      <c r="S987" s="202"/>
    </row>
    <row r="988" spans="19:19" customFormat="1" x14ac:dyDescent="0.25">
      <c r="S988" s="202"/>
    </row>
    <row r="989" spans="19:19" customFormat="1" x14ac:dyDescent="0.25">
      <c r="S989" s="202"/>
    </row>
    <row r="990" spans="19:19" customFormat="1" x14ac:dyDescent="0.25">
      <c r="S990" s="202"/>
    </row>
    <row r="991" spans="19:19" customFormat="1" x14ac:dyDescent="0.25">
      <c r="S991" s="202"/>
    </row>
    <row r="992" spans="19:19" customFormat="1" x14ac:dyDescent="0.25">
      <c r="S992" s="202"/>
    </row>
    <row r="993" spans="19:19" customFormat="1" x14ac:dyDescent="0.25">
      <c r="S993" s="202"/>
    </row>
    <row r="994" spans="19:19" customFormat="1" x14ac:dyDescent="0.25">
      <c r="S994" s="202"/>
    </row>
    <row r="995" spans="19:19" customFormat="1" x14ac:dyDescent="0.25">
      <c r="S995" s="202"/>
    </row>
    <row r="996" spans="19:19" customFormat="1" x14ac:dyDescent="0.25">
      <c r="S996" s="202"/>
    </row>
    <row r="997" spans="19:19" customFormat="1" x14ac:dyDescent="0.25">
      <c r="S997" s="202"/>
    </row>
    <row r="998" spans="19:19" customFormat="1" x14ac:dyDescent="0.25">
      <c r="S998" s="202"/>
    </row>
    <row r="999" spans="19:19" customFormat="1" x14ac:dyDescent="0.25">
      <c r="S999" s="202"/>
    </row>
    <row r="1000" spans="19:19" customFormat="1" x14ac:dyDescent="0.25">
      <c r="S1000" s="202"/>
    </row>
  </sheetData>
  <autoFilter ref="A7:W103" xr:uid="{00000000-0001-0000-0500-000000000000}"/>
  <sortState xmlns:xlrd2="http://schemas.microsoft.com/office/spreadsheetml/2017/richdata2" ref="B10:Q19">
    <sortCondition ref="I10:I19"/>
    <sortCondition ref="H10:H19"/>
    <sortCondition ref="J10:J19"/>
    <sortCondition ref="F10:F19"/>
  </sortState>
  <phoneticPr fontId="20" type="noConversion"/>
  <conditionalFormatting sqref="A9:A105">
    <cfRule type="expression" dxfId="1269" priority="35" stopIfTrue="1">
      <formula>MOD(ROW(),2)=0</formula>
    </cfRule>
    <cfRule type="expression" dxfId="1268" priority="36" stopIfTrue="1">
      <formula>MOD(ROW(),2)&lt;&gt;0</formula>
    </cfRule>
  </conditionalFormatting>
  <conditionalFormatting sqref="A105">
    <cfRule type="expression" priority="40" stopIfTrue="1">
      <formula>MOD(ROW(),2)&lt;&gt;0</formula>
    </cfRule>
    <cfRule type="expression" priority="44" stopIfTrue="1">
      <formula>MOD(ROW(),2)&lt;&gt;0</formula>
    </cfRule>
    <cfRule type="expression" priority="45" stopIfTrue="1">
      <formula>MOD(ROW(),2)=0</formula>
    </cfRule>
    <cfRule type="expression" priority="46" stopIfTrue="1">
      <formula>MOD(ROW(),2)&lt;&gt;0</formula>
    </cfRule>
    <cfRule type="expression" priority="47" stopIfTrue="1">
      <formula>MOD(ROW(),2)=0</formula>
    </cfRule>
    <cfRule type="expression" priority="48" stopIfTrue="1">
      <formula>MOD(ROW(),2)&lt;&gt;0</formula>
    </cfRule>
    <cfRule type="expression" priority="41" stopIfTrue="1">
      <formula>MOD(ROW(),2)=0</formula>
    </cfRule>
    <cfRule type="expression" priority="43" stopIfTrue="1">
      <formula>MOD(ROW(),2)=0</formula>
    </cfRule>
    <cfRule type="expression" priority="42" stopIfTrue="1">
      <formula>MOD(ROW(),2)&lt;&gt;0</formula>
    </cfRule>
    <cfRule type="expression" priority="37" stopIfTrue="1">
      <formula>MOD(ROW(),2)=0</formula>
    </cfRule>
    <cfRule type="expression" priority="38" stopIfTrue="1">
      <formula>MOD(ROW(),2)&lt;&gt;0</formula>
    </cfRule>
    <cfRule type="expression" priority="39" stopIfTrue="1">
      <formula>MOD(ROW(),2)=0</formula>
    </cfRule>
  </conditionalFormatting>
  <conditionalFormatting sqref="A11:N12 O11:O105 A13:L14 M13:N19 A15:K19 A20:N104 A7:O10 B105:N105">
    <cfRule type="expression" priority="117" stopIfTrue="1">
      <formula>MOD(ROW(),2)=0</formula>
    </cfRule>
  </conditionalFormatting>
  <conditionalFormatting sqref="A7:O10 A11:N12 O11:O105 A13:L14 M13:N19 A15:K19 A20:N104 B105:N105">
    <cfRule type="expression" priority="118" stopIfTrue="1">
      <formula>MOD(ROW(),2)&lt;&gt;0</formula>
    </cfRule>
  </conditionalFormatting>
  <conditionalFormatting sqref="A7:O10 A11:N104 O11:O105 B105:N105">
    <cfRule type="expression" priority="129" stopIfTrue="1">
      <formula>MOD(ROW(),2)=0</formula>
    </cfRule>
    <cfRule type="expression" priority="128" stopIfTrue="1">
      <formula>MOD(ROW(),2)&lt;&gt;0</formula>
    </cfRule>
    <cfRule type="expression" priority="127" stopIfTrue="1">
      <formula>MOD(ROW(),2)=0</formula>
    </cfRule>
    <cfRule type="expression" priority="126" stopIfTrue="1">
      <formula>MOD(ROW(),2)&lt;&gt;0</formula>
    </cfRule>
    <cfRule type="expression" priority="125" stopIfTrue="1">
      <formula>MOD(ROW(),2)=0</formula>
    </cfRule>
    <cfRule type="expression" priority="130" stopIfTrue="1">
      <formula>MOD(ROW(),2)&lt;&gt;0</formula>
    </cfRule>
    <cfRule type="expression" priority="124" stopIfTrue="1">
      <formula>MOD(ROW(),2)&lt;&gt;0</formula>
    </cfRule>
    <cfRule type="expression" priority="123" stopIfTrue="1">
      <formula>MOD(ROW(),2)=0</formula>
    </cfRule>
    <cfRule type="expression" priority="122" stopIfTrue="1">
      <formula>MOD(ROW(),2)&lt;&gt;0</formula>
    </cfRule>
    <cfRule type="expression" priority="121" stopIfTrue="1">
      <formula>MOD(ROW(),2)=0</formula>
    </cfRule>
  </conditionalFormatting>
  <conditionalFormatting sqref="B9:C10">
    <cfRule type="expression" dxfId="1267" priority="17" stopIfTrue="1">
      <formula>MOD(ROW(),2)=0</formula>
    </cfRule>
    <cfRule type="expression" dxfId="1266" priority="18" stopIfTrue="1">
      <formula>MOD(ROW(),2)&lt;&gt;0</formula>
    </cfRule>
  </conditionalFormatting>
  <conditionalFormatting sqref="B58:J105">
    <cfRule type="expression" dxfId="1265" priority="63" stopIfTrue="1">
      <formula>MOD(ROW(),2)=0</formula>
    </cfRule>
    <cfRule type="expression" dxfId="1264" priority="64" stopIfTrue="1">
      <formula>MOD(ROW(),2)&lt;&gt;0</formula>
    </cfRule>
  </conditionalFormatting>
  <conditionalFormatting sqref="B46:N57">
    <cfRule type="expression" dxfId="1263" priority="112" stopIfTrue="1">
      <formula>MOD(ROW(),2)&lt;&gt;0</formula>
    </cfRule>
    <cfRule type="expression" dxfId="1262" priority="111" stopIfTrue="1">
      <formula>MOD(ROW(),2)=0</formula>
    </cfRule>
  </conditionalFormatting>
  <conditionalFormatting sqref="B9:O10">
    <cfRule type="expression" dxfId="1261" priority="76" stopIfTrue="1">
      <formula>MOD(ROW(),2)&lt;&gt;0</formula>
    </cfRule>
    <cfRule type="expression" dxfId="1260" priority="75" stopIfTrue="1">
      <formula>MOD(ROW(),2)=0</formula>
    </cfRule>
  </conditionalFormatting>
  <conditionalFormatting sqref="B105:O105">
    <cfRule type="expression" priority="66" stopIfTrue="1">
      <formula>MOD(ROW(),2)&lt;&gt;0</formula>
    </cfRule>
    <cfRule type="expression" priority="65" stopIfTrue="1">
      <formula>MOD(ROW(),2)=0</formula>
    </cfRule>
  </conditionalFormatting>
  <conditionalFormatting sqref="K15:K22">
    <cfRule type="expression" dxfId="1259" priority="69" stopIfTrue="1">
      <formula>MOD(ROW(),2)=0</formula>
    </cfRule>
    <cfRule type="expression" dxfId="1258" priority="70" stopIfTrue="1">
      <formula>MOD(ROW(),2)&lt;&gt;0</formula>
    </cfRule>
  </conditionalFormatting>
  <conditionalFormatting sqref="K32:K45">
    <cfRule type="expression" dxfId="1257" priority="68" stopIfTrue="1">
      <formula>MOD(ROW(),2)&lt;&gt;0</formula>
    </cfRule>
    <cfRule type="expression" dxfId="1256" priority="67" stopIfTrue="1">
      <formula>MOD(ROW(),2)=0</formula>
    </cfRule>
  </conditionalFormatting>
  <conditionalFormatting sqref="K62:K98">
    <cfRule type="expression" dxfId="1255" priority="79" stopIfTrue="1">
      <formula>MOD(ROW(),2)=0</formula>
    </cfRule>
    <cfRule type="expression" dxfId="1254" priority="80" stopIfTrue="1">
      <formula>MOD(ROW(),2)&lt;&gt;0</formula>
    </cfRule>
  </conditionalFormatting>
  <conditionalFormatting sqref="K13:L14">
    <cfRule type="expression" dxfId="1253" priority="71" stopIfTrue="1">
      <formula>MOD(ROW(),2)=0</formula>
    </cfRule>
    <cfRule type="expression" dxfId="1252" priority="72" stopIfTrue="1">
      <formula>MOD(ROW(),2)&lt;&gt;0</formula>
    </cfRule>
  </conditionalFormatting>
  <conditionalFormatting sqref="K103:L105 N103:N105">
    <cfRule type="expression" dxfId="1251" priority="61" stopIfTrue="1">
      <formula>MOD(ROW(),2)=0</formula>
    </cfRule>
    <cfRule type="expression" dxfId="1250" priority="62" stopIfTrue="1">
      <formula>MOD(ROW(),2)&lt;&gt;0</formula>
    </cfRule>
  </conditionalFormatting>
  <conditionalFormatting sqref="K11:N12">
    <cfRule type="expression" dxfId="1249" priority="73" stopIfTrue="1">
      <formula>MOD(ROW(),2)=0</formula>
    </cfRule>
    <cfRule type="expression" dxfId="1248" priority="74" stopIfTrue="1">
      <formula>MOD(ROW(),2)&lt;&gt;0</formula>
    </cfRule>
  </conditionalFormatting>
  <conditionalFormatting sqref="K59:N61">
    <cfRule type="expression" dxfId="1247" priority="98" stopIfTrue="1">
      <formula>MOD(ROW(),2)&lt;&gt;0</formula>
    </cfRule>
    <cfRule type="expression" dxfId="1246" priority="97" stopIfTrue="1">
      <formula>MOD(ROW(),2)=0</formula>
    </cfRule>
  </conditionalFormatting>
  <conditionalFormatting sqref="K99:N102">
    <cfRule type="expression" dxfId="1245" priority="85" stopIfTrue="1">
      <formula>MOD(ROW(),2)=0</formula>
    </cfRule>
    <cfRule type="expression" dxfId="1244" priority="86" stopIfTrue="1">
      <formula>MOD(ROW(),2)&lt;&gt;0</formula>
    </cfRule>
  </conditionalFormatting>
  <conditionalFormatting sqref="K58:O58">
    <cfRule type="expression" dxfId="1243" priority="105" stopIfTrue="1">
      <formula>MOD(ROW(),2)=0</formula>
    </cfRule>
    <cfRule type="expression" dxfId="1242" priority="106" stopIfTrue="1">
      <formula>MOD(ROW(),2)&lt;&gt;0</formula>
    </cfRule>
  </conditionalFormatting>
  <conditionalFormatting sqref="L15:L20">
    <cfRule type="expression" dxfId="1241" priority="51" stopIfTrue="1">
      <formula>MOD(ROW(),2)=0</formula>
    </cfRule>
    <cfRule type="expression" dxfId="1240" priority="52" stopIfTrue="1">
      <formula>MOD(ROW(),2)&lt;&gt;0</formula>
    </cfRule>
    <cfRule type="expression" priority="55" stopIfTrue="1">
      <formula>MOD(ROW(),2)=0</formula>
    </cfRule>
    <cfRule type="expression" priority="56" stopIfTrue="1">
      <formula>MOD(ROW(),2)&lt;&gt;0</formula>
    </cfRule>
    <cfRule type="expression" dxfId="1239" priority="57" stopIfTrue="1">
      <formula>MOD(ROW(),2)=0</formula>
    </cfRule>
    <cfRule type="expression" dxfId="1238" priority="58" stopIfTrue="1">
      <formula>MOD(ROW(),2)&lt;&gt;0</formula>
    </cfRule>
  </conditionalFormatting>
  <conditionalFormatting sqref="L19">
    <cfRule type="expression" dxfId="1237" priority="53" stopIfTrue="1">
      <formula>MOD(ROW(),2)=0</formula>
    </cfRule>
    <cfRule type="expression" dxfId="1236" priority="54" stopIfTrue="1">
      <formula>MOD(ROW(),2)&lt;&gt;0</formula>
    </cfRule>
  </conditionalFormatting>
  <conditionalFormatting sqref="L58 N58 N61 N64 N67 N70">
    <cfRule type="expression" dxfId="1235" priority="110" stopIfTrue="1">
      <formula>MOD(ROW(),2)&lt;&gt;0</formula>
    </cfRule>
  </conditionalFormatting>
  <conditionalFormatting sqref="L59:L62">
    <cfRule type="expression" dxfId="1234" priority="101" stopIfTrue="1">
      <formula>MOD(ROW(),2)=0</formula>
    </cfRule>
    <cfRule type="expression" dxfId="1233" priority="102" stopIfTrue="1">
      <formula>MOD(ROW(),2)&lt;&gt;0</formula>
    </cfRule>
  </conditionalFormatting>
  <conditionalFormatting sqref="L62:L63 N62:N63">
    <cfRule type="expression" dxfId="1232" priority="95" stopIfTrue="1">
      <formula>MOD(ROW(),2)=0</formula>
    </cfRule>
    <cfRule type="expression" dxfId="1231" priority="96" stopIfTrue="1">
      <formula>MOD(ROW(),2)&lt;&gt;0</formula>
    </cfRule>
  </conditionalFormatting>
  <conditionalFormatting sqref="L95:L97 M95:N101">
    <cfRule type="expression" dxfId="1230" priority="84" stopIfTrue="1">
      <formula>MOD(ROW(),2)&lt;&gt;0</formula>
    </cfRule>
  </conditionalFormatting>
  <conditionalFormatting sqref="L99:L101">
    <cfRule type="expression" dxfId="1229" priority="89" stopIfTrue="1">
      <formula>MOD(ROW(),2)=0</formula>
    </cfRule>
    <cfRule type="expression" dxfId="1228" priority="90" stopIfTrue="1">
      <formula>MOD(ROW(),2)&lt;&gt;0</formula>
    </cfRule>
  </conditionalFormatting>
  <conditionalFormatting sqref="L101">
    <cfRule type="expression" dxfId="1227" priority="92" stopIfTrue="1">
      <formula>MOD(ROW(),2)&lt;&gt;0</formula>
    </cfRule>
    <cfRule type="expression" dxfId="1226" priority="91" stopIfTrue="1">
      <formula>MOD(ROW(),2)=0</formula>
    </cfRule>
  </conditionalFormatting>
  <conditionalFormatting sqref="L62:N63">
    <cfRule type="expression" dxfId="1225" priority="93" stopIfTrue="1">
      <formula>MOD(ROW(),2)=0</formula>
    </cfRule>
    <cfRule type="expression" dxfId="1224" priority="94" stopIfTrue="1">
      <formula>MOD(ROW(),2)&lt;&gt;0</formula>
    </cfRule>
  </conditionalFormatting>
  <conditionalFormatting sqref="L75:N98 L100">
    <cfRule type="expression" dxfId="1223" priority="77" stopIfTrue="1">
      <formula>MOD(ROW(),2)=0</formula>
    </cfRule>
    <cfRule type="expression" dxfId="1222" priority="78" stopIfTrue="1">
      <formula>MOD(ROW(),2)&lt;&gt;0</formula>
    </cfRule>
  </conditionalFormatting>
  <conditionalFormatting sqref="L103:N105">
    <cfRule type="expression" dxfId="1221" priority="60" stopIfTrue="1">
      <formula>MOD(ROW(),2)&lt;&gt;0</formula>
    </cfRule>
    <cfRule type="expression" dxfId="1220" priority="59" stopIfTrue="1">
      <formula>MOD(ROW(),2)=0</formula>
    </cfRule>
  </conditionalFormatting>
  <conditionalFormatting sqref="L61:O61">
    <cfRule type="expression" dxfId="1219" priority="104" stopIfTrue="1">
      <formula>MOD(ROW(),2)&lt;&gt;0</formula>
    </cfRule>
    <cfRule type="expression" dxfId="1218" priority="103" stopIfTrue="1">
      <formula>MOD(ROW(),2)=0</formula>
    </cfRule>
  </conditionalFormatting>
  <conditionalFormatting sqref="M58:N71 O32:O101">
    <cfRule type="expression" dxfId="1217" priority="113" stopIfTrue="1">
      <formula>MOD(ROW(),2)=0</formula>
    </cfRule>
  </conditionalFormatting>
  <conditionalFormatting sqref="M95:N101 L95:L97">
    <cfRule type="expression" dxfId="1216" priority="83" stopIfTrue="1">
      <formula>MOD(ROW(),2)=0</formula>
    </cfRule>
  </conditionalFormatting>
  <conditionalFormatting sqref="M97:N97 M99:N99 M101:N101">
    <cfRule type="expression" dxfId="1215" priority="81" stopIfTrue="1">
      <formula>MOD(ROW(),2)=0</formula>
    </cfRule>
    <cfRule type="expression" dxfId="1214" priority="82" stopIfTrue="1">
      <formula>MOD(ROW(),2)&lt;&gt;0</formula>
    </cfRule>
  </conditionalFormatting>
  <conditionalFormatting sqref="M64:O64 M67:O67 M70:O70">
    <cfRule type="expression" dxfId="1213" priority="107" stopIfTrue="1">
      <formula>MOD(ROW(),2)=0</formula>
    </cfRule>
    <cfRule type="expression" dxfId="1212" priority="108" stopIfTrue="1">
      <formula>MOD(ROW(),2)&lt;&gt;0</formula>
    </cfRule>
  </conditionalFormatting>
  <conditionalFormatting sqref="M102:O105">
    <cfRule type="expression" dxfId="1211" priority="50" stopIfTrue="1">
      <formula>MOD(ROW(),2)&lt;&gt;0</formula>
    </cfRule>
    <cfRule type="expression" dxfId="1210" priority="49" stopIfTrue="1">
      <formula>MOD(ROW(),2)=0</formula>
    </cfRule>
  </conditionalFormatting>
  <conditionalFormatting sqref="N59:N61 L61:L62">
    <cfRule type="expression" dxfId="1209" priority="99" stopIfTrue="1">
      <formula>MOD(ROW(),2)=0</formula>
    </cfRule>
    <cfRule type="expression" dxfId="1208" priority="100" stopIfTrue="1">
      <formula>MOD(ROW(),2)&lt;&gt;0</formula>
    </cfRule>
  </conditionalFormatting>
  <conditionalFormatting sqref="N64 N67 N70 L58 N58 N61">
    <cfRule type="expression" dxfId="1207" priority="109" stopIfTrue="1">
      <formula>MOD(ROW(),2)=0</formula>
    </cfRule>
  </conditionalFormatting>
  <conditionalFormatting sqref="N99:N102 L101:L102">
    <cfRule type="expression" dxfId="1206" priority="87" stopIfTrue="1">
      <formula>MOD(ROW(),2)=0</formula>
    </cfRule>
    <cfRule type="expression" dxfId="1205" priority="88" stopIfTrue="1">
      <formula>MOD(ROW(),2)&lt;&gt;0</formula>
    </cfRule>
  </conditionalFormatting>
  <conditionalFormatting sqref="O11:O55 N32:N63 O59:O64 L64:N74 O67:O70 L32:L57 M75:N93 L20:N22 P9:P105 B11:J45 M13:N19 K23:N31 M32:M45">
    <cfRule type="expression" dxfId="1204" priority="115" stopIfTrue="1">
      <formula>MOD(ROW(),2)=0</formula>
    </cfRule>
  </conditionalFormatting>
  <conditionalFormatting sqref="O32:O101 M58:N71">
    <cfRule type="expression" dxfId="1203" priority="114" stopIfTrue="1">
      <formula>MOD(ROW(),2)&lt;&gt;0</formula>
    </cfRule>
  </conditionalFormatting>
  <conditionalFormatting sqref="O65:O66">
    <cfRule type="expression" dxfId="1202" priority="25" stopIfTrue="1">
      <formula>MOD(ROW(),2)=0</formula>
    </cfRule>
    <cfRule type="expression" dxfId="1201" priority="26" stopIfTrue="1">
      <formula>MOD(ROW(),2)&lt;&gt;0</formula>
    </cfRule>
  </conditionalFormatting>
  <conditionalFormatting sqref="O71">
    <cfRule type="expression" dxfId="1200" priority="23" stopIfTrue="1">
      <formula>MOD(ROW(),2)=0</formula>
    </cfRule>
    <cfRule type="expression" dxfId="1199" priority="24" stopIfTrue="1">
      <formula>MOD(ROW(),2)&lt;&gt;0</formula>
    </cfRule>
  </conditionalFormatting>
  <conditionalFormatting sqref="O101:O105">
    <cfRule type="expression" dxfId="1198" priority="21" stopIfTrue="1">
      <formula>MOD(ROW(),2)=0</formula>
    </cfRule>
    <cfRule type="expression" dxfId="1197" priority="22" stopIfTrue="1">
      <formula>MOD(ROW(),2)&lt;&gt;0</formula>
    </cfRule>
  </conditionalFormatting>
  <conditionalFormatting sqref="O103:O105">
    <cfRule type="expression" dxfId="1196" priority="20" stopIfTrue="1">
      <formula>MOD(ROW(),2)&lt;&gt;0</formula>
    </cfRule>
    <cfRule type="expression" dxfId="1195" priority="19" stopIfTrue="1">
      <formula>MOD(ROW(),2)=0</formula>
    </cfRule>
  </conditionalFormatting>
  <conditionalFormatting sqref="P7:P8">
    <cfRule type="expression" priority="28" stopIfTrue="1">
      <formula>MOD(ROW(),2)&lt;&gt;0</formula>
    </cfRule>
    <cfRule type="expression" priority="27" stopIfTrue="1">
      <formula>MOD(ROW(),2)=0</formula>
    </cfRule>
  </conditionalFormatting>
  <conditionalFormatting sqref="P7:P105">
    <cfRule type="expression" priority="32" stopIfTrue="1">
      <formula>MOD(ROW(),2)&lt;&gt;0</formula>
    </cfRule>
    <cfRule type="expression" priority="33" stopIfTrue="1">
      <formula>MOD(ROW(),2)=0</formula>
    </cfRule>
    <cfRule type="expression" priority="31" stopIfTrue="1">
      <formula>MOD(ROW(),2)=0</formula>
    </cfRule>
    <cfRule type="expression" priority="30" stopIfTrue="1">
      <formula>MOD(ROW(),2)&lt;&gt;0</formula>
    </cfRule>
    <cfRule type="expression" priority="29" stopIfTrue="1">
      <formula>MOD(ROW(),2)=0</formula>
    </cfRule>
    <cfRule type="expression" priority="34" stopIfTrue="1">
      <formula>MOD(ROW(),2)&lt;&gt;0</formula>
    </cfRule>
  </conditionalFormatting>
  <conditionalFormatting sqref="P9:P105 B11:J45 O11:O55 M13:N19 L20:N22 K23:N31 M32:M45 L32:L57 N32:N63 O59:O64 L64:N74 O67:O70 M75:N93">
    <cfRule type="expression" dxfId="1194" priority="116" stopIfTrue="1">
      <formula>MOD(ROW(),2)&lt;&gt;0</formula>
    </cfRule>
  </conditionalFormatting>
  <conditionalFormatting sqref="Q9:S104">
    <cfRule type="expression" dxfId="1193" priority="1" stopIfTrue="1">
      <formula>MOD(ROW(),2)=0</formula>
    </cfRule>
    <cfRule type="expression" dxfId="1192" priority="2" stopIfTrue="1">
      <formula>MOD(ROW(),2)&lt;&gt;0</formula>
    </cfRule>
  </conditionalFormatting>
  <conditionalFormatting sqref="Q7:T105">
    <cfRule type="expression" priority="3" stopIfTrue="1">
      <formula>MOD(ROW(),2)=0</formula>
    </cfRule>
    <cfRule type="expression" priority="4"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3" stopIfTrue="1">
      <formula>MOD(ROW(),2)=0</formula>
    </cfRule>
    <cfRule type="expression" priority="12" stopIfTrue="1">
      <formula>MOD(ROW(),2)&lt;&gt;0</formula>
    </cfRule>
    <cfRule type="expression" priority="14" stopIfTrue="1">
      <formula>MOD(ROW(),2)&lt;&gt;0</formula>
    </cfRule>
    <cfRule type="expression" priority="15" stopIfTrue="1">
      <formula>MOD(ROW(),2)=0</formula>
    </cfRule>
    <cfRule type="expression" priority="16" stopIfTrue="1">
      <formula>MOD(ROW(),2)&lt;&gt;0</formula>
    </cfRule>
  </conditionalFormatting>
  <conditionalFormatting sqref="Q105:T105">
    <cfRule type="expression" dxfId="1191" priority="5" stopIfTrue="1">
      <formula>MOD(ROW(),2)=0</formula>
    </cfRule>
    <cfRule type="expression" dxfId="1190" priority="6"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legacy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95"/>
  <dimension ref="A1:I52"/>
  <sheetViews>
    <sheetView workbookViewId="0"/>
  </sheetViews>
  <sheetFormatPr defaultColWidth="10" defaultRowHeight="12.5" x14ac:dyDescent="0.25"/>
  <cols>
    <col min="1" max="1" width="31.54296875" style="28" customWidth="1"/>
    <col min="2" max="3" width="22.542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Scheme pays AA - x-605</v>
      </c>
      <c r="B3" s="56"/>
      <c r="C3" s="56"/>
      <c r="D3" s="56"/>
      <c r="E3" s="56"/>
      <c r="F3" s="56"/>
      <c r="G3" s="56"/>
      <c r="H3" s="56"/>
      <c r="I3" s="56"/>
    </row>
    <row r="4" spans="1:9" x14ac:dyDescent="0.25">
      <c r="A4" s="58"/>
    </row>
    <row r="6" spans="1:9" ht="13" x14ac:dyDescent="0.3">
      <c r="A6" s="92" t="s">
        <v>716</v>
      </c>
      <c r="B6" s="181" t="s">
        <v>717</v>
      </c>
      <c r="C6" s="181"/>
    </row>
    <row r="7" spans="1:9" x14ac:dyDescent="0.25">
      <c r="A7" s="94" t="s">
        <v>797</v>
      </c>
      <c r="B7" s="181" t="s">
        <v>316</v>
      </c>
      <c r="C7" s="181"/>
    </row>
    <row r="8" spans="1:9" x14ac:dyDescent="0.25">
      <c r="A8" s="94" t="s">
        <v>798</v>
      </c>
      <c r="B8" s="181" t="s">
        <v>92</v>
      </c>
      <c r="C8" s="181"/>
    </row>
    <row r="9" spans="1:9" x14ac:dyDescent="0.25">
      <c r="A9" s="94" t="s">
        <v>300</v>
      </c>
      <c r="B9" s="181" t="s">
        <v>551</v>
      </c>
      <c r="C9" s="181"/>
    </row>
    <row r="10" spans="1:9" x14ac:dyDescent="0.25">
      <c r="A10" s="94" t="s">
        <v>6</v>
      </c>
      <c r="B10" s="181" t="s">
        <v>567</v>
      </c>
      <c r="C10" s="181"/>
    </row>
    <row r="11" spans="1:9" x14ac:dyDescent="0.25">
      <c r="A11" s="94" t="s">
        <v>301</v>
      </c>
      <c r="B11" s="181" t="s">
        <v>334</v>
      </c>
      <c r="C11" s="181"/>
    </row>
    <row r="12" spans="1:9" x14ac:dyDescent="0.25">
      <c r="A12" s="94" t="s">
        <v>302</v>
      </c>
      <c r="B12" s="181" t="s">
        <v>335</v>
      </c>
      <c r="C12" s="181"/>
    </row>
    <row r="13" spans="1:9" x14ac:dyDescent="0.25">
      <c r="A13" s="94" t="s">
        <v>813</v>
      </c>
      <c r="B13" s="181">
        <v>0</v>
      </c>
      <c r="C13" s="181"/>
    </row>
    <row r="14" spans="1:9" x14ac:dyDescent="0.25">
      <c r="A14" s="94" t="s">
        <v>304</v>
      </c>
      <c r="B14" s="181">
        <v>605</v>
      </c>
      <c r="C14" s="181"/>
    </row>
    <row r="15" spans="1:9" x14ac:dyDescent="0.25">
      <c r="A15" s="94" t="s">
        <v>727</v>
      </c>
      <c r="B15" s="181" t="s">
        <v>568</v>
      </c>
      <c r="C15" s="181"/>
    </row>
    <row r="16" spans="1:9" x14ac:dyDescent="0.25">
      <c r="A16" s="94" t="s">
        <v>306</v>
      </c>
      <c r="B16" s="181" t="s">
        <v>569</v>
      </c>
      <c r="C16" s="181"/>
    </row>
    <row r="17" spans="1:3" x14ac:dyDescent="0.25">
      <c r="A17" s="94" t="s">
        <v>800</v>
      </c>
      <c r="B17" s="181"/>
      <c r="C17" s="181"/>
    </row>
    <row r="18" spans="1:3" x14ac:dyDescent="0.25">
      <c r="A18" s="94" t="s">
        <v>308</v>
      </c>
      <c r="B18" s="185">
        <v>45135</v>
      </c>
      <c r="C18" s="181"/>
    </row>
    <row r="19" spans="1:3" x14ac:dyDescent="0.25">
      <c r="A19" s="94" t="s">
        <v>309</v>
      </c>
      <c r="B19" s="185">
        <v>45383</v>
      </c>
      <c r="C19" s="181"/>
    </row>
    <row r="20" spans="1:3" x14ac:dyDescent="0.25">
      <c r="A20" s="94" t="s">
        <v>310</v>
      </c>
      <c r="B20" s="181" t="s">
        <v>324</v>
      </c>
      <c r="C20" s="181"/>
    </row>
    <row r="21" spans="1:3" x14ac:dyDescent="0.25">
      <c r="A21" s="87" t="s">
        <v>311</v>
      </c>
      <c r="B21" s="181" t="s">
        <v>325</v>
      </c>
      <c r="C21" s="181"/>
    </row>
    <row r="23" spans="1:3" x14ac:dyDescent="0.25">
      <c r="B23" s="104" t="str">
        <f>HYPERLINK("#'Factor List'!A1","Back to Factor List")</f>
        <v>Back to Factor List</v>
      </c>
    </row>
    <row r="24" spans="1:3" x14ac:dyDescent="0.25">
      <c r="B24" s="104" t="s">
        <v>13</v>
      </c>
    </row>
    <row r="26" spans="1:3" ht="13" x14ac:dyDescent="0.25">
      <c r="A26" s="108" t="s">
        <v>534</v>
      </c>
      <c r="B26" s="108" t="s">
        <v>949</v>
      </c>
      <c r="C26" s="108" t="s">
        <v>950</v>
      </c>
    </row>
    <row r="27" spans="1:3" x14ac:dyDescent="0.25">
      <c r="A27" s="109">
        <v>55</v>
      </c>
      <c r="B27" s="110">
        <v>23.73</v>
      </c>
      <c r="C27" s="110">
        <v>23.73</v>
      </c>
    </row>
    <row r="28" spans="1:3" x14ac:dyDescent="0.25">
      <c r="A28" s="109">
        <v>56</v>
      </c>
      <c r="B28" s="110">
        <v>23.14</v>
      </c>
      <c r="C28" s="110">
        <v>23.14</v>
      </c>
    </row>
    <row r="29" spans="1:3" x14ac:dyDescent="0.25">
      <c r="A29" s="109">
        <v>57</v>
      </c>
      <c r="B29" s="110">
        <v>22.55</v>
      </c>
      <c r="C29" s="110">
        <v>22.55</v>
      </c>
    </row>
    <row r="30" spans="1:3" x14ac:dyDescent="0.25">
      <c r="A30" s="109">
        <v>58</v>
      </c>
      <c r="B30" s="110">
        <v>21.95</v>
      </c>
      <c r="C30" s="110">
        <v>21.95</v>
      </c>
    </row>
    <row r="31" spans="1:3" x14ac:dyDescent="0.25">
      <c r="A31" s="109">
        <v>59</v>
      </c>
      <c r="B31" s="110">
        <v>21.35</v>
      </c>
      <c r="C31" s="110">
        <v>21.35</v>
      </c>
    </row>
    <row r="32" spans="1:3" x14ac:dyDescent="0.25">
      <c r="A32" s="109">
        <v>60</v>
      </c>
      <c r="B32" s="110">
        <v>20.74</v>
      </c>
      <c r="C32" s="110">
        <v>20.74</v>
      </c>
    </row>
    <row r="33" spans="1:3" x14ac:dyDescent="0.25">
      <c r="A33" s="109">
        <v>61</v>
      </c>
      <c r="B33" s="110">
        <v>20.13</v>
      </c>
      <c r="C33" s="110">
        <v>20.13</v>
      </c>
    </row>
    <row r="34" spans="1:3" x14ac:dyDescent="0.25">
      <c r="A34" s="109">
        <v>62</v>
      </c>
      <c r="B34" s="110">
        <v>19.52</v>
      </c>
      <c r="C34" s="110">
        <v>19.52</v>
      </c>
    </row>
    <row r="35" spans="1:3" x14ac:dyDescent="0.25">
      <c r="A35" s="109">
        <v>63</v>
      </c>
      <c r="B35" s="110">
        <v>18.899999999999999</v>
      </c>
      <c r="C35" s="110">
        <v>18.899999999999999</v>
      </c>
    </row>
    <row r="36" spans="1:3" x14ac:dyDescent="0.25">
      <c r="A36" s="109">
        <v>64</v>
      </c>
      <c r="B36" s="110">
        <v>18.28</v>
      </c>
      <c r="C36" s="110">
        <v>18.28</v>
      </c>
    </row>
    <row r="37" spans="1:3" x14ac:dyDescent="0.25">
      <c r="A37" s="109">
        <v>65</v>
      </c>
      <c r="B37" s="110">
        <v>17.670000000000002</v>
      </c>
      <c r="C37" s="110">
        <v>17.670000000000002</v>
      </c>
    </row>
    <row r="38" spans="1:3" x14ac:dyDescent="0.25">
      <c r="A38" s="109">
        <v>66</v>
      </c>
      <c r="B38" s="110">
        <v>17.05</v>
      </c>
      <c r="C38" s="110">
        <v>17.05</v>
      </c>
    </row>
    <row r="39" spans="1:3" x14ac:dyDescent="0.25">
      <c r="A39" s="109">
        <v>67</v>
      </c>
      <c r="B39" s="110">
        <v>16.43</v>
      </c>
      <c r="C39" s="110">
        <v>16.43</v>
      </c>
    </row>
    <row r="40" spans="1:3" x14ac:dyDescent="0.25">
      <c r="A40" s="109">
        <v>68</v>
      </c>
      <c r="B40" s="110">
        <v>15.79</v>
      </c>
      <c r="C40" s="110">
        <v>15.79</v>
      </c>
    </row>
    <row r="41" spans="1:3" x14ac:dyDescent="0.25">
      <c r="A41" s="109">
        <v>69</v>
      </c>
      <c r="B41" s="110">
        <v>15.13</v>
      </c>
      <c r="C41" s="110">
        <v>15.13</v>
      </c>
    </row>
    <row r="42" spans="1:3" x14ac:dyDescent="0.25">
      <c r="A42" s="109">
        <v>70</v>
      </c>
      <c r="B42" s="110">
        <v>14.47</v>
      </c>
      <c r="C42" s="110">
        <v>14.47</v>
      </c>
    </row>
    <row r="43" spans="1:3" x14ac:dyDescent="0.25">
      <c r="A43" s="109">
        <v>71</v>
      </c>
      <c r="B43" s="110">
        <v>13.82</v>
      </c>
      <c r="C43" s="110">
        <v>13.82</v>
      </c>
    </row>
    <row r="44" spans="1:3" x14ac:dyDescent="0.25">
      <c r="A44" s="109">
        <v>72</v>
      </c>
      <c r="B44" s="110">
        <v>13.19</v>
      </c>
      <c r="C44" s="110">
        <v>13.19</v>
      </c>
    </row>
    <row r="45" spans="1:3" x14ac:dyDescent="0.25">
      <c r="A45" s="109">
        <v>73</v>
      </c>
      <c r="B45" s="110">
        <v>12.57</v>
      </c>
      <c r="C45" s="110">
        <v>12.57</v>
      </c>
    </row>
    <row r="46" spans="1:3" x14ac:dyDescent="0.25">
      <c r="A46" s="109">
        <v>74</v>
      </c>
      <c r="B46" s="110">
        <v>11.96</v>
      </c>
      <c r="C46" s="110">
        <v>11.96</v>
      </c>
    </row>
    <row r="47" spans="1:3" x14ac:dyDescent="0.25">
      <c r="A47" s="109">
        <v>75</v>
      </c>
      <c r="B47" s="110">
        <v>11.37</v>
      </c>
      <c r="C47" s="110">
        <v>11.37</v>
      </c>
    </row>
    <row r="48" spans="1:3" x14ac:dyDescent="0.25">
      <c r="A48" s="109">
        <v>76</v>
      </c>
      <c r="B48" s="110">
        <v>10.78</v>
      </c>
      <c r="C48" s="110">
        <v>10.78</v>
      </c>
    </row>
    <row r="49" spans="1:3" x14ac:dyDescent="0.25">
      <c r="A49" s="109">
        <v>77</v>
      </c>
      <c r="B49" s="110">
        <v>10.199999999999999</v>
      </c>
      <c r="C49" s="110">
        <v>10.199999999999999</v>
      </c>
    </row>
    <row r="50" spans="1:3" x14ac:dyDescent="0.25">
      <c r="A50" s="109">
        <v>78</v>
      </c>
      <c r="B50" s="110">
        <v>9.6300000000000008</v>
      </c>
      <c r="C50" s="110">
        <v>9.6300000000000008</v>
      </c>
    </row>
    <row r="51" spans="1:3" x14ac:dyDescent="0.25">
      <c r="A51" s="109">
        <v>79</v>
      </c>
      <c r="B51" s="110">
        <v>9.08</v>
      </c>
      <c r="C51" s="110">
        <v>9.08</v>
      </c>
    </row>
    <row r="52" spans="1:3" x14ac:dyDescent="0.25">
      <c r="A52" s="109">
        <v>80</v>
      </c>
      <c r="B52" s="110">
        <v>8.5500000000000007</v>
      </c>
      <c r="C52" s="110">
        <v>8.5500000000000007</v>
      </c>
    </row>
  </sheetData>
  <conditionalFormatting sqref="A6:A21">
    <cfRule type="expression" dxfId="491" priority="3" stopIfTrue="1">
      <formula>MOD(ROW(),2)=0</formula>
    </cfRule>
    <cfRule type="expression" dxfId="490" priority="4" stopIfTrue="1">
      <formula>MOD(ROW(),2)&lt;&gt;0</formula>
    </cfRule>
  </conditionalFormatting>
  <conditionalFormatting sqref="A26:A52">
    <cfRule type="expression" dxfId="489" priority="9" stopIfTrue="1">
      <formula>MOD(ROW(),2)=0</formula>
    </cfRule>
    <cfRule type="expression" dxfId="488" priority="10" stopIfTrue="1">
      <formula>MOD(ROW(),2)&lt;&gt;0</formula>
    </cfRule>
  </conditionalFormatting>
  <conditionalFormatting sqref="B18:B21">
    <cfRule type="expression" dxfId="487" priority="1" stopIfTrue="1">
      <formula>MOD(ROW(),2)=0</formula>
    </cfRule>
    <cfRule type="expression" dxfId="486" priority="2" stopIfTrue="1">
      <formula>MOD(ROW(),2)&lt;&gt;0</formula>
    </cfRule>
  </conditionalFormatting>
  <conditionalFormatting sqref="B6:C21">
    <cfRule type="expression" dxfId="485" priority="23" stopIfTrue="1">
      <formula>MOD(ROW(),2)=0</formula>
    </cfRule>
    <cfRule type="expression" dxfId="484" priority="24" stopIfTrue="1">
      <formula>MOD(ROW(),2)&lt;&gt;0</formula>
    </cfRule>
  </conditionalFormatting>
  <conditionalFormatting sqref="B26:C52">
    <cfRule type="expression" dxfId="483" priority="11" stopIfTrue="1">
      <formula>MOD(ROW(),2)=0</formula>
    </cfRule>
    <cfRule type="expression" dxfId="482" priority="12" stopIfTrue="1">
      <formula>MOD(ROW(),2)&lt;&gt;0</formula>
    </cfRule>
  </conditionalFormatting>
  <hyperlinks>
    <hyperlink ref="B24" location="Assumptions!A1" display="Assumptions" xr:uid="{8DBB5108-A621-4C8A-8491-62E804C57C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104"/>
  <dimension ref="A1:I87"/>
  <sheetViews>
    <sheetView workbookViewId="0"/>
  </sheetViews>
  <sheetFormatPr defaultColWidth="10" defaultRowHeight="12.5" x14ac:dyDescent="0.25"/>
  <cols>
    <col min="1" max="1" width="31.54296875" style="28" customWidth="1"/>
    <col min="2" max="3" width="22.542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Scheme pays AA - x-606</v>
      </c>
      <c r="B3" s="56"/>
      <c r="C3" s="56"/>
      <c r="D3" s="56"/>
      <c r="E3" s="56"/>
      <c r="F3" s="56"/>
      <c r="G3" s="56"/>
      <c r="H3" s="56"/>
      <c r="I3" s="56"/>
    </row>
    <row r="4" spans="1:9" x14ac:dyDescent="0.25">
      <c r="A4" s="58"/>
    </row>
    <row r="6" spans="1:9" ht="13" x14ac:dyDescent="0.3">
      <c r="A6" s="92" t="s">
        <v>716</v>
      </c>
      <c r="B6" s="181" t="s">
        <v>717</v>
      </c>
      <c r="C6" s="181"/>
    </row>
    <row r="7" spans="1:9" x14ac:dyDescent="0.25">
      <c r="A7" s="94" t="s">
        <v>797</v>
      </c>
      <c r="B7" s="181" t="s">
        <v>316</v>
      </c>
      <c r="C7" s="181"/>
    </row>
    <row r="8" spans="1:9" x14ac:dyDescent="0.25">
      <c r="A8" s="94" t="s">
        <v>798</v>
      </c>
      <c r="B8" s="181" t="s">
        <v>92</v>
      </c>
      <c r="C8" s="181"/>
    </row>
    <row r="9" spans="1:9" x14ac:dyDescent="0.25">
      <c r="A9" s="94" t="s">
        <v>300</v>
      </c>
      <c r="B9" s="181" t="s">
        <v>551</v>
      </c>
      <c r="C9" s="181"/>
    </row>
    <row r="10" spans="1:9" x14ac:dyDescent="0.25">
      <c r="A10" s="94" t="s">
        <v>6</v>
      </c>
      <c r="B10" s="181" t="s">
        <v>571</v>
      </c>
      <c r="C10" s="181"/>
    </row>
    <row r="11" spans="1:9" x14ac:dyDescent="0.25">
      <c r="A11" s="94" t="s">
        <v>301</v>
      </c>
      <c r="B11" s="181" t="s">
        <v>334</v>
      </c>
      <c r="C11" s="181"/>
    </row>
    <row r="12" spans="1:9" x14ac:dyDescent="0.25">
      <c r="A12" s="94" t="s">
        <v>302</v>
      </c>
      <c r="B12" s="181" t="s">
        <v>335</v>
      </c>
      <c r="C12" s="181"/>
    </row>
    <row r="13" spans="1:9" x14ac:dyDescent="0.25">
      <c r="A13" s="94" t="s">
        <v>813</v>
      </c>
      <c r="B13" s="181">
        <v>0</v>
      </c>
      <c r="C13" s="181"/>
    </row>
    <row r="14" spans="1:9" x14ac:dyDescent="0.25">
      <c r="A14" s="94" t="s">
        <v>304</v>
      </c>
      <c r="B14" s="181">
        <v>606</v>
      </c>
      <c r="C14" s="181"/>
    </row>
    <row r="15" spans="1:9" x14ac:dyDescent="0.25">
      <c r="A15" s="94" t="s">
        <v>727</v>
      </c>
      <c r="B15" s="181" t="s">
        <v>572</v>
      </c>
      <c r="C15" s="181"/>
    </row>
    <row r="16" spans="1:9" x14ac:dyDescent="0.25">
      <c r="A16" s="94" t="s">
        <v>306</v>
      </c>
      <c r="B16" s="181" t="s">
        <v>573</v>
      </c>
      <c r="C16" s="181"/>
    </row>
    <row r="17" spans="1:3" x14ac:dyDescent="0.25">
      <c r="A17" s="94" t="s">
        <v>800</v>
      </c>
      <c r="B17" s="181"/>
      <c r="C17" s="181"/>
    </row>
    <row r="18" spans="1:3" x14ac:dyDescent="0.25">
      <c r="A18" s="94" t="s">
        <v>308</v>
      </c>
      <c r="B18" s="185">
        <v>45135</v>
      </c>
      <c r="C18" s="181"/>
    </row>
    <row r="19" spans="1:3" x14ac:dyDescent="0.25">
      <c r="A19" s="94" t="s">
        <v>309</v>
      </c>
      <c r="B19" s="185">
        <v>45383</v>
      </c>
      <c r="C19" s="181"/>
    </row>
    <row r="20" spans="1:3" x14ac:dyDescent="0.25">
      <c r="A20" s="94" t="s">
        <v>310</v>
      </c>
      <c r="B20" s="181" t="s">
        <v>324</v>
      </c>
      <c r="C20" s="181"/>
    </row>
    <row r="21" spans="1:3" x14ac:dyDescent="0.25">
      <c r="A21" s="87" t="s">
        <v>311</v>
      </c>
      <c r="B21" s="181" t="s">
        <v>325</v>
      </c>
      <c r="C21" s="181"/>
    </row>
    <row r="23" spans="1:3" x14ac:dyDescent="0.25">
      <c r="B23" s="104" t="str">
        <f>HYPERLINK("#'Factor List'!A1","Back to Factor List")</f>
        <v>Back to Factor List</v>
      </c>
    </row>
    <row r="24" spans="1:3" x14ac:dyDescent="0.25">
      <c r="B24" s="104" t="s">
        <v>13</v>
      </c>
    </row>
    <row r="26" spans="1:3" ht="13" x14ac:dyDescent="0.25">
      <c r="A26" s="108" t="s">
        <v>534</v>
      </c>
      <c r="B26" s="108" t="s">
        <v>960</v>
      </c>
      <c r="C26" s="108" t="s">
        <v>961</v>
      </c>
    </row>
    <row r="27" spans="1:3" x14ac:dyDescent="0.25">
      <c r="A27" s="109">
        <v>20</v>
      </c>
      <c r="B27" s="110">
        <v>40.07</v>
      </c>
      <c r="C27" s="110">
        <v>40.07</v>
      </c>
    </row>
    <row r="28" spans="1:3" x14ac:dyDescent="0.25">
      <c r="A28" s="109">
        <v>21</v>
      </c>
      <c r="B28" s="110">
        <v>39.71</v>
      </c>
      <c r="C28" s="110">
        <v>39.71</v>
      </c>
    </row>
    <row r="29" spans="1:3" x14ac:dyDescent="0.25">
      <c r="A29" s="109">
        <v>22</v>
      </c>
      <c r="B29" s="110">
        <v>39.36</v>
      </c>
      <c r="C29" s="110">
        <v>39.36</v>
      </c>
    </row>
    <row r="30" spans="1:3" x14ac:dyDescent="0.25">
      <c r="A30" s="109">
        <v>23</v>
      </c>
      <c r="B30" s="110">
        <v>38.99</v>
      </c>
      <c r="C30" s="110">
        <v>38.99</v>
      </c>
    </row>
    <row r="31" spans="1:3" x14ac:dyDescent="0.25">
      <c r="A31" s="109">
        <v>24</v>
      </c>
      <c r="B31" s="110">
        <v>38.619999999999997</v>
      </c>
      <c r="C31" s="110">
        <v>38.619999999999997</v>
      </c>
    </row>
    <row r="32" spans="1:3" x14ac:dyDescent="0.25">
      <c r="A32" s="109">
        <v>25</v>
      </c>
      <c r="B32" s="110">
        <v>38.24</v>
      </c>
      <c r="C32" s="110">
        <v>38.24</v>
      </c>
    </row>
    <row r="33" spans="1:3" x14ac:dyDescent="0.25">
      <c r="A33" s="109">
        <v>26</v>
      </c>
      <c r="B33" s="110">
        <v>37.86</v>
      </c>
      <c r="C33" s="110">
        <v>37.86</v>
      </c>
    </row>
    <row r="34" spans="1:3" x14ac:dyDescent="0.25">
      <c r="A34" s="109">
        <v>27</v>
      </c>
      <c r="B34" s="110">
        <v>37.47</v>
      </c>
      <c r="C34" s="110">
        <v>37.47</v>
      </c>
    </row>
    <row r="35" spans="1:3" x14ac:dyDescent="0.25">
      <c r="A35" s="109">
        <v>28</v>
      </c>
      <c r="B35" s="110">
        <v>37.07</v>
      </c>
      <c r="C35" s="110">
        <v>37.07</v>
      </c>
    </row>
    <row r="36" spans="1:3" x14ac:dyDescent="0.25">
      <c r="A36" s="109">
        <v>29</v>
      </c>
      <c r="B36" s="110">
        <v>36.67</v>
      </c>
      <c r="C36" s="110">
        <v>36.67</v>
      </c>
    </row>
    <row r="37" spans="1:3" x14ac:dyDescent="0.25">
      <c r="A37" s="109">
        <v>30</v>
      </c>
      <c r="B37" s="110">
        <v>36.26</v>
      </c>
      <c r="C37" s="110">
        <v>36.26</v>
      </c>
    </row>
    <row r="38" spans="1:3" x14ac:dyDescent="0.25">
      <c r="A38" s="109">
        <v>31</v>
      </c>
      <c r="B38" s="110">
        <v>35.840000000000003</v>
      </c>
      <c r="C38" s="110">
        <v>35.840000000000003</v>
      </c>
    </row>
    <row r="39" spans="1:3" x14ac:dyDescent="0.25">
      <c r="A39" s="109">
        <v>32</v>
      </c>
      <c r="B39" s="110">
        <v>35.42</v>
      </c>
      <c r="C39" s="110">
        <v>35.42</v>
      </c>
    </row>
    <row r="40" spans="1:3" x14ac:dyDescent="0.25">
      <c r="A40" s="109">
        <v>33</v>
      </c>
      <c r="B40" s="110">
        <v>34.99</v>
      </c>
      <c r="C40" s="110">
        <v>34.99</v>
      </c>
    </row>
    <row r="41" spans="1:3" x14ac:dyDescent="0.25">
      <c r="A41" s="109">
        <v>34</v>
      </c>
      <c r="B41" s="110">
        <v>34.549999999999997</v>
      </c>
      <c r="C41" s="110">
        <v>34.549999999999997</v>
      </c>
    </row>
    <row r="42" spans="1:3" x14ac:dyDescent="0.25">
      <c r="A42" s="109">
        <v>35</v>
      </c>
      <c r="B42" s="110">
        <v>34.1</v>
      </c>
      <c r="C42" s="110">
        <v>34.1</v>
      </c>
    </row>
    <row r="43" spans="1:3" x14ac:dyDescent="0.25">
      <c r="A43" s="109">
        <v>36</v>
      </c>
      <c r="B43" s="110">
        <v>33.65</v>
      </c>
      <c r="C43" s="110">
        <v>33.65</v>
      </c>
    </row>
    <row r="44" spans="1:3" x14ac:dyDescent="0.25">
      <c r="A44" s="109">
        <v>37</v>
      </c>
      <c r="B44" s="110">
        <v>33.200000000000003</v>
      </c>
      <c r="C44" s="110">
        <v>33.200000000000003</v>
      </c>
    </row>
    <row r="45" spans="1:3" x14ac:dyDescent="0.25">
      <c r="A45" s="109">
        <v>38</v>
      </c>
      <c r="B45" s="110">
        <v>32.729999999999997</v>
      </c>
      <c r="C45" s="110">
        <v>32.729999999999997</v>
      </c>
    </row>
    <row r="46" spans="1:3" x14ac:dyDescent="0.25">
      <c r="A46" s="109">
        <v>39</v>
      </c>
      <c r="B46" s="110">
        <v>32.26</v>
      </c>
      <c r="C46" s="110">
        <v>32.26</v>
      </c>
    </row>
    <row r="47" spans="1:3" x14ac:dyDescent="0.25">
      <c r="A47" s="109">
        <v>40</v>
      </c>
      <c r="B47" s="110">
        <v>31.78</v>
      </c>
      <c r="C47" s="110">
        <v>31.78</v>
      </c>
    </row>
    <row r="48" spans="1:3" x14ac:dyDescent="0.25">
      <c r="A48" s="109">
        <v>41</v>
      </c>
      <c r="B48" s="110">
        <v>31.29</v>
      </c>
      <c r="C48" s="110">
        <v>31.29</v>
      </c>
    </row>
    <row r="49" spans="1:3" x14ac:dyDescent="0.25">
      <c r="A49" s="109">
        <v>42</v>
      </c>
      <c r="B49" s="110">
        <v>30.8</v>
      </c>
      <c r="C49" s="110">
        <v>30.8</v>
      </c>
    </row>
    <row r="50" spans="1:3" x14ac:dyDescent="0.25">
      <c r="A50" s="109">
        <v>43</v>
      </c>
      <c r="B50" s="110">
        <v>30.3</v>
      </c>
      <c r="C50" s="110">
        <v>30.3</v>
      </c>
    </row>
    <row r="51" spans="1:3" x14ac:dyDescent="0.25">
      <c r="A51" s="109">
        <v>44</v>
      </c>
      <c r="B51" s="110">
        <v>29.79</v>
      </c>
      <c r="C51" s="110">
        <v>29.79</v>
      </c>
    </row>
    <row r="52" spans="1:3" x14ac:dyDescent="0.25">
      <c r="A52" s="109">
        <v>45</v>
      </c>
      <c r="B52" s="110">
        <v>29.27</v>
      </c>
      <c r="C52" s="110">
        <v>29.27</v>
      </c>
    </row>
    <row r="53" spans="1:3" x14ac:dyDescent="0.25">
      <c r="A53" s="109">
        <v>46</v>
      </c>
      <c r="B53" s="110">
        <v>28.75</v>
      </c>
      <c r="C53" s="110">
        <v>28.75</v>
      </c>
    </row>
    <row r="54" spans="1:3" x14ac:dyDescent="0.25">
      <c r="A54" s="109">
        <v>47</v>
      </c>
      <c r="B54" s="110">
        <v>28.22</v>
      </c>
      <c r="C54" s="110">
        <v>28.22</v>
      </c>
    </row>
    <row r="55" spans="1:3" x14ac:dyDescent="0.25">
      <c r="A55" s="109">
        <v>48</v>
      </c>
      <c r="B55" s="110">
        <v>27.68</v>
      </c>
      <c r="C55" s="110">
        <v>27.68</v>
      </c>
    </row>
    <row r="56" spans="1:3" x14ac:dyDescent="0.25">
      <c r="A56" s="109">
        <v>49</v>
      </c>
      <c r="B56" s="110">
        <v>27.14</v>
      </c>
      <c r="C56" s="110">
        <v>27.14</v>
      </c>
    </row>
    <row r="57" spans="1:3" x14ac:dyDescent="0.25">
      <c r="A57" s="109">
        <v>50</v>
      </c>
      <c r="B57" s="110">
        <v>26.59</v>
      </c>
      <c r="C57" s="110">
        <v>26.59</v>
      </c>
    </row>
    <row r="58" spans="1:3" x14ac:dyDescent="0.25">
      <c r="A58" s="109">
        <v>51</v>
      </c>
      <c r="B58" s="110">
        <v>26.03</v>
      </c>
      <c r="C58" s="110">
        <v>26.03</v>
      </c>
    </row>
    <row r="59" spans="1:3" x14ac:dyDescent="0.25">
      <c r="A59" s="109">
        <v>52</v>
      </c>
      <c r="B59" s="110">
        <v>25.47</v>
      </c>
      <c r="C59" s="110">
        <v>25.47</v>
      </c>
    </row>
    <row r="60" spans="1:3" x14ac:dyDescent="0.25">
      <c r="A60" s="109">
        <v>53</v>
      </c>
      <c r="B60" s="110">
        <v>24.9</v>
      </c>
      <c r="C60" s="110">
        <v>24.9</v>
      </c>
    </row>
    <row r="61" spans="1:3" x14ac:dyDescent="0.25">
      <c r="A61" s="109">
        <v>54</v>
      </c>
      <c r="B61" s="110">
        <v>24.32</v>
      </c>
      <c r="C61" s="110">
        <v>24.32</v>
      </c>
    </row>
    <row r="62" spans="1:3" x14ac:dyDescent="0.25">
      <c r="A62" s="109">
        <v>55</v>
      </c>
      <c r="B62" s="110">
        <v>23.73</v>
      </c>
      <c r="C62" s="110">
        <v>23.73</v>
      </c>
    </row>
    <row r="63" spans="1:3" x14ac:dyDescent="0.25">
      <c r="A63" s="109">
        <v>56</v>
      </c>
      <c r="B63" s="110">
        <v>23.14</v>
      </c>
      <c r="C63" s="110">
        <v>23.14</v>
      </c>
    </row>
    <row r="64" spans="1:3" x14ac:dyDescent="0.25">
      <c r="A64" s="109">
        <v>57</v>
      </c>
      <c r="B64" s="110">
        <v>22.55</v>
      </c>
      <c r="C64" s="110">
        <v>22.55</v>
      </c>
    </row>
    <row r="65" spans="1:3" x14ac:dyDescent="0.25">
      <c r="A65" s="109">
        <v>58</v>
      </c>
      <c r="B65" s="110">
        <v>21.95</v>
      </c>
      <c r="C65" s="110">
        <v>21.95</v>
      </c>
    </row>
    <row r="66" spans="1:3" x14ac:dyDescent="0.25">
      <c r="A66" s="109">
        <v>59</v>
      </c>
      <c r="B66" s="110">
        <v>21.35</v>
      </c>
      <c r="C66" s="110">
        <v>21.35</v>
      </c>
    </row>
    <row r="67" spans="1:3" x14ac:dyDescent="0.25">
      <c r="A67" s="109">
        <v>60</v>
      </c>
      <c r="B67" s="110">
        <v>20.74</v>
      </c>
      <c r="C67" s="110">
        <v>20.74</v>
      </c>
    </row>
    <row r="68" spans="1:3" x14ac:dyDescent="0.25">
      <c r="A68" s="109">
        <v>61</v>
      </c>
      <c r="B68" s="110">
        <v>20.13</v>
      </c>
      <c r="C68" s="110">
        <v>20.13</v>
      </c>
    </row>
    <row r="69" spans="1:3" x14ac:dyDescent="0.25">
      <c r="A69" s="109">
        <v>62</v>
      </c>
      <c r="B69" s="110">
        <v>19.52</v>
      </c>
      <c r="C69" s="110">
        <v>19.52</v>
      </c>
    </row>
    <row r="70" spans="1:3" x14ac:dyDescent="0.25">
      <c r="A70" s="109">
        <v>63</v>
      </c>
      <c r="B70" s="110">
        <v>18.899999999999999</v>
      </c>
      <c r="C70" s="110">
        <v>18.899999999999999</v>
      </c>
    </row>
    <row r="71" spans="1:3" x14ac:dyDescent="0.25">
      <c r="A71" s="109">
        <v>64</v>
      </c>
      <c r="B71" s="110">
        <v>18.28</v>
      </c>
      <c r="C71" s="110">
        <v>18.28</v>
      </c>
    </row>
    <row r="72" spans="1:3" x14ac:dyDescent="0.25">
      <c r="A72" s="109">
        <v>65</v>
      </c>
      <c r="B72" s="110">
        <v>17.670000000000002</v>
      </c>
      <c r="C72" s="110">
        <v>17.670000000000002</v>
      </c>
    </row>
    <row r="73" spans="1:3" x14ac:dyDescent="0.25">
      <c r="A73" s="109">
        <v>66</v>
      </c>
      <c r="B73" s="110">
        <v>17.05</v>
      </c>
      <c r="C73" s="110">
        <v>17.05</v>
      </c>
    </row>
    <row r="74" spans="1:3" x14ac:dyDescent="0.25">
      <c r="A74" s="109">
        <v>67</v>
      </c>
      <c r="B74" s="110">
        <v>16.43</v>
      </c>
      <c r="C74" s="110">
        <v>16.43</v>
      </c>
    </row>
    <row r="75" spans="1:3" x14ac:dyDescent="0.25">
      <c r="A75" s="109">
        <v>68</v>
      </c>
      <c r="B75" s="110">
        <v>15.79</v>
      </c>
      <c r="C75" s="110">
        <v>15.79</v>
      </c>
    </row>
    <row r="76" spans="1:3" x14ac:dyDescent="0.25">
      <c r="A76" s="109">
        <v>69</v>
      </c>
      <c r="B76" s="110">
        <v>15.13</v>
      </c>
      <c r="C76" s="110">
        <v>15.13</v>
      </c>
    </row>
    <row r="77" spans="1:3" x14ac:dyDescent="0.25">
      <c r="A77" s="109">
        <v>70</v>
      </c>
      <c r="B77" s="110">
        <v>14.47</v>
      </c>
      <c r="C77" s="110">
        <v>14.47</v>
      </c>
    </row>
    <row r="78" spans="1:3" x14ac:dyDescent="0.25">
      <c r="A78" s="109">
        <v>71</v>
      </c>
      <c r="B78" s="110">
        <v>13.82</v>
      </c>
      <c r="C78" s="110">
        <v>13.82</v>
      </c>
    </row>
    <row r="79" spans="1:3" x14ac:dyDescent="0.25">
      <c r="A79" s="109">
        <v>72</v>
      </c>
      <c r="B79" s="110">
        <v>13.19</v>
      </c>
      <c r="C79" s="110">
        <v>13.19</v>
      </c>
    </row>
    <row r="80" spans="1:3" x14ac:dyDescent="0.25">
      <c r="A80" s="109">
        <v>73</v>
      </c>
      <c r="B80" s="110">
        <v>12.57</v>
      </c>
      <c r="C80" s="110">
        <v>12.57</v>
      </c>
    </row>
    <row r="81" spans="1:3" x14ac:dyDescent="0.25">
      <c r="A81" s="109">
        <v>74</v>
      </c>
      <c r="B81" s="110">
        <v>11.96</v>
      </c>
      <c r="C81" s="110">
        <v>11.96</v>
      </c>
    </row>
    <row r="82" spans="1:3" x14ac:dyDescent="0.25">
      <c r="A82" s="109">
        <v>75</v>
      </c>
      <c r="B82" s="110">
        <v>11.37</v>
      </c>
      <c r="C82" s="110">
        <v>11.37</v>
      </c>
    </row>
    <row r="83" spans="1:3" x14ac:dyDescent="0.25">
      <c r="A83" s="109">
        <v>76</v>
      </c>
      <c r="B83" s="110">
        <v>10.78</v>
      </c>
      <c r="C83" s="110">
        <v>10.78</v>
      </c>
    </row>
    <row r="84" spans="1:3" x14ac:dyDescent="0.25">
      <c r="A84" s="109">
        <v>77</v>
      </c>
      <c r="B84" s="110">
        <v>10.199999999999999</v>
      </c>
      <c r="C84" s="110">
        <v>10.199999999999999</v>
      </c>
    </row>
    <row r="85" spans="1:3" x14ac:dyDescent="0.25">
      <c r="A85" s="109">
        <v>78</v>
      </c>
      <c r="B85" s="110">
        <v>9.6300000000000008</v>
      </c>
      <c r="C85" s="110">
        <v>9.6300000000000008</v>
      </c>
    </row>
    <row r="86" spans="1:3" x14ac:dyDescent="0.25">
      <c r="A86" s="109">
        <v>79</v>
      </c>
      <c r="B86" s="110">
        <v>9.08</v>
      </c>
      <c r="C86" s="110">
        <v>9.08</v>
      </c>
    </row>
    <row r="87" spans="1:3" x14ac:dyDescent="0.25">
      <c r="A87" s="109">
        <v>80</v>
      </c>
      <c r="B87" s="110">
        <v>8.5500000000000007</v>
      </c>
      <c r="C87" s="110">
        <v>8.5500000000000007</v>
      </c>
    </row>
  </sheetData>
  <conditionalFormatting sqref="A6:A21">
    <cfRule type="expression" dxfId="481" priority="3" stopIfTrue="1">
      <formula>MOD(ROW(),2)=0</formula>
    </cfRule>
    <cfRule type="expression" dxfId="480" priority="4" stopIfTrue="1">
      <formula>MOD(ROW(),2)&lt;&gt;0</formula>
    </cfRule>
  </conditionalFormatting>
  <conditionalFormatting sqref="A26:A87">
    <cfRule type="expression" dxfId="479" priority="9" stopIfTrue="1">
      <formula>MOD(ROW(),2)=0</formula>
    </cfRule>
    <cfRule type="expression" dxfId="478" priority="10" stopIfTrue="1">
      <formula>MOD(ROW(),2)&lt;&gt;0</formula>
    </cfRule>
  </conditionalFormatting>
  <conditionalFormatting sqref="B18:B21">
    <cfRule type="expression" dxfId="477" priority="1" stopIfTrue="1">
      <formula>MOD(ROW(),2)=0</formula>
    </cfRule>
    <cfRule type="expression" dxfId="476" priority="2" stopIfTrue="1">
      <formula>MOD(ROW(),2)&lt;&gt;0</formula>
    </cfRule>
  </conditionalFormatting>
  <conditionalFormatting sqref="B6:C21">
    <cfRule type="expression" dxfId="475" priority="23" stopIfTrue="1">
      <formula>MOD(ROW(),2)=0</formula>
    </cfRule>
    <cfRule type="expression" dxfId="474" priority="24" stopIfTrue="1">
      <formula>MOD(ROW(),2)&lt;&gt;0</formula>
    </cfRule>
  </conditionalFormatting>
  <conditionalFormatting sqref="B26:C87">
    <cfRule type="expression" dxfId="473" priority="11" stopIfTrue="1">
      <formula>MOD(ROW(),2)=0</formula>
    </cfRule>
    <cfRule type="expression" dxfId="472" priority="12" stopIfTrue="1">
      <formula>MOD(ROW(),2)&lt;&gt;0</formula>
    </cfRule>
  </conditionalFormatting>
  <hyperlinks>
    <hyperlink ref="B24" location="Assumptions!A1" display="Assumptions" xr:uid="{306ADC48-9C7C-402E-BF46-9516CACC65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105"/>
  <dimension ref="A1:I85"/>
  <sheetViews>
    <sheetView workbookViewId="0"/>
  </sheetViews>
  <sheetFormatPr defaultColWidth="10" defaultRowHeight="12.5" x14ac:dyDescent="0.25"/>
  <cols>
    <col min="1" max="1" width="31.54296875" style="28" customWidth="1"/>
    <col min="2" max="9" width="22.54296875" style="28" customWidth="1"/>
    <col min="10"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Scheme pays AA - x-607</v>
      </c>
      <c r="B3" s="56"/>
      <c r="C3" s="56"/>
      <c r="D3" s="56"/>
      <c r="E3" s="56"/>
      <c r="F3" s="56"/>
      <c r="G3" s="56"/>
      <c r="H3" s="56"/>
      <c r="I3" s="56"/>
    </row>
    <row r="4" spans="1:9" x14ac:dyDescent="0.25">
      <c r="A4" s="58"/>
    </row>
    <row r="6" spans="1:9" ht="13" x14ac:dyDescent="0.3">
      <c r="A6" s="92" t="s">
        <v>716</v>
      </c>
      <c r="B6" s="181" t="s">
        <v>717</v>
      </c>
      <c r="C6" s="181"/>
      <c r="D6" s="181"/>
      <c r="E6" s="181"/>
      <c r="F6" s="181"/>
      <c r="G6" s="181"/>
      <c r="H6" s="181"/>
      <c r="I6" s="181"/>
    </row>
    <row r="7" spans="1:9" x14ac:dyDescent="0.25">
      <c r="A7" s="94" t="s">
        <v>797</v>
      </c>
      <c r="B7" s="181" t="s">
        <v>326</v>
      </c>
      <c r="C7" s="181"/>
      <c r="D7" s="181"/>
      <c r="E7" s="181"/>
      <c r="F7" s="181"/>
      <c r="G7" s="181"/>
      <c r="H7" s="181"/>
      <c r="I7" s="181"/>
    </row>
    <row r="8" spans="1:9" x14ac:dyDescent="0.25">
      <c r="A8" s="94" t="s">
        <v>798</v>
      </c>
      <c r="B8" s="181" t="s">
        <v>444</v>
      </c>
      <c r="C8" s="181"/>
      <c r="D8" s="181"/>
      <c r="E8" s="181"/>
      <c r="F8" s="181"/>
      <c r="G8" s="181"/>
      <c r="H8" s="181"/>
      <c r="I8" s="181"/>
    </row>
    <row r="9" spans="1:9" x14ac:dyDescent="0.25">
      <c r="A9" s="94" t="s">
        <v>300</v>
      </c>
      <c r="B9" s="181" t="s">
        <v>551</v>
      </c>
      <c r="C9" s="181"/>
      <c r="D9" s="181"/>
      <c r="E9" s="181"/>
      <c r="F9" s="181"/>
      <c r="G9" s="181"/>
      <c r="H9" s="181"/>
      <c r="I9" s="181"/>
    </row>
    <row r="10" spans="1:9" x14ac:dyDescent="0.25">
      <c r="A10" s="94" t="s">
        <v>6</v>
      </c>
      <c r="B10" s="181" t="s">
        <v>575</v>
      </c>
      <c r="C10" s="181"/>
      <c r="D10" s="181"/>
      <c r="E10" s="181"/>
      <c r="F10" s="181"/>
      <c r="G10" s="181"/>
      <c r="H10" s="181"/>
      <c r="I10" s="181"/>
    </row>
    <row r="11" spans="1:9" x14ac:dyDescent="0.25">
      <c r="A11" s="94" t="s">
        <v>301</v>
      </c>
      <c r="B11" s="181" t="s">
        <v>334</v>
      </c>
      <c r="C11" s="181"/>
      <c r="D11" s="181"/>
      <c r="E11" s="181"/>
      <c r="F11" s="181"/>
      <c r="G11" s="181"/>
      <c r="H11" s="181"/>
      <c r="I11" s="181"/>
    </row>
    <row r="12" spans="1:9" x14ac:dyDescent="0.25">
      <c r="A12" s="94" t="s">
        <v>302</v>
      </c>
      <c r="B12" s="181" t="s">
        <v>335</v>
      </c>
      <c r="C12" s="181"/>
      <c r="D12" s="181"/>
      <c r="E12" s="181"/>
      <c r="F12" s="181"/>
      <c r="G12" s="181"/>
      <c r="H12" s="181"/>
      <c r="I12" s="181"/>
    </row>
    <row r="13" spans="1:9" x14ac:dyDescent="0.25">
      <c r="A13" s="94" t="s">
        <v>813</v>
      </c>
      <c r="B13" s="181">
        <v>1</v>
      </c>
      <c r="C13" s="181"/>
      <c r="D13" s="181"/>
      <c r="E13" s="181"/>
      <c r="F13" s="181"/>
      <c r="G13" s="181"/>
      <c r="H13" s="181"/>
      <c r="I13" s="181"/>
    </row>
    <row r="14" spans="1:9" x14ac:dyDescent="0.25">
      <c r="A14" s="94" t="s">
        <v>304</v>
      </c>
      <c r="B14" s="181">
        <v>607</v>
      </c>
      <c r="C14" s="181"/>
      <c r="D14" s="181"/>
      <c r="E14" s="181"/>
      <c r="F14" s="181"/>
      <c r="G14" s="181"/>
      <c r="H14" s="181"/>
      <c r="I14" s="181"/>
    </row>
    <row r="15" spans="1:9" x14ac:dyDescent="0.25">
      <c r="A15" s="94" t="s">
        <v>727</v>
      </c>
      <c r="B15" s="181" t="s">
        <v>576</v>
      </c>
      <c r="C15" s="181"/>
      <c r="D15" s="181"/>
      <c r="E15" s="181"/>
      <c r="F15" s="181"/>
      <c r="G15" s="181"/>
      <c r="H15" s="181"/>
      <c r="I15" s="181"/>
    </row>
    <row r="16" spans="1:9" x14ac:dyDescent="0.25">
      <c r="A16" s="94" t="s">
        <v>306</v>
      </c>
      <c r="B16" s="181" t="s">
        <v>554</v>
      </c>
      <c r="C16" s="181"/>
      <c r="D16" s="181"/>
      <c r="E16" s="181"/>
      <c r="F16" s="181"/>
      <c r="G16" s="181"/>
      <c r="H16" s="181"/>
      <c r="I16" s="181"/>
    </row>
    <row r="17" spans="1:9" x14ac:dyDescent="0.25">
      <c r="A17" s="94" t="s">
        <v>800</v>
      </c>
      <c r="B17" s="181"/>
      <c r="C17" s="181"/>
      <c r="D17" s="181"/>
      <c r="E17" s="181"/>
      <c r="F17" s="181"/>
      <c r="G17" s="181"/>
      <c r="H17" s="181"/>
      <c r="I17" s="181"/>
    </row>
    <row r="18" spans="1:9" x14ac:dyDescent="0.25">
      <c r="A18" s="94" t="s">
        <v>308</v>
      </c>
      <c r="B18" s="185">
        <v>45135</v>
      </c>
      <c r="C18" s="181"/>
      <c r="D18" s="181"/>
      <c r="E18" s="181"/>
      <c r="F18" s="181"/>
      <c r="G18" s="181"/>
      <c r="H18" s="181"/>
      <c r="I18" s="181"/>
    </row>
    <row r="19" spans="1:9" x14ac:dyDescent="0.25">
      <c r="A19" s="94" t="s">
        <v>309</v>
      </c>
      <c r="B19" s="185">
        <v>45383</v>
      </c>
      <c r="C19" s="181"/>
      <c r="D19" s="181"/>
      <c r="E19" s="181"/>
      <c r="F19" s="181"/>
      <c r="G19" s="181"/>
      <c r="H19" s="181"/>
      <c r="I19" s="181"/>
    </row>
    <row r="20" spans="1:9" x14ac:dyDescent="0.25">
      <c r="A20" s="94" t="s">
        <v>310</v>
      </c>
      <c r="B20" s="181" t="s">
        <v>324</v>
      </c>
      <c r="C20" s="181"/>
      <c r="D20" s="181"/>
      <c r="E20" s="181"/>
      <c r="F20" s="181"/>
      <c r="G20" s="181"/>
      <c r="H20" s="181"/>
      <c r="I20" s="181"/>
    </row>
    <row r="21" spans="1:9" x14ac:dyDescent="0.25">
      <c r="A21" s="87" t="s">
        <v>311</v>
      </c>
      <c r="B21" s="181" t="s">
        <v>325</v>
      </c>
      <c r="C21" s="181"/>
      <c r="D21" s="181"/>
      <c r="E21" s="181"/>
      <c r="F21" s="181"/>
      <c r="G21" s="181"/>
      <c r="H21" s="181"/>
      <c r="I21" s="181"/>
    </row>
    <row r="23" spans="1:9" x14ac:dyDescent="0.25">
      <c r="B23" s="104" t="str">
        <f>HYPERLINK("#'Factor List'!A1","Back to Factor List")</f>
        <v>Back to Factor List</v>
      </c>
    </row>
    <row r="24" spans="1:9" x14ac:dyDescent="0.25">
      <c r="B24" s="104" t="s">
        <v>13</v>
      </c>
    </row>
    <row r="26" spans="1:9" ht="26" x14ac:dyDescent="0.25">
      <c r="A26" s="108" t="s">
        <v>534</v>
      </c>
      <c r="B26" s="108" t="s">
        <v>962</v>
      </c>
      <c r="C26" s="108" t="s">
        <v>963</v>
      </c>
      <c r="D26" s="108" t="s">
        <v>964</v>
      </c>
      <c r="E26" s="108" t="s">
        <v>965</v>
      </c>
      <c r="F26" s="108" t="s">
        <v>966</v>
      </c>
      <c r="G26" s="108" t="s">
        <v>967</v>
      </c>
      <c r="H26" s="108" t="s">
        <v>968</v>
      </c>
      <c r="I26" s="108" t="s">
        <v>969</v>
      </c>
    </row>
    <row r="27" spans="1:9" x14ac:dyDescent="0.25">
      <c r="A27" s="109">
        <v>17</v>
      </c>
      <c r="B27" s="110">
        <v>11.03</v>
      </c>
      <c r="C27" s="110">
        <v>0.49</v>
      </c>
      <c r="D27" s="110">
        <v>11.03</v>
      </c>
      <c r="E27" s="110">
        <v>0.49</v>
      </c>
      <c r="F27" s="110">
        <v>8.8000000000000007</v>
      </c>
      <c r="G27" s="110">
        <v>0.45</v>
      </c>
      <c r="H27" s="110">
        <v>8.8000000000000007</v>
      </c>
      <c r="I27" s="110">
        <v>0.45</v>
      </c>
    </row>
    <row r="28" spans="1:9" x14ac:dyDescent="0.25">
      <c r="A28" s="109">
        <v>18</v>
      </c>
      <c r="B28" s="110">
        <v>11.19</v>
      </c>
      <c r="C28" s="110">
        <v>0.5</v>
      </c>
      <c r="D28" s="110">
        <v>11.19</v>
      </c>
      <c r="E28" s="110">
        <v>0.5</v>
      </c>
      <c r="F28" s="110">
        <v>8.92</v>
      </c>
      <c r="G28" s="110">
        <v>0.46</v>
      </c>
      <c r="H28" s="110">
        <v>8.92</v>
      </c>
      <c r="I28" s="110">
        <v>0.46</v>
      </c>
    </row>
    <row r="29" spans="1:9" x14ac:dyDescent="0.25">
      <c r="A29" s="109">
        <v>19</v>
      </c>
      <c r="B29" s="110">
        <v>11.35</v>
      </c>
      <c r="C29" s="110">
        <v>0.51</v>
      </c>
      <c r="D29" s="110">
        <v>11.35</v>
      </c>
      <c r="E29" s="110">
        <v>0.51</v>
      </c>
      <c r="F29" s="110">
        <v>9.0399999999999991</v>
      </c>
      <c r="G29" s="110">
        <v>0.46</v>
      </c>
      <c r="H29" s="110">
        <v>9.0399999999999991</v>
      </c>
      <c r="I29" s="110">
        <v>0.46</v>
      </c>
    </row>
    <row r="30" spans="1:9" x14ac:dyDescent="0.25">
      <c r="A30" s="109">
        <v>20</v>
      </c>
      <c r="B30" s="110">
        <v>11.52</v>
      </c>
      <c r="C30" s="110">
        <v>0.51</v>
      </c>
      <c r="D30" s="110">
        <v>11.52</v>
      </c>
      <c r="E30" s="110">
        <v>0.51</v>
      </c>
      <c r="F30" s="110">
        <v>9.17</v>
      </c>
      <c r="G30" s="110">
        <v>0.47</v>
      </c>
      <c r="H30" s="110">
        <v>9.17</v>
      </c>
      <c r="I30" s="110">
        <v>0.47</v>
      </c>
    </row>
    <row r="31" spans="1:9" x14ac:dyDescent="0.25">
      <c r="A31" s="109">
        <v>21</v>
      </c>
      <c r="B31" s="110">
        <v>11.68</v>
      </c>
      <c r="C31" s="110">
        <v>0.52</v>
      </c>
      <c r="D31" s="110">
        <v>11.68</v>
      </c>
      <c r="E31" s="110">
        <v>0.52</v>
      </c>
      <c r="F31" s="110">
        <v>9.3000000000000007</v>
      </c>
      <c r="G31" s="110">
        <v>0.48</v>
      </c>
      <c r="H31" s="110">
        <v>9.3000000000000007</v>
      </c>
      <c r="I31" s="110">
        <v>0.48</v>
      </c>
    </row>
    <row r="32" spans="1:9" x14ac:dyDescent="0.25">
      <c r="A32" s="109">
        <v>22</v>
      </c>
      <c r="B32" s="110">
        <v>11.85</v>
      </c>
      <c r="C32" s="110">
        <v>0.53</v>
      </c>
      <c r="D32" s="110">
        <v>11.85</v>
      </c>
      <c r="E32" s="110">
        <v>0.53</v>
      </c>
      <c r="F32" s="110">
        <v>9.43</v>
      </c>
      <c r="G32" s="110">
        <v>0.49</v>
      </c>
      <c r="H32" s="110">
        <v>9.43</v>
      </c>
      <c r="I32" s="110">
        <v>0.49</v>
      </c>
    </row>
    <row r="33" spans="1:9" x14ac:dyDescent="0.25">
      <c r="A33" s="109">
        <v>23</v>
      </c>
      <c r="B33" s="110">
        <v>12.03</v>
      </c>
      <c r="C33" s="110">
        <v>0.54</v>
      </c>
      <c r="D33" s="110">
        <v>12.03</v>
      </c>
      <c r="E33" s="110">
        <v>0.54</v>
      </c>
      <c r="F33" s="110">
        <v>9.56</v>
      </c>
      <c r="G33" s="110">
        <v>0.5</v>
      </c>
      <c r="H33" s="110">
        <v>9.56</v>
      </c>
      <c r="I33" s="110">
        <v>0.5</v>
      </c>
    </row>
    <row r="34" spans="1:9" x14ac:dyDescent="0.25">
      <c r="A34" s="109">
        <v>24</v>
      </c>
      <c r="B34" s="110">
        <v>12.2</v>
      </c>
      <c r="C34" s="110">
        <v>0.55000000000000004</v>
      </c>
      <c r="D34" s="110">
        <v>12.2</v>
      </c>
      <c r="E34" s="110">
        <v>0.55000000000000004</v>
      </c>
      <c r="F34" s="110">
        <v>9.69</v>
      </c>
      <c r="G34" s="110">
        <v>0.51</v>
      </c>
      <c r="H34" s="110">
        <v>9.69</v>
      </c>
      <c r="I34" s="110">
        <v>0.51</v>
      </c>
    </row>
    <row r="35" spans="1:9" x14ac:dyDescent="0.25">
      <c r="A35" s="109">
        <v>25</v>
      </c>
      <c r="B35" s="110">
        <v>12.38</v>
      </c>
      <c r="C35" s="110">
        <v>0.56000000000000005</v>
      </c>
      <c r="D35" s="110">
        <v>12.38</v>
      </c>
      <c r="E35" s="110">
        <v>0.56000000000000005</v>
      </c>
      <c r="F35" s="110">
        <v>9.82</v>
      </c>
      <c r="G35" s="110">
        <v>0.51</v>
      </c>
      <c r="H35" s="110">
        <v>9.82</v>
      </c>
      <c r="I35" s="110">
        <v>0.51</v>
      </c>
    </row>
    <row r="36" spans="1:9" x14ac:dyDescent="0.25">
      <c r="A36" s="109">
        <v>26</v>
      </c>
      <c r="B36" s="110">
        <v>12.56</v>
      </c>
      <c r="C36" s="110">
        <v>0.56999999999999995</v>
      </c>
      <c r="D36" s="110">
        <v>12.56</v>
      </c>
      <c r="E36" s="110">
        <v>0.56999999999999995</v>
      </c>
      <c r="F36" s="110">
        <v>9.9600000000000009</v>
      </c>
      <c r="G36" s="110">
        <v>0.52</v>
      </c>
      <c r="H36" s="110">
        <v>9.9600000000000009</v>
      </c>
      <c r="I36" s="110">
        <v>0.52</v>
      </c>
    </row>
    <row r="37" spans="1:9" x14ac:dyDescent="0.25">
      <c r="A37" s="109">
        <v>27</v>
      </c>
      <c r="B37" s="110">
        <v>12.74</v>
      </c>
      <c r="C37" s="110">
        <v>0.57999999999999996</v>
      </c>
      <c r="D37" s="110">
        <v>12.74</v>
      </c>
      <c r="E37" s="110">
        <v>0.57999999999999996</v>
      </c>
      <c r="F37" s="110">
        <v>10.1</v>
      </c>
      <c r="G37" s="110">
        <v>0.53</v>
      </c>
      <c r="H37" s="110">
        <v>10.1</v>
      </c>
      <c r="I37" s="110">
        <v>0.53</v>
      </c>
    </row>
    <row r="38" spans="1:9" x14ac:dyDescent="0.25">
      <c r="A38" s="109">
        <v>28</v>
      </c>
      <c r="B38" s="110">
        <v>12.92</v>
      </c>
      <c r="C38" s="110">
        <v>0.59</v>
      </c>
      <c r="D38" s="110">
        <v>12.92</v>
      </c>
      <c r="E38" s="110">
        <v>0.59</v>
      </c>
      <c r="F38" s="110">
        <v>10.24</v>
      </c>
      <c r="G38" s="110">
        <v>0.54</v>
      </c>
      <c r="H38" s="110">
        <v>10.24</v>
      </c>
      <c r="I38" s="110">
        <v>0.54</v>
      </c>
    </row>
    <row r="39" spans="1:9" x14ac:dyDescent="0.25">
      <c r="A39" s="109">
        <v>29</v>
      </c>
      <c r="B39" s="110">
        <v>13.11</v>
      </c>
      <c r="C39" s="110">
        <v>0.6</v>
      </c>
      <c r="D39" s="110">
        <v>13.11</v>
      </c>
      <c r="E39" s="110">
        <v>0.6</v>
      </c>
      <c r="F39" s="110">
        <v>10.38</v>
      </c>
      <c r="G39" s="110">
        <v>0.55000000000000004</v>
      </c>
      <c r="H39" s="110">
        <v>10.38</v>
      </c>
      <c r="I39" s="110">
        <v>0.55000000000000004</v>
      </c>
    </row>
    <row r="40" spans="1:9" x14ac:dyDescent="0.25">
      <c r="A40" s="109">
        <v>30</v>
      </c>
      <c r="B40" s="110">
        <v>13.3</v>
      </c>
      <c r="C40" s="110">
        <v>0.61</v>
      </c>
      <c r="D40" s="110">
        <v>13.3</v>
      </c>
      <c r="E40" s="110">
        <v>0.61</v>
      </c>
      <c r="F40" s="110">
        <v>10.53</v>
      </c>
      <c r="G40" s="110">
        <v>0.56000000000000005</v>
      </c>
      <c r="H40" s="110">
        <v>10.53</v>
      </c>
      <c r="I40" s="110">
        <v>0.56000000000000005</v>
      </c>
    </row>
    <row r="41" spans="1:9" x14ac:dyDescent="0.25">
      <c r="A41" s="109">
        <v>31</v>
      </c>
      <c r="B41" s="110">
        <v>13.49</v>
      </c>
      <c r="C41" s="110">
        <v>0.62</v>
      </c>
      <c r="D41" s="110">
        <v>13.49</v>
      </c>
      <c r="E41" s="110">
        <v>0.62</v>
      </c>
      <c r="F41" s="110">
        <v>10.67</v>
      </c>
      <c r="G41" s="110">
        <v>0.56999999999999995</v>
      </c>
      <c r="H41" s="110">
        <v>10.67</v>
      </c>
      <c r="I41" s="110">
        <v>0.56999999999999995</v>
      </c>
    </row>
    <row r="42" spans="1:9" x14ac:dyDescent="0.25">
      <c r="A42" s="109">
        <v>32</v>
      </c>
      <c r="B42" s="110">
        <v>13.69</v>
      </c>
      <c r="C42" s="110">
        <v>0.63</v>
      </c>
      <c r="D42" s="110">
        <v>13.69</v>
      </c>
      <c r="E42" s="110">
        <v>0.63</v>
      </c>
      <c r="F42" s="110">
        <v>10.82</v>
      </c>
      <c r="G42" s="110">
        <v>0.57999999999999996</v>
      </c>
      <c r="H42" s="110">
        <v>10.82</v>
      </c>
      <c r="I42" s="110">
        <v>0.57999999999999996</v>
      </c>
    </row>
    <row r="43" spans="1:9" x14ac:dyDescent="0.25">
      <c r="A43" s="109">
        <v>33</v>
      </c>
      <c r="B43" s="110">
        <v>13.89</v>
      </c>
      <c r="C43" s="110">
        <v>0.64</v>
      </c>
      <c r="D43" s="110">
        <v>13.89</v>
      </c>
      <c r="E43" s="110">
        <v>0.64</v>
      </c>
      <c r="F43" s="110">
        <v>10.98</v>
      </c>
      <c r="G43" s="110">
        <v>0.59</v>
      </c>
      <c r="H43" s="110">
        <v>10.98</v>
      </c>
      <c r="I43" s="110">
        <v>0.59</v>
      </c>
    </row>
    <row r="44" spans="1:9" x14ac:dyDescent="0.25">
      <c r="A44" s="109">
        <v>34</v>
      </c>
      <c r="B44" s="110">
        <v>14.1</v>
      </c>
      <c r="C44" s="110">
        <v>0.65</v>
      </c>
      <c r="D44" s="110">
        <v>14.1</v>
      </c>
      <c r="E44" s="110">
        <v>0.65</v>
      </c>
      <c r="F44" s="110">
        <v>11.13</v>
      </c>
      <c r="G44" s="110">
        <v>0.6</v>
      </c>
      <c r="H44" s="110">
        <v>11.13</v>
      </c>
      <c r="I44" s="110">
        <v>0.6</v>
      </c>
    </row>
    <row r="45" spans="1:9" x14ac:dyDescent="0.25">
      <c r="A45" s="109">
        <v>35</v>
      </c>
      <c r="B45" s="110">
        <v>14.3</v>
      </c>
      <c r="C45" s="110">
        <v>0.66</v>
      </c>
      <c r="D45" s="110">
        <v>14.3</v>
      </c>
      <c r="E45" s="110">
        <v>0.66</v>
      </c>
      <c r="F45" s="110">
        <v>11.29</v>
      </c>
      <c r="G45" s="110">
        <v>0.61</v>
      </c>
      <c r="H45" s="110">
        <v>11.29</v>
      </c>
      <c r="I45" s="110">
        <v>0.61</v>
      </c>
    </row>
    <row r="46" spans="1:9" x14ac:dyDescent="0.25">
      <c r="A46" s="109">
        <v>36</v>
      </c>
      <c r="B46" s="110">
        <v>14.51</v>
      </c>
      <c r="C46" s="110">
        <v>0.67</v>
      </c>
      <c r="D46" s="110">
        <v>14.51</v>
      </c>
      <c r="E46" s="110">
        <v>0.67</v>
      </c>
      <c r="F46" s="110">
        <v>11.45</v>
      </c>
      <c r="G46" s="110">
        <v>0.62</v>
      </c>
      <c r="H46" s="110">
        <v>11.45</v>
      </c>
      <c r="I46" s="110">
        <v>0.62</v>
      </c>
    </row>
    <row r="47" spans="1:9" x14ac:dyDescent="0.25">
      <c r="A47" s="109">
        <v>37</v>
      </c>
      <c r="B47" s="110">
        <v>14.73</v>
      </c>
      <c r="C47" s="110">
        <v>0.68</v>
      </c>
      <c r="D47" s="110">
        <v>14.73</v>
      </c>
      <c r="E47" s="110">
        <v>0.68</v>
      </c>
      <c r="F47" s="110">
        <v>11.61</v>
      </c>
      <c r="G47" s="110">
        <v>0.63</v>
      </c>
      <c r="H47" s="110">
        <v>11.61</v>
      </c>
      <c r="I47" s="110">
        <v>0.63</v>
      </c>
    </row>
    <row r="48" spans="1:9" x14ac:dyDescent="0.25">
      <c r="A48" s="109">
        <v>38</v>
      </c>
      <c r="B48" s="110">
        <v>14.95</v>
      </c>
      <c r="C48" s="110">
        <v>0.7</v>
      </c>
      <c r="D48" s="110">
        <v>14.95</v>
      </c>
      <c r="E48" s="110">
        <v>0.7</v>
      </c>
      <c r="F48" s="110">
        <v>11.77</v>
      </c>
      <c r="G48" s="110">
        <v>0.64</v>
      </c>
      <c r="H48" s="110">
        <v>11.77</v>
      </c>
      <c r="I48" s="110">
        <v>0.64</v>
      </c>
    </row>
    <row r="49" spans="1:9" x14ac:dyDescent="0.25">
      <c r="A49" s="109">
        <v>39</v>
      </c>
      <c r="B49" s="110">
        <v>15.17</v>
      </c>
      <c r="C49" s="110">
        <v>0.71</v>
      </c>
      <c r="D49" s="110">
        <v>15.17</v>
      </c>
      <c r="E49" s="110">
        <v>0.71</v>
      </c>
      <c r="F49" s="110">
        <v>11.94</v>
      </c>
      <c r="G49" s="110">
        <v>0.65</v>
      </c>
      <c r="H49" s="110">
        <v>11.94</v>
      </c>
      <c r="I49" s="110">
        <v>0.65</v>
      </c>
    </row>
    <row r="50" spans="1:9" x14ac:dyDescent="0.25">
      <c r="A50" s="109">
        <v>40</v>
      </c>
      <c r="B50" s="110">
        <v>15.39</v>
      </c>
      <c r="C50" s="110">
        <v>0.72</v>
      </c>
      <c r="D50" s="110">
        <v>15.39</v>
      </c>
      <c r="E50" s="110">
        <v>0.72</v>
      </c>
      <c r="F50" s="110">
        <v>12.11</v>
      </c>
      <c r="G50" s="110">
        <v>0.66</v>
      </c>
      <c r="H50" s="110">
        <v>12.11</v>
      </c>
      <c r="I50" s="110">
        <v>0.66</v>
      </c>
    </row>
    <row r="51" spans="1:9" x14ac:dyDescent="0.25">
      <c r="A51" s="109">
        <v>41</v>
      </c>
      <c r="B51" s="110">
        <v>15.62</v>
      </c>
      <c r="C51" s="110">
        <v>0.73</v>
      </c>
      <c r="D51" s="110">
        <v>15.62</v>
      </c>
      <c r="E51" s="110">
        <v>0.73</v>
      </c>
      <c r="F51" s="110">
        <v>12.28</v>
      </c>
      <c r="G51" s="110">
        <v>0.67</v>
      </c>
      <c r="H51" s="110">
        <v>12.28</v>
      </c>
      <c r="I51" s="110">
        <v>0.67</v>
      </c>
    </row>
    <row r="52" spans="1:9" x14ac:dyDescent="0.25">
      <c r="A52" s="109">
        <v>42</v>
      </c>
      <c r="B52" s="110">
        <v>15.86</v>
      </c>
      <c r="C52" s="110">
        <v>0.74</v>
      </c>
      <c r="D52" s="110">
        <v>15.86</v>
      </c>
      <c r="E52" s="110">
        <v>0.74</v>
      </c>
      <c r="F52" s="110">
        <v>12.46</v>
      </c>
      <c r="G52" s="110">
        <v>0.68</v>
      </c>
      <c r="H52" s="110">
        <v>12.46</v>
      </c>
      <c r="I52" s="110">
        <v>0.68</v>
      </c>
    </row>
    <row r="53" spans="1:9" x14ac:dyDescent="0.25">
      <c r="A53" s="109">
        <v>43</v>
      </c>
      <c r="B53" s="110">
        <v>16.100000000000001</v>
      </c>
      <c r="C53" s="110">
        <v>0.76</v>
      </c>
      <c r="D53" s="110">
        <v>16.100000000000001</v>
      </c>
      <c r="E53" s="110">
        <v>0.76</v>
      </c>
      <c r="F53" s="110">
        <v>12.64</v>
      </c>
      <c r="G53" s="110">
        <v>0.7</v>
      </c>
      <c r="H53" s="110">
        <v>12.64</v>
      </c>
      <c r="I53" s="110">
        <v>0.7</v>
      </c>
    </row>
    <row r="54" spans="1:9" x14ac:dyDescent="0.25">
      <c r="A54" s="109">
        <v>44</v>
      </c>
      <c r="B54" s="110">
        <v>16.34</v>
      </c>
      <c r="C54" s="110">
        <v>0.77</v>
      </c>
      <c r="D54" s="110">
        <v>16.34</v>
      </c>
      <c r="E54" s="110">
        <v>0.77</v>
      </c>
      <c r="F54" s="110">
        <v>12.82</v>
      </c>
      <c r="G54" s="110">
        <v>0.71</v>
      </c>
      <c r="H54" s="110">
        <v>12.82</v>
      </c>
      <c r="I54" s="110">
        <v>0.71</v>
      </c>
    </row>
    <row r="55" spans="1:9" x14ac:dyDescent="0.25">
      <c r="A55" s="109">
        <v>45</v>
      </c>
      <c r="B55" s="110">
        <v>16.59</v>
      </c>
      <c r="C55" s="110">
        <v>0.78</v>
      </c>
      <c r="D55" s="110">
        <v>16.59</v>
      </c>
      <c r="E55" s="110">
        <v>0.78</v>
      </c>
      <c r="F55" s="110">
        <v>13.01</v>
      </c>
      <c r="G55" s="110">
        <v>0.72</v>
      </c>
      <c r="H55" s="110">
        <v>13.01</v>
      </c>
      <c r="I55" s="110">
        <v>0.72</v>
      </c>
    </row>
    <row r="56" spans="1:9" x14ac:dyDescent="0.25">
      <c r="A56" s="109">
        <v>46</v>
      </c>
      <c r="B56" s="110">
        <v>16.850000000000001</v>
      </c>
      <c r="C56" s="110">
        <v>0.8</v>
      </c>
      <c r="D56" s="110">
        <v>16.850000000000001</v>
      </c>
      <c r="E56" s="110">
        <v>0.8</v>
      </c>
      <c r="F56" s="110">
        <v>13.2</v>
      </c>
      <c r="G56" s="110">
        <v>0.73</v>
      </c>
      <c r="H56" s="110">
        <v>13.2</v>
      </c>
      <c r="I56" s="110">
        <v>0.73</v>
      </c>
    </row>
    <row r="57" spans="1:9" x14ac:dyDescent="0.25">
      <c r="A57" s="109">
        <v>47</v>
      </c>
      <c r="B57" s="110">
        <v>17.11</v>
      </c>
      <c r="C57" s="110">
        <v>0.81</v>
      </c>
      <c r="D57" s="110">
        <v>17.11</v>
      </c>
      <c r="E57" s="110">
        <v>0.81</v>
      </c>
      <c r="F57" s="110">
        <v>13.39</v>
      </c>
      <c r="G57" s="110">
        <v>0.74</v>
      </c>
      <c r="H57" s="110">
        <v>13.39</v>
      </c>
      <c r="I57" s="110">
        <v>0.74</v>
      </c>
    </row>
    <row r="58" spans="1:9" x14ac:dyDescent="0.25">
      <c r="A58" s="109">
        <v>48</v>
      </c>
      <c r="B58" s="110">
        <v>17.37</v>
      </c>
      <c r="C58" s="110">
        <v>0.82</v>
      </c>
      <c r="D58" s="110">
        <v>17.37</v>
      </c>
      <c r="E58" s="110">
        <v>0.82</v>
      </c>
      <c r="F58" s="110">
        <v>13.59</v>
      </c>
      <c r="G58" s="110">
        <v>0.76</v>
      </c>
      <c r="H58" s="110">
        <v>13.59</v>
      </c>
      <c r="I58" s="110">
        <v>0.76</v>
      </c>
    </row>
    <row r="59" spans="1:9" x14ac:dyDescent="0.25">
      <c r="A59" s="109">
        <v>49</v>
      </c>
      <c r="B59" s="110">
        <v>17.649999999999999</v>
      </c>
      <c r="C59" s="110">
        <v>0.84</v>
      </c>
      <c r="D59" s="110">
        <v>17.649999999999999</v>
      </c>
      <c r="E59" s="110">
        <v>0.84</v>
      </c>
      <c r="F59" s="110">
        <v>13.8</v>
      </c>
      <c r="G59" s="110">
        <v>0.77</v>
      </c>
      <c r="H59" s="110">
        <v>13.8</v>
      </c>
      <c r="I59" s="110">
        <v>0.77</v>
      </c>
    </row>
    <row r="60" spans="1:9" x14ac:dyDescent="0.25">
      <c r="A60" s="109">
        <v>50</v>
      </c>
      <c r="B60" s="110">
        <v>17.93</v>
      </c>
      <c r="C60" s="110">
        <v>0.85</v>
      </c>
      <c r="D60" s="110">
        <v>17.93</v>
      </c>
      <c r="E60" s="110">
        <v>0.85</v>
      </c>
      <c r="F60" s="110">
        <v>14.01</v>
      </c>
      <c r="G60" s="110">
        <v>0.78</v>
      </c>
      <c r="H60" s="110">
        <v>14.01</v>
      </c>
      <c r="I60" s="110">
        <v>0.78</v>
      </c>
    </row>
    <row r="61" spans="1:9" x14ac:dyDescent="0.25">
      <c r="A61" s="109">
        <v>51</v>
      </c>
      <c r="B61" s="110">
        <v>18.22</v>
      </c>
      <c r="C61" s="110">
        <v>0.87</v>
      </c>
      <c r="D61" s="110">
        <v>18.22</v>
      </c>
      <c r="E61" s="110">
        <v>0.87</v>
      </c>
      <c r="F61" s="110">
        <v>14.22</v>
      </c>
      <c r="G61" s="110">
        <v>0.8</v>
      </c>
      <c r="H61" s="110">
        <v>14.22</v>
      </c>
      <c r="I61" s="110">
        <v>0.8</v>
      </c>
    </row>
    <row r="62" spans="1:9" x14ac:dyDescent="0.25">
      <c r="A62" s="109">
        <v>52</v>
      </c>
      <c r="B62" s="110">
        <v>18.510000000000002</v>
      </c>
      <c r="C62" s="110">
        <v>0.88</v>
      </c>
      <c r="D62" s="110">
        <v>18.510000000000002</v>
      </c>
      <c r="E62" s="110">
        <v>0.88</v>
      </c>
      <c r="F62" s="110">
        <v>14.44</v>
      </c>
      <c r="G62" s="110">
        <v>0.81</v>
      </c>
      <c r="H62" s="110">
        <v>14.44</v>
      </c>
      <c r="I62" s="110">
        <v>0.81</v>
      </c>
    </row>
    <row r="63" spans="1:9" x14ac:dyDescent="0.25">
      <c r="A63" s="109">
        <v>53</v>
      </c>
      <c r="B63" s="110">
        <v>18.809999999999999</v>
      </c>
      <c r="C63" s="110">
        <v>0.9</v>
      </c>
      <c r="D63" s="110">
        <v>18.809999999999999</v>
      </c>
      <c r="E63" s="110">
        <v>0.9</v>
      </c>
      <c r="F63" s="110">
        <v>14.67</v>
      </c>
      <c r="G63" s="110">
        <v>0.82</v>
      </c>
      <c r="H63" s="110">
        <v>14.67</v>
      </c>
      <c r="I63" s="110">
        <v>0.82</v>
      </c>
    </row>
    <row r="64" spans="1:9" x14ac:dyDescent="0.25">
      <c r="A64" s="109">
        <v>54</v>
      </c>
      <c r="B64" s="110">
        <v>19.13</v>
      </c>
      <c r="C64" s="110">
        <v>0.91</v>
      </c>
      <c r="D64" s="110">
        <v>19.13</v>
      </c>
      <c r="E64" s="110">
        <v>0.91</v>
      </c>
      <c r="F64" s="110">
        <v>14.9</v>
      </c>
      <c r="G64" s="110">
        <v>0.84</v>
      </c>
      <c r="H64" s="110">
        <v>14.9</v>
      </c>
      <c r="I64" s="110">
        <v>0.84</v>
      </c>
    </row>
    <row r="65" spans="1:9" x14ac:dyDescent="0.25">
      <c r="A65" s="109">
        <v>55</v>
      </c>
      <c r="B65" s="110">
        <v>19.45</v>
      </c>
      <c r="C65" s="110">
        <v>0.93</v>
      </c>
      <c r="D65" s="110">
        <v>19.45</v>
      </c>
      <c r="E65" s="110">
        <v>0.93</v>
      </c>
      <c r="F65" s="110">
        <v>15.14</v>
      </c>
      <c r="G65" s="110">
        <v>0.85</v>
      </c>
      <c r="H65" s="110">
        <v>15.14</v>
      </c>
      <c r="I65" s="110">
        <v>0.85</v>
      </c>
    </row>
    <row r="66" spans="1:9" x14ac:dyDescent="0.25">
      <c r="A66" s="109">
        <v>56</v>
      </c>
      <c r="B66" s="110">
        <v>19.78</v>
      </c>
      <c r="C66" s="110">
        <v>0.94</v>
      </c>
      <c r="D66" s="110">
        <v>19.78</v>
      </c>
      <c r="E66" s="110">
        <v>0.94</v>
      </c>
      <c r="F66" s="110">
        <v>15.39</v>
      </c>
      <c r="G66" s="110">
        <v>0.87</v>
      </c>
      <c r="H66" s="110">
        <v>15.39</v>
      </c>
      <c r="I66" s="110">
        <v>0.87</v>
      </c>
    </row>
    <row r="67" spans="1:9" x14ac:dyDescent="0.25">
      <c r="A67" s="109">
        <v>57</v>
      </c>
      <c r="B67" s="110">
        <v>20.12</v>
      </c>
      <c r="C67" s="110">
        <v>0.96</v>
      </c>
      <c r="D67" s="110">
        <v>20.12</v>
      </c>
      <c r="E67" s="110">
        <v>0.96</v>
      </c>
      <c r="F67" s="110">
        <v>15.65</v>
      </c>
      <c r="G67" s="110">
        <v>0.88</v>
      </c>
      <c r="H67" s="110">
        <v>15.65</v>
      </c>
      <c r="I67" s="110">
        <v>0.88</v>
      </c>
    </row>
    <row r="68" spans="1:9" x14ac:dyDescent="0.25">
      <c r="A68" s="109">
        <v>58</v>
      </c>
      <c r="B68" s="110">
        <v>20.48</v>
      </c>
      <c r="C68" s="110">
        <v>0.98</v>
      </c>
      <c r="D68" s="110">
        <v>20.48</v>
      </c>
      <c r="E68" s="110">
        <v>0.98</v>
      </c>
      <c r="F68" s="110">
        <v>15.91</v>
      </c>
      <c r="G68" s="110">
        <v>0.9</v>
      </c>
      <c r="H68" s="110">
        <v>15.91</v>
      </c>
      <c r="I68" s="110">
        <v>0.9</v>
      </c>
    </row>
    <row r="69" spans="1:9" x14ac:dyDescent="0.25">
      <c r="A69" s="109">
        <v>59</v>
      </c>
      <c r="B69" s="110">
        <v>20.85</v>
      </c>
      <c r="C69" s="110">
        <v>0.99</v>
      </c>
      <c r="D69" s="110">
        <v>20.85</v>
      </c>
      <c r="E69" s="110">
        <v>0.99</v>
      </c>
      <c r="F69" s="110">
        <v>16.190000000000001</v>
      </c>
      <c r="G69" s="110">
        <v>0.91</v>
      </c>
      <c r="H69" s="110">
        <v>16.190000000000001</v>
      </c>
      <c r="I69" s="110">
        <v>0.91</v>
      </c>
    </row>
    <row r="70" spans="1:9" x14ac:dyDescent="0.25">
      <c r="A70" s="109">
        <v>60</v>
      </c>
      <c r="B70" s="110">
        <v>20.73</v>
      </c>
      <c r="C70" s="110">
        <v>1</v>
      </c>
      <c r="D70" s="110">
        <v>20.73</v>
      </c>
      <c r="E70" s="110">
        <v>1</v>
      </c>
      <c r="F70" s="110">
        <v>16.48</v>
      </c>
      <c r="G70" s="110">
        <v>0.93</v>
      </c>
      <c r="H70" s="110">
        <v>16.48</v>
      </c>
      <c r="I70" s="110">
        <v>0.93</v>
      </c>
    </row>
    <row r="71" spans="1:9" x14ac:dyDescent="0.25">
      <c r="A71" s="109">
        <v>61</v>
      </c>
      <c r="B71" s="110">
        <v>20.09</v>
      </c>
      <c r="C71" s="110">
        <v>1</v>
      </c>
      <c r="D71" s="110">
        <v>20.09</v>
      </c>
      <c r="E71" s="110">
        <v>1</v>
      </c>
      <c r="F71" s="110">
        <v>16.78</v>
      </c>
      <c r="G71" s="110">
        <v>0.94</v>
      </c>
      <c r="H71" s="110">
        <v>16.78</v>
      </c>
      <c r="I71" s="110">
        <v>0.94</v>
      </c>
    </row>
    <row r="72" spans="1:9" x14ac:dyDescent="0.25">
      <c r="A72" s="109">
        <v>62</v>
      </c>
      <c r="B72" s="110">
        <v>19.46</v>
      </c>
      <c r="C72" s="110">
        <v>1</v>
      </c>
      <c r="D72" s="110">
        <v>19.46</v>
      </c>
      <c r="E72" s="110">
        <v>1</v>
      </c>
      <c r="F72" s="110">
        <v>17.100000000000001</v>
      </c>
      <c r="G72" s="110">
        <v>0.96</v>
      </c>
      <c r="H72" s="110">
        <v>17.100000000000001</v>
      </c>
      <c r="I72" s="110">
        <v>0.96</v>
      </c>
    </row>
    <row r="73" spans="1:9" x14ac:dyDescent="0.25">
      <c r="A73" s="109">
        <v>63</v>
      </c>
      <c r="B73" s="110">
        <v>18.82</v>
      </c>
      <c r="C73" s="110">
        <v>1</v>
      </c>
      <c r="D73" s="110">
        <v>18.82</v>
      </c>
      <c r="E73" s="110">
        <v>1</v>
      </c>
      <c r="F73" s="110">
        <v>17.440000000000001</v>
      </c>
      <c r="G73" s="110">
        <v>0.98</v>
      </c>
      <c r="H73" s="110">
        <v>17.440000000000001</v>
      </c>
      <c r="I73" s="110">
        <v>0.98</v>
      </c>
    </row>
    <row r="74" spans="1:9" x14ac:dyDescent="0.25">
      <c r="A74" s="109">
        <v>64</v>
      </c>
      <c r="B74" s="110">
        <v>18.190000000000001</v>
      </c>
      <c r="C74" s="110">
        <v>1</v>
      </c>
      <c r="D74" s="110">
        <v>18.190000000000001</v>
      </c>
      <c r="E74" s="110">
        <v>1</v>
      </c>
      <c r="F74" s="110">
        <v>17.79</v>
      </c>
      <c r="G74" s="110">
        <v>0.99</v>
      </c>
      <c r="H74" s="110">
        <v>17.79</v>
      </c>
      <c r="I74" s="110">
        <v>0.99</v>
      </c>
    </row>
    <row r="75" spans="1:9" x14ac:dyDescent="0.25">
      <c r="A75" s="109">
        <v>65</v>
      </c>
      <c r="B75" s="110">
        <v>17.559999999999999</v>
      </c>
      <c r="C75" s="110">
        <v>1</v>
      </c>
      <c r="D75" s="110">
        <v>17.559999999999999</v>
      </c>
      <c r="E75" s="110">
        <v>1</v>
      </c>
      <c r="F75" s="110">
        <v>17.649999999999999</v>
      </c>
      <c r="G75" s="110">
        <v>1</v>
      </c>
      <c r="H75" s="110">
        <v>17.649999999999999</v>
      </c>
      <c r="I75" s="110">
        <v>1</v>
      </c>
    </row>
    <row r="76" spans="1:9" x14ac:dyDescent="0.25">
      <c r="A76" s="109">
        <v>66</v>
      </c>
      <c r="B76" s="110">
        <v>16.940000000000001</v>
      </c>
      <c r="C76" s="110">
        <v>1</v>
      </c>
      <c r="D76" s="110">
        <v>16.940000000000001</v>
      </c>
      <c r="E76" s="110">
        <v>1</v>
      </c>
      <c r="F76" s="110">
        <v>16.989999999999998</v>
      </c>
      <c r="G76" s="110">
        <v>1</v>
      </c>
      <c r="H76" s="110">
        <v>16.989999999999998</v>
      </c>
      <c r="I76" s="110">
        <v>1</v>
      </c>
    </row>
    <row r="77" spans="1:9" x14ac:dyDescent="0.25">
      <c r="A77" s="109">
        <v>67</v>
      </c>
      <c r="B77" s="110">
        <v>16.309999999999999</v>
      </c>
      <c r="C77" s="110">
        <v>1</v>
      </c>
      <c r="D77" s="110">
        <v>16.309999999999999</v>
      </c>
      <c r="E77" s="110">
        <v>1</v>
      </c>
      <c r="F77" s="110">
        <v>16.34</v>
      </c>
      <c r="G77" s="110">
        <v>1</v>
      </c>
      <c r="H77" s="110">
        <v>16.34</v>
      </c>
      <c r="I77" s="110">
        <v>1</v>
      </c>
    </row>
    <row r="78" spans="1:9" x14ac:dyDescent="0.25">
      <c r="A78" s="109">
        <v>68</v>
      </c>
      <c r="B78" s="110">
        <v>15.68</v>
      </c>
      <c r="C78" s="110">
        <v>1</v>
      </c>
      <c r="D78" s="110">
        <v>15.68</v>
      </c>
      <c r="E78" s="110">
        <v>1</v>
      </c>
      <c r="F78" s="110">
        <v>15.69</v>
      </c>
      <c r="G78" s="110">
        <v>1</v>
      </c>
      <c r="H78" s="110">
        <v>15.69</v>
      </c>
      <c r="I78" s="110">
        <v>1</v>
      </c>
    </row>
    <row r="79" spans="1:9" x14ac:dyDescent="0.25">
      <c r="A79" s="109">
        <v>69</v>
      </c>
      <c r="B79" s="110">
        <v>15.05</v>
      </c>
      <c r="C79" s="110">
        <v>1</v>
      </c>
      <c r="D79" s="110">
        <v>15.05</v>
      </c>
      <c r="E79" s="110">
        <v>1</v>
      </c>
      <c r="F79" s="110">
        <v>15.06</v>
      </c>
      <c r="G79" s="110">
        <v>1</v>
      </c>
      <c r="H79" s="110">
        <v>15.06</v>
      </c>
      <c r="I79" s="110">
        <v>1</v>
      </c>
    </row>
    <row r="80" spans="1:9" x14ac:dyDescent="0.25">
      <c r="A80" s="109">
        <v>70</v>
      </c>
      <c r="B80" s="110">
        <v>14.43</v>
      </c>
      <c r="C80" s="110">
        <v>1</v>
      </c>
      <c r="D80" s="110">
        <v>14.43</v>
      </c>
      <c r="E80" s="110">
        <v>1</v>
      </c>
      <c r="F80" s="110">
        <v>14.43</v>
      </c>
      <c r="G80" s="110">
        <v>1</v>
      </c>
      <c r="H80" s="110">
        <v>14.43</v>
      </c>
      <c r="I80" s="110">
        <v>1</v>
      </c>
    </row>
    <row r="81" spans="1:9" x14ac:dyDescent="0.25">
      <c r="A81" s="109">
        <v>71</v>
      </c>
      <c r="B81" s="110">
        <v>13.8</v>
      </c>
      <c r="C81" s="110">
        <v>1</v>
      </c>
      <c r="D81" s="110">
        <v>13.8</v>
      </c>
      <c r="E81" s="110">
        <v>1</v>
      </c>
      <c r="F81" s="110">
        <v>13.8</v>
      </c>
      <c r="G81" s="110">
        <v>1</v>
      </c>
      <c r="H81" s="110">
        <v>13.8</v>
      </c>
      <c r="I81" s="110">
        <v>1</v>
      </c>
    </row>
    <row r="82" spans="1:9" x14ac:dyDescent="0.25">
      <c r="A82" s="109">
        <v>72</v>
      </c>
      <c r="B82" s="110">
        <v>13.18</v>
      </c>
      <c r="C82" s="110">
        <v>1</v>
      </c>
      <c r="D82" s="110">
        <v>13.18</v>
      </c>
      <c r="E82" s="110">
        <v>1</v>
      </c>
      <c r="F82" s="110">
        <v>13.18</v>
      </c>
      <c r="G82" s="110">
        <v>1</v>
      </c>
      <c r="H82" s="110">
        <v>13.18</v>
      </c>
      <c r="I82" s="110">
        <v>1</v>
      </c>
    </row>
    <row r="83" spans="1:9" x14ac:dyDescent="0.25">
      <c r="A83" s="109">
        <v>73</v>
      </c>
      <c r="B83" s="110">
        <v>12.57</v>
      </c>
      <c r="C83" s="110">
        <v>1</v>
      </c>
      <c r="D83" s="110">
        <v>12.57</v>
      </c>
      <c r="E83" s="110">
        <v>1</v>
      </c>
      <c r="F83" s="110">
        <v>12.57</v>
      </c>
      <c r="G83" s="110">
        <v>1</v>
      </c>
      <c r="H83" s="110">
        <v>12.57</v>
      </c>
      <c r="I83" s="110">
        <v>1</v>
      </c>
    </row>
    <row r="84" spans="1:9" x14ac:dyDescent="0.25">
      <c r="A84" s="109">
        <v>74</v>
      </c>
      <c r="B84" s="110">
        <v>11.96</v>
      </c>
      <c r="C84" s="110">
        <v>1</v>
      </c>
      <c r="D84" s="110">
        <v>11.96</v>
      </c>
      <c r="E84" s="110">
        <v>1</v>
      </c>
      <c r="F84" s="110">
        <v>11.96</v>
      </c>
      <c r="G84" s="110">
        <v>1</v>
      </c>
      <c r="H84" s="110">
        <v>11.96</v>
      </c>
      <c r="I84" s="110">
        <v>1</v>
      </c>
    </row>
    <row r="85" spans="1:9" x14ac:dyDescent="0.25">
      <c r="A85" s="109">
        <v>75</v>
      </c>
      <c r="B85" s="110">
        <v>11.37</v>
      </c>
      <c r="C85" s="110">
        <v>1</v>
      </c>
      <c r="D85" s="110">
        <v>11.37</v>
      </c>
      <c r="E85" s="110">
        <v>1</v>
      </c>
      <c r="F85" s="110">
        <v>11.37</v>
      </c>
      <c r="G85" s="110">
        <v>1</v>
      </c>
      <c r="H85" s="110">
        <v>11.37</v>
      </c>
      <c r="I85" s="110">
        <v>1</v>
      </c>
    </row>
  </sheetData>
  <conditionalFormatting sqref="A6:A21">
    <cfRule type="expression" dxfId="471" priority="3" stopIfTrue="1">
      <formula>MOD(ROW(),2)=0</formula>
    </cfRule>
    <cfRule type="expression" dxfId="470" priority="4" stopIfTrue="1">
      <formula>MOD(ROW(),2)&lt;&gt;0</formula>
    </cfRule>
  </conditionalFormatting>
  <conditionalFormatting sqref="A26:A85">
    <cfRule type="expression" dxfId="469" priority="9" stopIfTrue="1">
      <formula>MOD(ROW(),2)=0</formula>
    </cfRule>
    <cfRule type="expression" dxfId="468" priority="10" stopIfTrue="1">
      <formula>MOD(ROW(),2)&lt;&gt;0</formula>
    </cfRule>
  </conditionalFormatting>
  <conditionalFormatting sqref="B18:B21">
    <cfRule type="expression" dxfId="467" priority="1" stopIfTrue="1">
      <formula>MOD(ROW(),2)=0</formula>
    </cfRule>
    <cfRule type="expression" dxfId="466" priority="2" stopIfTrue="1">
      <formula>MOD(ROW(),2)&lt;&gt;0</formula>
    </cfRule>
  </conditionalFormatting>
  <conditionalFormatting sqref="B6:I21">
    <cfRule type="expression" dxfId="465" priority="23" stopIfTrue="1">
      <formula>MOD(ROW(),2)=0</formula>
    </cfRule>
    <cfRule type="expression" dxfId="464" priority="24" stopIfTrue="1">
      <formula>MOD(ROW(),2)&lt;&gt;0</formula>
    </cfRule>
  </conditionalFormatting>
  <conditionalFormatting sqref="B26:I85">
    <cfRule type="expression" dxfId="463" priority="11" stopIfTrue="1">
      <formula>MOD(ROW(),2)=0</formula>
    </cfRule>
    <cfRule type="expression" dxfId="462" priority="12" stopIfTrue="1">
      <formula>MOD(ROW(),2)&lt;&gt;0</formula>
    </cfRule>
  </conditionalFormatting>
  <hyperlinks>
    <hyperlink ref="B24" location="Assumptions!A1" display="Assumptions" xr:uid="{A4597537-C3CC-4589-A48F-33FD44A0DC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106"/>
  <dimension ref="A1:I85"/>
  <sheetViews>
    <sheetView workbookViewId="0"/>
  </sheetViews>
  <sheetFormatPr defaultColWidth="10" defaultRowHeight="12.5" x14ac:dyDescent="0.25"/>
  <cols>
    <col min="1" max="1" width="31.54296875" style="28" customWidth="1"/>
    <col min="2" max="3" width="22.542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Scheme pays AA - x-608</v>
      </c>
      <c r="B3" s="56"/>
      <c r="C3" s="56"/>
      <c r="D3" s="56"/>
      <c r="E3" s="56"/>
      <c r="F3" s="56"/>
      <c r="G3" s="56"/>
      <c r="H3" s="56"/>
      <c r="I3" s="56"/>
    </row>
    <row r="4" spans="1:9" x14ac:dyDescent="0.25">
      <c r="A4" s="58"/>
    </row>
    <row r="6" spans="1:9" ht="13" x14ac:dyDescent="0.3">
      <c r="A6" s="92" t="s">
        <v>716</v>
      </c>
      <c r="B6" s="181" t="s">
        <v>717</v>
      </c>
      <c r="C6" s="181"/>
    </row>
    <row r="7" spans="1:9" x14ac:dyDescent="0.25">
      <c r="A7" s="94" t="s">
        <v>797</v>
      </c>
      <c r="B7" s="181" t="s">
        <v>326</v>
      </c>
      <c r="C7" s="181"/>
    </row>
    <row r="8" spans="1:9" x14ac:dyDescent="0.25">
      <c r="A8" s="94" t="s">
        <v>798</v>
      </c>
      <c r="B8" s="181" t="s">
        <v>96</v>
      </c>
      <c r="C8" s="181"/>
    </row>
    <row r="9" spans="1:9" x14ac:dyDescent="0.25">
      <c r="A9" s="94" t="s">
        <v>300</v>
      </c>
      <c r="B9" s="181" t="s">
        <v>551</v>
      </c>
      <c r="C9" s="181"/>
    </row>
    <row r="10" spans="1:9" x14ac:dyDescent="0.25">
      <c r="A10" s="94" t="s">
        <v>6</v>
      </c>
      <c r="B10" s="181" t="s">
        <v>578</v>
      </c>
      <c r="C10" s="181"/>
    </row>
    <row r="11" spans="1:9" x14ac:dyDescent="0.25">
      <c r="A11" s="94" t="s">
        <v>301</v>
      </c>
      <c r="B11" s="181" t="s">
        <v>334</v>
      </c>
      <c r="C11" s="181"/>
    </row>
    <row r="12" spans="1:9" x14ac:dyDescent="0.25">
      <c r="A12" s="94" t="s">
        <v>302</v>
      </c>
      <c r="B12" s="181" t="s">
        <v>335</v>
      </c>
      <c r="C12" s="181"/>
    </row>
    <row r="13" spans="1:9" x14ac:dyDescent="0.25">
      <c r="A13" s="94" t="s">
        <v>813</v>
      </c>
      <c r="B13" s="181">
        <v>1</v>
      </c>
      <c r="C13" s="181"/>
    </row>
    <row r="14" spans="1:9" x14ac:dyDescent="0.25">
      <c r="A14" s="94" t="s">
        <v>304</v>
      </c>
      <c r="B14" s="181">
        <v>608</v>
      </c>
      <c r="C14" s="181"/>
    </row>
    <row r="15" spans="1:9" x14ac:dyDescent="0.25">
      <c r="A15" s="94" t="s">
        <v>727</v>
      </c>
      <c r="B15" s="181" t="s">
        <v>579</v>
      </c>
      <c r="C15" s="181"/>
    </row>
    <row r="16" spans="1:9" x14ac:dyDescent="0.25">
      <c r="A16" s="94" t="s">
        <v>306</v>
      </c>
      <c r="B16" s="181" t="s">
        <v>580</v>
      </c>
      <c r="C16" s="181"/>
    </row>
    <row r="17" spans="1:3" x14ac:dyDescent="0.25">
      <c r="A17" s="94" t="s">
        <v>800</v>
      </c>
      <c r="B17" s="181"/>
      <c r="C17" s="181"/>
    </row>
    <row r="18" spans="1:3" x14ac:dyDescent="0.25">
      <c r="A18" s="94" t="s">
        <v>308</v>
      </c>
      <c r="B18" s="185">
        <v>45135</v>
      </c>
      <c r="C18" s="181"/>
    </row>
    <row r="19" spans="1:3" x14ac:dyDescent="0.25">
      <c r="A19" s="94" t="s">
        <v>309</v>
      </c>
      <c r="B19" s="185">
        <v>45383</v>
      </c>
      <c r="C19" s="181"/>
    </row>
    <row r="20" spans="1:3" x14ac:dyDescent="0.25">
      <c r="A20" s="94" t="s">
        <v>310</v>
      </c>
      <c r="B20" s="181" t="s">
        <v>324</v>
      </c>
      <c r="C20" s="181"/>
    </row>
    <row r="21" spans="1:3" x14ac:dyDescent="0.25">
      <c r="A21" s="87" t="s">
        <v>311</v>
      </c>
      <c r="B21" s="181" t="s">
        <v>325</v>
      </c>
      <c r="C21" s="181"/>
    </row>
    <row r="23" spans="1:3" x14ac:dyDescent="0.25">
      <c r="B23" s="104" t="str">
        <f>HYPERLINK("#'Factor List'!A1","Back to Factor List")</f>
        <v>Back to Factor List</v>
      </c>
    </row>
    <row r="24" spans="1:3" x14ac:dyDescent="0.25">
      <c r="B24" s="104" t="s">
        <v>13</v>
      </c>
    </row>
    <row r="26" spans="1:3" ht="13" x14ac:dyDescent="0.25">
      <c r="A26" s="108" t="s">
        <v>534</v>
      </c>
      <c r="B26" s="108" t="s">
        <v>960</v>
      </c>
      <c r="C26" s="108" t="s">
        <v>961</v>
      </c>
    </row>
    <row r="27" spans="1:3" x14ac:dyDescent="0.25">
      <c r="A27" s="109">
        <v>17</v>
      </c>
      <c r="B27" s="110">
        <v>3.43</v>
      </c>
      <c r="C27" s="110">
        <v>3.43</v>
      </c>
    </row>
    <row r="28" spans="1:3" x14ac:dyDescent="0.25">
      <c r="A28" s="109">
        <v>18</v>
      </c>
      <c r="B28" s="110">
        <v>3.55</v>
      </c>
      <c r="C28" s="110">
        <v>3.55</v>
      </c>
    </row>
    <row r="29" spans="1:3" x14ac:dyDescent="0.25">
      <c r="A29" s="109">
        <v>19</v>
      </c>
      <c r="B29" s="110">
        <v>3.67</v>
      </c>
      <c r="C29" s="110">
        <v>3.67</v>
      </c>
    </row>
    <row r="30" spans="1:3" x14ac:dyDescent="0.25">
      <c r="A30" s="109">
        <v>20</v>
      </c>
      <c r="B30" s="110">
        <v>3.8</v>
      </c>
      <c r="C30" s="110">
        <v>3.8</v>
      </c>
    </row>
    <row r="31" spans="1:3" x14ac:dyDescent="0.25">
      <c r="A31" s="109">
        <v>21</v>
      </c>
      <c r="B31" s="110">
        <v>3.93</v>
      </c>
      <c r="C31" s="110">
        <v>3.93</v>
      </c>
    </row>
    <row r="32" spans="1:3" x14ac:dyDescent="0.25">
      <c r="A32" s="109">
        <v>22</v>
      </c>
      <c r="B32" s="110">
        <v>4.0599999999999996</v>
      </c>
      <c r="C32" s="110">
        <v>4.0599999999999996</v>
      </c>
    </row>
    <row r="33" spans="1:3" x14ac:dyDescent="0.25">
      <c r="A33" s="109">
        <v>23</v>
      </c>
      <c r="B33" s="110">
        <v>4.2</v>
      </c>
      <c r="C33" s="110">
        <v>4.2</v>
      </c>
    </row>
    <row r="34" spans="1:3" x14ac:dyDescent="0.25">
      <c r="A34" s="109">
        <v>24</v>
      </c>
      <c r="B34" s="110">
        <v>4.3499999999999996</v>
      </c>
      <c r="C34" s="110">
        <v>4.3499999999999996</v>
      </c>
    </row>
    <row r="35" spans="1:3" x14ac:dyDescent="0.25">
      <c r="A35" s="109">
        <v>25</v>
      </c>
      <c r="B35" s="110">
        <v>4.49</v>
      </c>
      <c r="C35" s="110">
        <v>4.49</v>
      </c>
    </row>
    <row r="36" spans="1:3" x14ac:dyDescent="0.25">
      <c r="A36" s="109">
        <v>26</v>
      </c>
      <c r="B36" s="110">
        <v>4.6500000000000004</v>
      </c>
      <c r="C36" s="110">
        <v>4.6500000000000004</v>
      </c>
    </row>
    <row r="37" spans="1:3" x14ac:dyDescent="0.25">
      <c r="A37" s="109">
        <v>27</v>
      </c>
      <c r="B37" s="110">
        <v>4.8099999999999996</v>
      </c>
      <c r="C37" s="110">
        <v>4.8099999999999996</v>
      </c>
    </row>
    <row r="38" spans="1:3" x14ac:dyDescent="0.25">
      <c r="A38" s="109">
        <v>28</v>
      </c>
      <c r="B38" s="110">
        <v>4.97</v>
      </c>
      <c r="C38" s="110">
        <v>4.97</v>
      </c>
    </row>
    <row r="39" spans="1:3" x14ac:dyDescent="0.25">
      <c r="A39" s="109">
        <v>29</v>
      </c>
      <c r="B39" s="110">
        <v>5.14</v>
      </c>
      <c r="C39" s="110">
        <v>5.14</v>
      </c>
    </row>
    <row r="40" spans="1:3" x14ac:dyDescent="0.25">
      <c r="A40" s="109">
        <v>30</v>
      </c>
      <c r="B40" s="110">
        <v>5.32</v>
      </c>
      <c r="C40" s="110">
        <v>5.32</v>
      </c>
    </row>
    <row r="41" spans="1:3" x14ac:dyDescent="0.25">
      <c r="A41" s="109">
        <v>31</v>
      </c>
      <c r="B41" s="110">
        <v>5.5</v>
      </c>
      <c r="C41" s="110">
        <v>5.5</v>
      </c>
    </row>
    <row r="42" spans="1:3" x14ac:dyDescent="0.25">
      <c r="A42" s="109">
        <v>32</v>
      </c>
      <c r="B42" s="110">
        <v>5.69</v>
      </c>
      <c r="C42" s="110">
        <v>5.69</v>
      </c>
    </row>
    <row r="43" spans="1:3" x14ac:dyDescent="0.25">
      <c r="A43" s="109">
        <v>33</v>
      </c>
      <c r="B43" s="110">
        <v>5.88</v>
      </c>
      <c r="C43" s="110">
        <v>5.88</v>
      </c>
    </row>
    <row r="44" spans="1:3" x14ac:dyDescent="0.25">
      <c r="A44" s="109">
        <v>34</v>
      </c>
      <c r="B44" s="110">
        <v>6.08</v>
      </c>
      <c r="C44" s="110">
        <v>6.08</v>
      </c>
    </row>
    <row r="45" spans="1:3" x14ac:dyDescent="0.25">
      <c r="A45" s="109">
        <v>35</v>
      </c>
      <c r="B45" s="110">
        <v>6.29</v>
      </c>
      <c r="C45" s="110">
        <v>6.29</v>
      </c>
    </row>
    <row r="46" spans="1:3" x14ac:dyDescent="0.25">
      <c r="A46" s="109">
        <v>36</v>
      </c>
      <c r="B46" s="110">
        <v>6.51</v>
      </c>
      <c r="C46" s="110">
        <v>6.51</v>
      </c>
    </row>
    <row r="47" spans="1:3" x14ac:dyDescent="0.25">
      <c r="A47" s="109">
        <v>37</v>
      </c>
      <c r="B47" s="110">
        <v>6.73</v>
      </c>
      <c r="C47" s="110">
        <v>6.73</v>
      </c>
    </row>
    <row r="48" spans="1:3" x14ac:dyDescent="0.25">
      <c r="A48" s="109">
        <v>38</v>
      </c>
      <c r="B48" s="110">
        <v>6.97</v>
      </c>
      <c r="C48" s="110">
        <v>6.97</v>
      </c>
    </row>
    <row r="49" spans="1:3" x14ac:dyDescent="0.25">
      <c r="A49" s="109">
        <v>39</v>
      </c>
      <c r="B49" s="110">
        <v>7.21</v>
      </c>
      <c r="C49" s="110">
        <v>7.21</v>
      </c>
    </row>
    <row r="50" spans="1:3" x14ac:dyDescent="0.25">
      <c r="A50" s="109">
        <v>40</v>
      </c>
      <c r="B50" s="110">
        <v>7.45</v>
      </c>
      <c r="C50" s="110">
        <v>7.45</v>
      </c>
    </row>
    <row r="51" spans="1:3" x14ac:dyDescent="0.25">
      <c r="A51" s="109">
        <v>41</v>
      </c>
      <c r="B51" s="110">
        <v>7.71</v>
      </c>
      <c r="C51" s="110">
        <v>7.71</v>
      </c>
    </row>
    <row r="52" spans="1:3" x14ac:dyDescent="0.25">
      <c r="A52" s="109">
        <v>42</v>
      </c>
      <c r="B52" s="110">
        <v>7.98</v>
      </c>
      <c r="C52" s="110">
        <v>7.98</v>
      </c>
    </row>
    <row r="53" spans="1:3" x14ac:dyDescent="0.25">
      <c r="A53" s="109">
        <v>43</v>
      </c>
      <c r="B53" s="110">
        <v>8.26</v>
      </c>
      <c r="C53" s="110">
        <v>8.26</v>
      </c>
    </row>
    <row r="54" spans="1:3" x14ac:dyDescent="0.25">
      <c r="A54" s="109">
        <v>44</v>
      </c>
      <c r="B54" s="110">
        <v>8.5399999999999991</v>
      </c>
      <c r="C54" s="110">
        <v>8.5399999999999991</v>
      </c>
    </row>
    <row r="55" spans="1:3" x14ac:dyDescent="0.25">
      <c r="A55" s="109">
        <v>45</v>
      </c>
      <c r="B55" s="110">
        <v>8.84</v>
      </c>
      <c r="C55" s="110">
        <v>8.84</v>
      </c>
    </row>
    <row r="56" spans="1:3" x14ac:dyDescent="0.25">
      <c r="A56" s="109">
        <v>46</v>
      </c>
      <c r="B56" s="110">
        <v>9.15</v>
      </c>
      <c r="C56" s="110">
        <v>9.15</v>
      </c>
    </row>
    <row r="57" spans="1:3" x14ac:dyDescent="0.25">
      <c r="A57" s="109">
        <v>47</v>
      </c>
      <c r="B57" s="110">
        <v>9.4700000000000006</v>
      </c>
      <c r="C57" s="110">
        <v>9.4700000000000006</v>
      </c>
    </row>
    <row r="58" spans="1:3" x14ac:dyDescent="0.25">
      <c r="A58" s="109">
        <v>48</v>
      </c>
      <c r="B58" s="110">
        <v>9.81</v>
      </c>
      <c r="C58" s="110">
        <v>9.81</v>
      </c>
    </row>
    <row r="59" spans="1:3" x14ac:dyDescent="0.25">
      <c r="A59" s="109">
        <v>49</v>
      </c>
      <c r="B59" s="110">
        <v>10.15</v>
      </c>
      <c r="C59" s="110">
        <v>10.15</v>
      </c>
    </row>
    <row r="60" spans="1:3" x14ac:dyDescent="0.25">
      <c r="A60" s="109">
        <v>50</v>
      </c>
      <c r="B60" s="110">
        <v>10.51</v>
      </c>
      <c r="C60" s="110">
        <v>10.51</v>
      </c>
    </row>
    <row r="61" spans="1:3" x14ac:dyDescent="0.25">
      <c r="A61" s="109">
        <v>51</v>
      </c>
      <c r="B61" s="110">
        <v>10.89</v>
      </c>
      <c r="C61" s="110">
        <v>10.89</v>
      </c>
    </row>
    <row r="62" spans="1:3" x14ac:dyDescent="0.25">
      <c r="A62" s="109">
        <v>52</v>
      </c>
      <c r="B62" s="110">
        <v>11.28</v>
      </c>
      <c r="C62" s="110">
        <v>11.28</v>
      </c>
    </row>
    <row r="63" spans="1:3" x14ac:dyDescent="0.25">
      <c r="A63" s="109">
        <v>53</v>
      </c>
      <c r="B63" s="110">
        <v>11.68</v>
      </c>
      <c r="C63" s="110">
        <v>11.68</v>
      </c>
    </row>
    <row r="64" spans="1:3" x14ac:dyDescent="0.25">
      <c r="A64" s="109">
        <v>54</v>
      </c>
      <c r="B64" s="110">
        <v>12.11</v>
      </c>
      <c r="C64" s="110">
        <v>12.11</v>
      </c>
    </row>
    <row r="65" spans="1:3" x14ac:dyDescent="0.25">
      <c r="A65" s="109">
        <v>55</v>
      </c>
      <c r="B65" s="110">
        <v>12.55</v>
      </c>
      <c r="C65" s="110">
        <v>12.55</v>
      </c>
    </row>
    <row r="66" spans="1:3" x14ac:dyDescent="0.25">
      <c r="A66" s="109">
        <v>56</v>
      </c>
      <c r="B66" s="110">
        <v>13.01</v>
      </c>
      <c r="C66" s="110">
        <v>13.01</v>
      </c>
    </row>
    <row r="67" spans="1:3" x14ac:dyDescent="0.25">
      <c r="A67" s="109">
        <v>57</v>
      </c>
      <c r="B67" s="110">
        <v>13.49</v>
      </c>
      <c r="C67" s="110">
        <v>13.49</v>
      </c>
    </row>
    <row r="68" spans="1:3" x14ac:dyDescent="0.25">
      <c r="A68" s="109">
        <v>58</v>
      </c>
      <c r="B68" s="110">
        <v>13.99</v>
      </c>
      <c r="C68" s="110">
        <v>13.99</v>
      </c>
    </row>
    <row r="69" spans="1:3" x14ac:dyDescent="0.25">
      <c r="A69" s="109">
        <v>59</v>
      </c>
      <c r="B69" s="110">
        <v>14.52</v>
      </c>
      <c r="C69" s="110">
        <v>14.52</v>
      </c>
    </row>
    <row r="70" spans="1:3" x14ac:dyDescent="0.25">
      <c r="A70" s="109">
        <v>60</v>
      </c>
      <c r="B70" s="110">
        <v>15.08</v>
      </c>
      <c r="C70" s="110">
        <v>15.08</v>
      </c>
    </row>
    <row r="71" spans="1:3" x14ac:dyDescent="0.25">
      <c r="A71" s="109">
        <v>61</v>
      </c>
      <c r="B71" s="110">
        <v>15.66</v>
      </c>
      <c r="C71" s="110">
        <v>15.66</v>
      </c>
    </row>
    <row r="72" spans="1:3" x14ac:dyDescent="0.25">
      <c r="A72" s="109">
        <v>62</v>
      </c>
      <c r="B72" s="110">
        <v>16.28</v>
      </c>
      <c r="C72" s="110">
        <v>16.28</v>
      </c>
    </row>
    <row r="73" spans="1:3" x14ac:dyDescent="0.25">
      <c r="A73" s="109">
        <v>63</v>
      </c>
      <c r="B73" s="110">
        <v>16.93</v>
      </c>
      <c r="C73" s="110">
        <v>16.93</v>
      </c>
    </row>
    <row r="74" spans="1:3" x14ac:dyDescent="0.25">
      <c r="A74" s="109">
        <v>64</v>
      </c>
      <c r="B74" s="110">
        <v>17.62</v>
      </c>
      <c r="C74" s="110">
        <v>17.62</v>
      </c>
    </row>
    <row r="75" spans="1:3" x14ac:dyDescent="0.25">
      <c r="A75" s="109">
        <v>65</v>
      </c>
      <c r="B75" s="110">
        <v>17.649999999999999</v>
      </c>
      <c r="C75" s="110">
        <v>17.649999999999999</v>
      </c>
    </row>
    <row r="76" spans="1:3" x14ac:dyDescent="0.25">
      <c r="A76" s="109">
        <v>66</v>
      </c>
      <c r="B76" s="110">
        <v>16.989999999999998</v>
      </c>
      <c r="C76" s="110">
        <v>16.989999999999998</v>
      </c>
    </row>
    <row r="77" spans="1:3" x14ac:dyDescent="0.25">
      <c r="A77" s="109">
        <v>67</v>
      </c>
      <c r="B77" s="110">
        <v>16.34</v>
      </c>
      <c r="C77" s="110">
        <v>16.34</v>
      </c>
    </row>
    <row r="78" spans="1:3" x14ac:dyDescent="0.25">
      <c r="A78" s="109">
        <v>68</v>
      </c>
      <c r="B78" s="110">
        <v>15.69</v>
      </c>
      <c r="C78" s="110">
        <v>15.69</v>
      </c>
    </row>
    <row r="79" spans="1:3" x14ac:dyDescent="0.25">
      <c r="A79" s="109">
        <v>69</v>
      </c>
      <c r="B79" s="110">
        <v>15.06</v>
      </c>
      <c r="C79" s="110">
        <v>15.06</v>
      </c>
    </row>
    <row r="80" spans="1:3" x14ac:dyDescent="0.25">
      <c r="A80" s="109">
        <v>70</v>
      </c>
      <c r="B80" s="110">
        <v>14.43</v>
      </c>
      <c r="C80" s="110">
        <v>14.43</v>
      </c>
    </row>
    <row r="81" spans="1:3" x14ac:dyDescent="0.25">
      <c r="A81" s="109">
        <v>71</v>
      </c>
      <c r="B81" s="110">
        <v>13.8</v>
      </c>
      <c r="C81" s="110">
        <v>13.8</v>
      </c>
    </row>
    <row r="82" spans="1:3" x14ac:dyDescent="0.25">
      <c r="A82" s="109">
        <v>72</v>
      </c>
      <c r="B82" s="110">
        <v>13.18</v>
      </c>
      <c r="C82" s="110">
        <v>13.18</v>
      </c>
    </row>
    <row r="83" spans="1:3" x14ac:dyDescent="0.25">
      <c r="A83" s="109">
        <v>73</v>
      </c>
      <c r="B83" s="110">
        <v>12.57</v>
      </c>
      <c r="C83" s="110">
        <v>12.57</v>
      </c>
    </row>
    <row r="84" spans="1:3" x14ac:dyDescent="0.25">
      <c r="A84" s="109">
        <v>74</v>
      </c>
      <c r="B84" s="110">
        <v>11.96</v>
      </c>
      <c r="C84" s="110">
        <v>11.96</v>
      </c>
    </row>
    <row r="85" spans="1:3" x14ac:dyDescent="0.25">
      <c r="A85" s="109">
        <v>75</v>
      </c>
      <c r="B85" s="110">
        <v>11.37</v>
      </c>
      <c r="C85" s="110">
        <v>11.37</v>
      </c>
    </row>
  </sheetData>
  <conditionalFormatting sqref="A6:A21">
    <cfRule type="expression" dxfId="461" priority="3" stopIfTrue="1">
      <formula>MOD(ROW(),2)=0</formula>
    </cfRule>
    <cfRule type="expression" dxfId="460" priority="4" stopIfTrue="1">
      <formula>MOD(ROW(),2)&lt;&gt;0</formula>
    </cfRule>
  </conditionalFormatting>
  <conditionalFormatting sqref="A26:A85">
    <cfRule type="expression" dxfId="459" priority="9" stopIfTrue="1">
      <formula>MOD(ROW(),2)=0</formula>
    </cfRule>
    <cfRule type="expression" dxfId="458" priority="10" stopIfTrue="1">
      <formula>MOD(ROW(),2)&lt;&gt;0</formula>
    </cfRule>
  </conditionalFormatting>
  <conditionalFormatting sqref="B18:B21">
    <cfRule type="expression" dxfId="457" priority="1" stopIfTrue="1">
      <formula>MOD(ROW(),2)=0</formula>
    </cfRule>
    <cfRule type="expression" dxfId="456" priority="2" stopIfTrue="1">
      <formula>MOD(ROW(),2)&lt;&gt;0</formula>
    </cfRule>
  </conditionalFormatting>
  <conditionalFormatting sqref="B6:C21">
    <cfRule type="expression" dxfId="455" priority="23" stopIfTrue="1">
      <formula>MOD(ROW(),2)=0</formula>
    </cfRule>
    <cfRule type="expression" dxfId="454" priority="24" stopIfTrue="1">
      <formula>MOD(ROW(),2)&lt;&gt;0</formula>
    </cfRule>
  </conditionalFormatting>
  <conditionalFormatting sqref="B26:C85">
    <cfRule type="expression" dxfId="453" priority="11" stopIfTrue="1">
      <formula>MOD(ROW(),2)=0</formula>
    </cfRule>
    <cfRule type="expression" dxfId="452" priority="12" stopIfTrue="1">
      <formula>MOD(ROW(),2)&lt;&gt;0</formula>
    </cfRule>
  </conditionalFormatting>
  <hyperlinks>
    <hyperlink ref="B24" location="Assumptions!A1" display="Assumptions" xr:uid="{BDEF3EB1-066A-4DEE-80C7-3A4EF51CCD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07"/>
  <dimension ref="A1:L72"/>
  <sheetViews>
    <sheetView workbookViewId="0"/>
  </sheetViews>
  <sheetFormatPr defaultColWidth="10" defaultRowHeight="12.5" x14ac:dyDescent="0.25"/>
  <cols>
    <col min="1" max="1" width="31.54296875" style="28" customWidth="1"/>
    <col min="2" max="5" width="22.54296875" style="28" customWidth="1"/>
    <col min="6" max="7" width="10" style="28"/>
    <col min="8" max="8" width="31.54296875" style="28" customWidth="1"/>
    <col min="9" max="12" width="22.54296875" style="28" customWidth="1"/>
    <col min="13" max="16384" width="10" style="28"/>
  </cols>
  <sheetData>
    <row r="1" spans="1:12" ht="20" x14ac:dyDescent="0.4">
      <c r="A1" s="53" t="s">
        <v>0</v>
      </c>
      <c r="B1" s="54"/>
      <c r="C1" s="54"/>
      <c r="D1" s="54"/>
      <c r="E1" s="54"/>
      <c r="F1" s="54"/>
      <c r="G1" s="54"/>
      <c r="H1" s="54"/>
      <c r="I1" s="54"/>
    </row>
    <row r="2" spans="1:12"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2" ht="15.5" x14ac:dyDescent="0.35">
      <c r="A3" s="57" t="str">
        <f>TABLE_FACTOR_TYPE_1&amp;" - x-"&amp;TABLE_SERIES_NUMBER_1</f>
        <v>Scheme pays AA - x-610</v>
      </c>
      <c r="B3" s="56"/>
      <c r="C3" s="56"/>
      <c r="D3" s="56"/>
      <c r="E3" s="56"/>
      <c r="F3" s="56"/>
      <c r="G3" s="56"/>
      <c r="H3" s="56"/>
      <c r="I3" s="56"/>
    </row>
    <row r="4" spans="1:12" x14ac:dyDescent="0.25">
      <c r="A4" s="58"/>
    </row>
    <row r="6" spans="1:12" ht="13" x14ac:dyDescent="0.3">
      <c r="A6" s="92" t="s">
        <v>716</v>
      </c>
      <c r="B6" s="181" t="s">
        <v>717</v>
      </c>
      <c r="C6" s="181"/>
      <c r="D6" s="181"/>
      <c r="E6" s="181"/>
      <c r="H6" s="92" t="s">
        <v>716</v>
      </c>
      <c r="I6" s="181" t="s">
        <v>717</v>
      </c>
      <c r="J6" s="181"/>
      <c r="K6" s="181"/>
      <c r="L6" s="181"/>
    </row>
    <row r="7" spans="1:12" x14ac:dyDescent="0.25">
      <c r="A7" s="94" t="s">
        <v>797</v>
      </c>
      <c r="B7" s="181" t="s">
        <v>326</v>
      </c>
      <c r="C7" s="181"/>
      <c r="D7" s="181"/>
      <c r="E7" s="181"/>
      <c r="H7" s="94" t="s">
        <v>797</v>
      </c>
      <c r="I7" s="181" t="s">
        <v>326</v>
      </c>
      <c r="J7" s="181"/>
      <c r="K7" s="181"/>
      <c r="L7" s="181"/>
    </row>
    <row r="8" spans="1:12" x14ac:dyDescent="0.25">
      <c r="A8" s="94" t="s">
        <v>798</v>
      </c>
      <c r="B8" s="181" t="s">
        <v>395</v>
      </c>
      <c r="C8" s="181"/>
      <c r="D8" s="181"/>
      <c r="E8" s="181"/>
      <c r="H8" s="94" t="s">
        <v>798</v>
      </c>
      <c r="I8" s="181" t="s">
        <v>395</v>
      </c>
      <c r="J8" s="181"/>
      <c r="K8" s="181"/>
      <c r="L8" s="181"/>
    </row>
    <row r="9" spans="1:12" x14ac:dyDescent="0.25">
      <c r="A9" s="94" t="s">
        <v>300</v>
      </c>
      <c r="B9" s="181" t="s">
        <v>551</v>
      </c>
      <c r="C9" s="181"/>
      <c r="D9" s="181"/>
      <c r="E9" s="181"/>
      <c r="H9" s="94" t="s">
        <v>300</v>
      </c>
      <c r="I9" s="181" t="s">
        <v>551</v>
      </c>
      <c r="J9" s="181"/>
      <c r="K9" s="181"/>
      <c r="L9" s="181"/>
    </row>
    <row r="10" spans="1:12" x14ac:dyDescent="0.25">
      <c r="A10" s="94" t="s">
        <v>6</v>
      </c>
      <c r="B10" s="181" t="s">
        <v>582</v>
      </c>
      <c r="C10" s="181"/>
      <c r="D10" s="181"/>
      <c r="E10" s="181"/>
      <c r="H10" s="94" t="s">
        <v>6</v>
      </c>
      <c r="I10" s="181" t="s">
        <v>586</v>
      </c>
      <c r="J10" s="181"/>
      <c r="K10" s="181"/>
      <c r="L10" s="181"/>
    </row>
    <row r="11" spans="1:12" x14ac:dyDescent="0.25">
      <c r="A11" s="94" t="s">
        <v>301</v>
      </c>
      <c r="B11" s="181" t="s">
        <v>334</v>
      </c>
      <c r="C11" s="181"/>
      <c r="D11" s="181"/>
      <c r="E11" s="181"/>
      <c r="H11" s="94" t="s">
        <v>301</v>
      </c>
      <c r="I11" s="181" t="s">
        <v>334</v>
      </c>
      <c r="J11" s="181"/>
      <c r="K11" s="181"/>
      <c r="L11" s="181"/>
    </row>
    <row r="12" spans="1:12" x14ac:dyDescent="0.25">
      <c r="A12" s="94" t="s">
        <v>302</v>
      </c>
      <c r="B12" s="181" t="s">
        <v>583</v>
      </c>
      <c r="C12" s="181"/>
      <c r="D12" s="181"/>
      <c r="E12" s="181"/>
      <c r="H12" s="94" t="s">
        <v>302</v>
      </c>
      <c r="I12" s="181" t="s">
        <v>583</v>
      </c>
      <c r="J12" s="181"/>
      <c r="K12" s="181"/>
      <c r="L12" s="181"/>
    </row>
    <row r="13" spans="1:12" x14ac:dyDescent="0.25">
      <c r="A13" s="94" t="s">
        <v>813</v>
      </c>
      <c r="B13" s="181">
        <v>1</v>
      </c>
      <c r="C13" s="181"/>
      <c r="D13" s="181"/>
      <c r="E13" s="181"/>
      <c r="H13" s="94" t="s">
        <v>813</v>
      </c>
      <c r="I13" s="181">
        <v>1</v>
      </c>
      <c r="J13" s="181"/>
      <c r="K13" s="181"/>
      <c r="L13" s="181"/>
    </row>
    <row r="14" spans="1:12" x14ac:dyDescent="0.25">
      <c r="A14" s="94" t="s">
        <v>304</v>
      </c>
      <c r="B14" s="181">
        <v>610</v>
      </c>
      <c r="C14" s="181"/>
      <c r="D14" s="181"/>
      <c r="E14" s="181"/>
      <c r="H14" s="94" t="s">
        <v>304</v>
      </c>
      <c r="I14" s="181">
        <v>610</v>
      </c>
      <c r="J14" s="181"/>
      <c r="K14" s="181"/>
      <c r="L14" s="181"/>
    </row>
    <row r="15" spans="1:12" x14ac:dyDescent="0.25">
      <c r="A15" s="94" t="s">
        <v>727</v>
      </c>
      <c r="B15" s="181" t="s">
        <v>584</v>
      </c>
      <c r="C15" s="181"/>
      <c r="D15" s="181"/>
      <c r="E15" s="181"/>
      <c r="H15" s="94" t="s">
        <v>727</v>
      </c>
      <c r="I15" s="181" t="s">
        <v>587</v>
      </c>
      <c r="J15" s="181"/>
      <c r="K15" s="181"/>
      <c r="L15" s="181"/>
    </row>
    <row r="16" spans="1:12" x14ac:dyDescent="0.25">
      <c r="A16" s="94" t="s">
        <v>306</v>
      </c>
      <c r="B16" s="181" t="s">
        <v>560</v>
      </c>
      <c r="C16" s="181"/>
      <c r="D16" s="181"/>
      <c r="E16" s="181"/>
      <c r="H16" s="94" t="s">
        <v>306</v>
      </c>
      <c r="I16" s="181" t="s">
        <v>560</v>
      </c>
      <c r="J16" s="181"/>
      <c r="K16" s="181"/>
      <c r="L16" s="181"/>
    </row>
    <row r="17" spans="1:12" x14ac:dyDescent="0.25">
      <c r="A17" s="94" t="s">
        <v>800</v>
      </c>
      <c r="B17" s="181"/>
      <c r="C17" s="181"/>
      <c r="D17" s="181"/>
      <c r="E17" s="181"/>
      <c r="H17" s="94" t="s">
        <v>800</v>
      </c>
      <c r="I17" s="181"/>
      <c r="J17" s="181"/>
      <c r="K17" s="181"/>
      <c r="L17" s="181"/>
    </row>
    <row r="18" spans="1:12" x14ac:dyDescent="0.25">
      <c r="A18" s="94" t="s">
        <v>308</v>
      </c>
      <c r="B18" s="185">
        <v>45135</v>
      </c>
      <c r="C18" s="181"/>
      <c r="D18" s="181"/>
      <c r="E18" s="181"/>
      <c r="H18" s="94" t="s">
        <v>308</v>
      </c>
      <c r="I18" s="185">
        <v>45135</v>
      </c>
      <c r="J18" s="181"/>
      <c r="K18" s="181"/>
      <c r="L18" s="181"/>
    </row>
    <row r="19" spans="1:12" x14ac:dyDescent="0.25">
      <c r="A19" s="94" t="s">
        <v>309</v>
      </c>
      <c r="B19" s="185">
        <v>45383</v>
      </c>
      <c r="C19" s="181"/>
      <c r="D19" s="181"/>
      <c r="E19" s="181"/>
      <c r="H19" s="94" t="s">
        <v>309</v>
      </c>
      <c r="I19" s="185">
        <v>45383</v>
      </c>
      <c r="J19" s="181"/>
      <c r="K19" s="181"/>
      <c r="L19" s="181"/>
    </row>
    <row r="20" spans="1:12" x14ac:dyDescent="0.25">
      <c r="A20" s="94" t="s">
        <v>310</v>
      </c>
      <c r="B20" s="181" t="s">
        <v>324</v>
      </c>
      <c r="C20" s="181"/>
      <c r="D20" s="181"/>
      <c r="E20" s="181"/>
      <c r="H20" s="94" t="s">
        <v>310</v>
      </c>
      <c r="I20" s="181" t="s">
        <v>324</v>
      </c>
      <c r="J20" s="181"/>
      <c r="K20" s="181"/>
      <c r="L20" s="181"/>
    </row>
    <row r="21" spans="1:12" x14ac:dyDescent="0.25">
      <c r="A21" s="87" t="s">
        <v>311</v>
      </c>
      <c r="B21" s="181" t="s">
        <v>325</v>
      </c>
      <c r="C21" s="181"/>
      <c r="D21" s="181"/>
      <c r="E21" s="181"/>
      <c r="H21" s="94" t="s">
        <v>311</v>
      </c>
      <c r="I21" s="181" t="s">
        <v>325</v>
      </c>
      <c r="J21" s="181"/>
      <c r="K21" s="181"/>
      <c r="L21" s="181"/>
    </row>
    <row r="23" spans="1:12" x14ac:dyDescent="0.25">
      <c r="B23" s="104" t="str">
        <f>HYPERLINK("#'Factor List'!A1","Back to Factor List")</f>
        <v>Back to Factor List</v>
      </c>
    </row>
    <row r="24" spans="1:12" x14ac:dyDescent="0.25">
      <c r="B24" s="104" t="s">
        <v>13</v>
      </c>
    </row>
    <row r="26" spans="1:12" ht="26" x14ac:dyDescent="0.25">
      <c r="A26" s="108" t="s">
        <v>957</v>
      </c>
      <c r="B26" s="108" t="s">
        <v>962</v>
      </c>
      <c r="C26" s="108" t="s">
        <v>963</v>
      </c>
      <c r="D26" s="108" t="s">
        <v>964</v>
      </c>
      <c r="E26" s="108" t="s">
        <v>965</v>
      </c>
      <c r="H26" s="108" t="s">
        <v>957</v>
      </c>
      <c r="I26" s="108" t="s">
        <v>966</v>
      </c>
      <c r="J26" s="108" t="s">
        <v>967</v>
      </c>
      <c r="K26" s="108" t="s">
        <v>968</v>
      </c>
      <c r="L26" s="108" t="s">
        <v>969</v>
      </c>
    </row>
    <row r="27" spans="1:12" x14ac:dyDescent="0.25">
      <c r="A27" s="109">
        <v>0</v>
      </c>
      <c r="B27" s="126">
        <v>1</v>
      </c>
      <c r="C27" s="126">
        <v>1</v>
      </c>
      <c r="D27" s="126">
        <v>1</v>
      </c>
      <c r="E27" s="126">
        <v>1</v>
      </c>
      <c r="H27" s="109">
        <v>0</v>
      </c>
      <c r="I27" s="126">
        <v>1</v>
      </c>
      <c r="J27" s="126">
        <v>1</v>
      </c>
      <c r="K27" s="126">
        <v>1</v>
      </c>
      <c r="L27" s="126">
        <v>1</v>
      </c>
    </row>
    <row r="28" spans="1:12" x14ac:dyDescent="0.25">
      <c r="A28" s="109">
        <v>1</v>
      </c>
      <c r="B28" s="126">
        <v>0.95399999999999996</v>
      </c>
      <c r="C28" s="126">
        <v>0.98299999999999998</v>
      </c>
      <c r="D28" s="126">
        <v>0.95399999999999996</v>
      </c>
      <c r="E28" s="126">
        <v>0.98299999999999998</v>
      </c>
      <c r="H28" s="109">
        <v>1</v>
      </c>
      <c r="I28" s="126">
        <v>0.94699999999999995</v>
      </c>
      <c r="J28" s="126">
        <v>0.98299999999999998</v>
      </c>
      <c r="K28" s="126">
        <v>0.94699999999999995</v>
      </c>
      <c r="L28" s="126">
        <v>0.98299999999999998</v>
      </c>
    </row>
    <row r="29" spans="1:12" x14ac:dyDescent="0.25">
      <c r="A29" s="109">
        <v>2</v>
      </c>
      <c r="B29" s="126">
        <v>0.91200000000000003</v>
      </c>
      <c r="C29" s="126">
        <v>0.96699999999999997</v>
      </c>
      <c r="D29" s="126">
        <v>0.91200000000000003</v>
      </c>
      <c r="E29" s="126">
        <v>0.96699999999999997</v>
      </c>
      <c r="H29" s="109">
        <v>2</v>
      </c>
      <c r="I29" s="126">
        <v>0.89900000000000002</v>
      </c>
      <c r="J29" s="126">
        <v>0.96699999999999997</v>
      </c>
      <c r="K29" s="126">
        <v>0.89900000000000002</v>
      </c>
      <c r="L29" s="126">
        <v>0.96699999999999997</v>
      </c>
    </row>
    <row r="30" spans="1:12" x14ac:dyDescent="0.25">
      <c r="A30" s="109">
        <v>3</v>
      </c>
      <c r="B30" s="126">
        <v>0.872</v>
      </c>
      <c r="C30" s="126">
        <v>0.95099999999999996</v>
      </c>
      <c r="D30" s="126">
        <v>0.872</v>
      </c>
      <c r="E30" s="126">
        <v>0.95099999999999996</v>
      </c>
      <c r="H30" s="109">
        <v>3</v>
      </c>
      <c r="I30" s="126">
        <v>0.85499999999999998</v>
      </c>
      <c r="J30" s="126">
        <v>0.95099999999999996</v>
      </c>
      <c r="K30" s="126">
        <v>0.85499999999999998</v>
      </c>
      <c r="L30" s="126">
        <v>0.95099999999999996</v>
      </c>
    </row>
    <row r="31" spans="1:12" x14ac:dyDescent="0.25">
      <c r="A31" s="109">
        <v>4</v>
      </c>
      <c r="B31" s="126">
        <v>0.83599999999999997</v>
      </c>
      <c r="C31" s="126">
        <v>0.93500000000000005</v>
      </c>
      <c r="D31" s="126">
        <v>0.83599999999999997</v>
      </c>
      <c r="E31" s="126">
        <v>0.93500000000000005</v>
      </c>
      <c r="H31" s="109">
        <v>4</v>
      </c>
      <c r="I31" s="126">
        <v>0.81399999999999995</v>
      </c>
      <c r="J31" s="126">
        <v>0.93500000000000005</v>
      </c>
      <c r="K31" s="126">
        <v>0.81399999999999995</v>
      </c>
      <c r="L31" s="126">
        <v>0.93500000000000005</v>
      </c>
    </row>
    <row r="32" spans="1:12" x14ac:dyDescent="0.25">
      <c r="A32" s="109">
        <v>5</v>
      </c>
      <c r="B32" s="126">
        <v>0.80200000000000005</v>
      </c>
      <c r="C32" s="126">
        <v>0.91900000000000004</v>
      </c>
      <c r="D32" s="126">
        <v>0.80200000000000005</v>
      </c>
      <c r="E32" s="126">
        <v>0.91900000000000004</v>
      </c>
      <c r="H32" s="109">
        <v>5</v>
      </c>
      <c r="I32" s="126">
        <v>0.77600000000000002</v>
      </c>
      <c r="J32" s="126">
        <v>0.91900000000000004</v>
      </c>
      <c r="K32" s="126">
        <v>0.77600000000000002</v>
      </c>
      <c r="L32" s="126">
        <v>0.91900000000000004</v>
      </c>
    </row>
    <row r="33" spans="1:12" x14ac:dyDescent="0.25">
      <c r="A33" s="109">
        <v>6</v>
      </c>
      <c r="B33" s="126">
        <v>0.77</v>
      </c>
      <c r="C33" s="126">
        <v>0.90400000000000003</v>
      </c>
      <c r="D33" s="126">
        <v>0.77</v>
      </c>
      <c r="E33" s="126">
        <v>0.90400000000000003</v>
      </c>
      <c r="H33" s="109">
        <v>6</v>
      </c>
      <c r="I33" s="126">
        <v>0.74099999999999999</v>
      </c>
      <c r="J33" s="126">
        <v>0.90400000000000003</v>
      </c>
      <c r="K33" s="126">
        <v>0.74099999999999999</v>
      </c>
      <c r="L33" s="126">
        <v>0.90400000000000003</v>
      </c>
    </row>
    <row r="34" spans="1:12" x14ac:dyDescent="0.25">
      <c r="A34" s="109">
        <v>7</v>
      </c>
      <c r="B34" s="126">
        <v>0.74</v>
      </c>
      <c r="C34" s="126">
        <v>0.88900000000000001</v>
      </c>
      <c r="D34" s="126">
        <v>0.74</v>
      </c>
      <c r="E34" s="126">
        <v>0.88900000000000001</v>
      </c>
      <c r="H34" s="109">
        <v>7</v>
      </c>
      <c r="I34" s="126">
        <v>0.70899999999999996</v>
      </c>
      <c r="J34" s="126">
        <v>0.88900000000000001</v>
      </c>
      <c r="K34" s="126">
        <v>0.70899999999999996</v>
      </c>
      <c r="L34" s="126">
        <v>0.88900000000000001</v>
      </c>
    </row>
    <row r="35" spans="1:12" x14ac:dyDescent="0.25">
      <c r="A35" s="109">
        <v>8</v>
      </c>
      <c r="B35" s="126">
        <v>0.71199999999999997</v>
      </c>
      <c r="C35" s="126">
        <v>0.874</v>
      </c>
      <c r="D35" s="126">
        <v>0.71199999999999997</v>
      </c>
      <c r="E35" s="126">
        <v>0.874</v>
      </c>
      <c r="H35" s="109">
        <v>8</v>
      </c>
      <c r="I35" s="126">
        <v>0.67900000000000005</v>
      </c>
      <c r="J35" s="126">
        <v>0.874</v>
      </c>
      <c r="K35" s="126">
        <v>0.67900000000000005</v>
      </c>
      <c r="L35" s="126">
        <v>0.874</v>
      </c>
    </row>
    <row r="36" spans="1:12" x14ac:dyDescent="0.25">
      <c r="A36" s="109">
        <v>9</v>
      </c>
      <c r="B36" s="126">
        <v>0.68600000000000005</v>
      </c>
      <c r="C36" s="126">
        <v>0.85899999999999999</v>
      </c>
      <c r="D36" s="126">
        <v>0.68600000000000005</v>
      </c>
      <c r="E36" s="126">
        <v>0.85899999999999999</v>
      </c>
      <c r="H36" s="109">
        <v>9</v>
      </c>
      <c r="I36" s="126">
        <v>0.65100000000000002</v>
      </c>
      <c r="J36" s="126">
        <v>0.85899999999999999</v>
      </c>
      <c r="K36" s="126">
        <v>0.65100000000000002</v>
      </c>
      <c r="L36" s="126">
        <v>0.85899999999999999</v>
      </c>
    </row>
    <row r="37" spans="1:12" x14ac:dyDescent="0.25">
      <c r="A37" s="109">
        <v>10</v>
      </c>
      <c r="B37" s="126">
        <v>0.66100000000000003</v>
      </c>
      <c r="C37" s="126">
        <v>0.84499999999999997</v>
      </c>
      <c r="D37" s="126">
        <v>0.66100000000000003</v>
      </c>
      <c r="E37" s="126">
        <v>0.84499999999999997</v>
      </c>
      <c r="H37" s="109">
        <v>10</v>
      </c>
      <c r="I37" s="126">
        <v>0.625</v>
      </c>
      <c r="J37" s="126">
        <v>0.84499999999999997</v>
      </c>
      <c r="K37" s="126">
        <v>0.625</v>
      </c>
      <c r="L37" s="126">
        <v>0.84499999999999997</v>
      </c>
    </row>
    <row r="38" spans="1:12" x14ac:dyDescent="0.25">
      <c r="A38" s="109">
        <v>11</v>
      </c>
      <c r="B38" s="126">
        <v>0.63800000000000001</v>
      </c>
      <c r="C38" s="126">
        <v>0.83099999999999996</v>
      </c>
      <c r="D38" s="126">
        <v>0.63800000000000001</v>
      </c>
      <c r="E38" s="126">
        <v>0.83099999999999996</v>
      </c>
      <c r="H38" s="109">
        <v>11</v>
      </c>
      <c r="I38" s="126">
        <v>0.60099999999999998</v>
      </c>
      <c r="J38" s="126">
        <v>0.83099999999999996</v>
      </c>
      <c r="K38" s="126">
        <v>0.60099999999999998</v>
      </c>
      <c r="L38" s="126">
        <v>0.83099999999999996</v>
      </c>
    </row>
    <row r="39" spans="1:12" x14ac:dyDescent="0.25">
      <c r="A39" s="109">
        <v>12</v>
      </c>
      <c r="B39" s="126">
        <v>0.61599999999999999</v>
      </c>
      <c r="C39" s="126">
        <v>0.81699999999999995</v>
      </c>
      <c r="D39" s="126">
        <v>0.61599999999999999</v>
      </c>
      <c r="E39" s="126">
        <v>0.81699999999999995</v>
      </c>
      <c r="H39" s="109">
        <v>12</v>
      </c>
      <c r="I39" s="126">
        <v>0.57799999999999996</v>
      </c>
      <c r="J39" s="126">
        <v>0.81699999999999995</v>
      </c>
      <c r="K39" s="126">
        <v>0.57799999999999996</v>
      </c>
      <c r="L39" s="126">
        <v>0.81699999999999995</v>
      </c>
    </row>
    <row r="40" spans="1:12" x14ac:dyDescent="0.25">
      <c r="A40" s="109">
        <v>13</v>
      </c>
      <c r="B40" s="126">
        <v>0.59499999999999997</v>
      </c>
      <c r="C40" s="126">
        <v>0.80300000000000005</v>
      </c>
      <c r="D40" s="126">
        <v>0.59499999999999997</v>
      </c>
      <c r="E40" s="126">
        <v>0.80300000000000005</v>
      </c>
      <c r="H40" s="109">
        <v>13</v>
      </c>
      <c r="I40" s="126">
        <v>0.55700000000000005</v>
      </c>
      <c r="J40" s="126">
        <v>0.80300000000000005</v>
      </c>
      <c r="K40" s="126">
        <v>0.55700000000000005</v>
      </c>
      <c r="L40" s="126">
        <v>0.80300000000000005</v>
      </c>
    </row>
    <row r="41" spans="1:12" x14ac:dyDescent="0.25">
      <c r="A41" s="109">
        <v>14</v>
      </c>
      <c r="B41" s="126">
        <v>0.57499999999999996</v>
      </c>
      <c r="C41" s="126">
        <v>0.79</v>
      </c>
      <c r="D41" s="126">
        <v>0.57499999999999996</v>
      </c>
      <c r="E41" s="126">
        <v>0.79</v>
      </c>
      <c r="H41" s="109">
        <v>14</v>
      </c>
      <c r="I41" s="126">
        <v>0.53600000000000003</v>
      </c>
      <c r="J41" s="126">
        <v>0.79</v>
      </c>
      <c r="K41" s="126">
        <v>0.53600000000000003</v>
      </c>
      <c r="L41" s="126">
        <v>0.79</v>
      </c>
    </row>
    <row r="42" spans="1:12" x14ac:dyDescent="0.25">
      <c r="A42" s="109">
        <v>15</v>
      </c>
      <c r="B42" s="126">
        <v>0.55700000000000005</v>
      </c>
      <c r="C42" s="126">
        <v>0.77700000000000002</v>
      </c>
      <c r="D42" s="126">
        <v>0.55700000000000005</v>
      </c>
      <c r="E42" s="126">
        <v>0.77700000000000002</v>
      </c>
      <c r="H42" s="109">
        <v>15</v>
      </c>
      <c r="I42" s="126">
        <v>0.51700000000000002</v>
      </c>
      <c r="J42" s="126">
        <v>0.77700000000000002</v>
      </c>
      <c r="K42" s="126">
        <v>0.51700000000000002</v>
      </c>
      <c r="L42" s="126">
        <v>0.77700000000000002</v>
      </c>
    </row>
    <row r="43" spans="1:12" x14ac:dyDescent="0.25">
      <c r="A43" s="109">
        <v>16</v>
      </c>
      <c r="B43" s="126">
        <v>0.53900000000000003</v>
      </c>
      <c r="C43" s="126">
        <v>0.76400000000000001</v>
      </c>
      <c r="D43" s="126">
        <v>0.53900000000000003</v>
      </c>
      <c r="E43" s="126">
        <v>0.76400000000000001</v>
      </c>
      <c r="H43" s="109">
        <v>16</v>
      </c>
      <c r="I43" s="126">
        <v>0.5</v>
      </c>
      <c r="J43" s="126">
        <v>0.76400000000000001</v>
      </c>
      <c r="K43" s="126">
        <v>0.5</v>
      </c>
      <c r="L43" s="126">
        <v>0.76400000000000001</v>
      </c>
    </row>
    <row r="44" spans="1:12" x14ac:dyDescent="0.25">
      <c r="A44" s="109">
        <v>17</v>
      </c>
      <c r="B44" s="126">
        <v>0.52200000000000002</v>
      </c>
      <c r="C44" s="126">
        <v>0.751</v>
      </c>
      <c r="D44" s="126">
        <v>0.52200000000000002</v>
      </c>
      <c r="E44" s="126">
        <v>0.751</v>
      </c>
      <c r="H44" s="109">
        <v>17</v>
      </c>
      <c r="I44" s="126">
        <v>0.48299999999999998</v>
      </c>
      <c r="J44" s="126">
        <v>0.751</v>
      </c>
      <c r="K44" s="126">
        <v>0.48299999999999998</v>
      </c>
      <c r="L44" s="126">
        <v>0.751</v>
      </c>
    </row>
    <row r="45" spans="1:12" x14ac:dyDescent="0.25">
      <c r="A45" s="109">
        <v>18</v>
      </c>
      <c r="B45" s="126">
        <v>0.50600000000000001</v>
      </c>
      <c r="C45" s="126">
        <v>0.73799999999999999</v>
      </c>
      <c r="D45" s="126">
        <v>0.50600000000000001</v>
      </c>
      <c r="E45" s="126">
        <v>0.73799999999999999</v>
      </c>
      <c r="H45" s="109">
        <v>18</v>
      </c>
      <c r="I45" s="126">
        <v>0.46700000000000003</v>
      </c>
      <c r="J45" s="126">
        <v>0.73799999999999999</v>
      </c>
      <c r="K45" s="126">
        <v>0.46700000000000003</v>
      </c>
      <c r="L45" s="126">
        <v>0.73799999999999999</v>
      </c>
    </row>
    <row r="46" spans="1:12" x14ac:dyDescent="0.25">
      <c r="A46" s="109">
        <v>19</v>
      </c>
      <c r="B46" s="126">
        <v>0.49099999999999999</v>
      </c>
      <c r="C46" s="126">
        <v>0.72599999999999998</v>
      </c>
      <c r="D46" s="126">
        <v>0.49099999999999999</v>
      </c>
      <c r="E46" s="126">
        <v>0.72599999999999998</v>
      </c>
      <c r="H46" s="109">
        <v>19</v>
      </c>
      <c r="I46" s="126">
        <v>0.45200000000000001</v>
      </c>
      <c r="J46" s="126">
        <v>0.72599999999999998</v>
      </c>
      <c r="K46" s="126">
        <v>0.45200000000000001</v>
      </c>
      <c r="L46" s="126">
        <v>0.72599999999999998</v>
      </c>
    </row>
    <row r="47" spans="1:12" x14ac:dyDescent="0.25">
      <c r="A47" s="109">
        <v>20</v>
      </c>
      <c r="B47" s="126">
        <v>0.47599999999999998</v>
      </c>
      <c r="C47" s="126">
        <v>0.71399999999999997</v>
      </c>
      <c r="D47" s="126">
        <v>0.47599999999999998</v>
      </c>
      <c r="E47" s="126">
        <v>0.71399999999999997</v>
      </c>
      <c r="H47" s="109">
        <v>20</v>
      </c>
      <c r="I47" s="126">
        <v>0.437</v>
      </c>
      <c r="J47" s="126">
        <v>0.71399999999999997</v>
      </c>
      <c r="K47" s="126">
        <v>0.437</v>
      </c>
      <c r="L47" s="126">
        <v>0.71399999999999997</v>
      </c>
    </row>
    <row r="48" spans="1:12" x14ac:dyDescent="0.25">
      <c r="A48" s="109">
        <v>21</v>
      </c>
      <c r="B48" s="126">
        <v>0.46300000000000002</v>
      </c>
      <c r="C48" s="126">
        <v>0.70199999999999996</v>
      </c>
      <c r="D48" s="126">
        <v>0.46300000000000002</v>
      </c>
      <c r="E48" s="126">
        <v>0.70199999999999996</v>
      </c>
      <c r="H48" s="109">
        <v>21</v>
      </c>
      <c r="I48" s="126">
        <v>0.42399999999999999</v>
      </c>
      <c r="J48" s="126">
        <v>0.70199999999999996</v>
      </c>
      <c r="K48" s="126">
        <v>0.42399999999999999</v>
      </c>
      <c r="L48" s="126">
        <v>0.70199999999999996</v>
      </c>
    </row>
    <row r="49" spans="1:12" x14ac:dyDescent="0.25">
      <c r="A49" s="109">
        <v>22</v>
      </c>
      <c r="B49" s="126">
        <v>0.44900000000000001</v>
      </c>
      <c r="C49" s="126">
        <v>0.69</v>
      </c>
      <c r="D49" s="126">
        <v>0.44900000000000001</v>
      </c>
      <c r="E49" s="126">
        <v>0.69</v>
      </c>
      <c r="H49" s="109">
        <v>22</v>
      </c>
      <c r="I49" s="126">
        <v>0.41099999999999998</v>
      </c>
      <c r="J49" s="126">
        <v>0.69</v>
      </c>
      <c r="K49" s="126">
        <v>0.41099999999999998</v>
      </c>
      <c r="L49" s="126">
        <v>0.69</v>
      </c>
    </row>
    <row r="50" spans="1:12" x14ac:dyDescent="0.25">
      <c r="A50" s="109">
        <v>23</v>
      </c>
      <c r="B50" s="126">
        <v>0.437</v>
      </c>
      <c r="C50" s="126">
        <v>0.67900000000000005</v>
      </c>
      <c r="D50" s="126">
        <v>0.437</v>
      </c>
      <c r="E50" s="126">
        <v>0.67900000000000005</v>
      </c>
      <c r="H50" s="109">
        <v>23</v>
      </c>
      <c r="I50" s="126">
        <v>0.39800000000000002</v>
      </c>
      <c r="J50" s="126">
        <v>0.67900000000000005</v>
      </c>
      <c r="K50" s="126">
        <v>0.39800000000000002</v>
      </c>
      <c r="L50" s="126">
        <v>0.67900000000000005</v>
      </c>
    </row>
    <row r="51" spans="1:12" x14ac:dyDescent="0.25">
      <c r="A51" s="109">
        <v>24</v>
      </c>
      <c r="B51" s="126">
        <v>0.42499999999999999</v>
      </c>
      <c r="C51" s="126">
        <v>0.66700000000000004</v>
      </c>
      <c r="D51" s="126">
        <v>0.42499999999999999</v>
      </c>
      <c r="E51" s="126">
        <v>0.66700000000000004</v>
      </c>
      <c r="H51" s="109">
        <v>24</v>
      </c>
      <c r="I51" s="126">
        <v>0.38700000000000001</v>
      </c>
      <c r="J51" s="126">
        <v>0.66700000000000004</v>
      </c>
      <c r="K51" s="126">
        <v>0.38700000000000001</v>
      </c>
      <c r="L51" s="126">
        <v>0.66700000000000004</v>
      </c>
    </row>
    <row r="52" spans="1:12" x14ac:dyDescent="0.25">
      <c r="A52" s="109">
        <v>25</v>
      </c>
      <c r="B52" s="126">
        <v>0.41299999999999998</v>
      </c>
      <c r="C52" s="126">
        <v>0.65600000000000003</v>
      </c>
      <c r="D52" s="126">
        <v>0.41299999999999998</v>
      </c>
      <c r="E52" s="126">
        <v>0.65600000000000003</v>
      </c>
      <c r="H52" s="109">
        <v>25</v>
      </c>
      <c r="I52" s="126">
        <v>0.375</v>
      </c>
      <c r="J52" s="126">
        <v>0.65600000000000003</v>
      </c>
      <c r="K52" s="126">
        <v>0.375</v>
      </c>
      <c r="L52" s="126">
        <v>0.65600000000000003</v>
      </c>
    </row>
    <row r="53" spans="1:12" x14ac:dyDescent="0.25">
      <c r="A53" s="109">
        <v>26</v>
      </c>
      <c r="B53" s="126">
        <v>0.40200000000000002</v>
      </c>
      <c r="C53" s="126">
        <v>0.64500000000000002</v>
      </c>
      <c r="D53" s="126">
        <v>0.40200000000000002</v>
      </c>
      <c r="E53" s="126">
        <v>0.64500000000000002</v>
      </c>
      <c r="H53" s="109">
        <v>26</v>
      </c>
      <c r="I53" s="126">
        <v>0.36499999999999999</v>
      </c>
      <c r="J53" s="126">
        <v>0.64500000000000002</v>
      </c>
      <c r="K53" s="126">
        <v>0.36499999999999999</v>
      </c>
      <c r="L53" s="126">
        <v>0.64500000000000002</v>
      </c>
    </row>
    <row r="54" spans="1:12" x14ac:dyDescent="0.25">
      <c r="A54" s="109">
        <v>27</v>
      </c>
      <c r="B54" s="126">
        <v>0.39100000000000001</v>
      </c>
      <c r="C54" s="126">
        <v>0.63400000000000001</v>
      </c>
      <c r="D54" s="126">
        <v>0.39100000000000001</v>
      </c>
      <c r="E54" s="126">
        <v>0.63400000000000001</v>
      </c>
      <c r="H54" s="109">
        <v>27</v>
      </c>
      <c r="I54" s="126">
        <v>0.35499999999999998</v>
      </c>
      <c r="J54" s="126">
        <v>0.63400000000000001</v>
      </c>
      <c r="K54" s="126">
        <v>0.35499999999999998</v>
      </c>
      <c r="L54" s="126">
        <v>0.63400000000000001</v>
      </c>
    </row>
    <row r="55" spans="1:12" x14ac:dyDescent="0.25">
      <c r="A55" s="109">
        <v>28</v>
      </c>
      <c r="B55" s="126">
        <v>0.38100000000000001</v>
      </c>
      <c r="C55" s="126">
        <v>0.624</v>
      </c>
      <c r="D55" s="126">
        <v>0.38100000000000001</v>
      </c>
      <c r="E55" s="126">
        <v>0.624</v>
      </c>
      <c r="H55" s="109">
        <v>28</v>
      </c>
      <c r="I55" s="126">
        <v>0.34499999999999997</v>
      </c>
      <c r="J55" s="126">
        <v>0.624</v>
      </c>
      <c r="K55" s="126">
        <v>0.34499999999999997</v>
      </c>
      <c r="L55" s="126">
        <v>0.624</v>
      </c>
    </row>
    <row r="56" spans="1:12" x14ac:dyDescent="0.25">
      <c r="A56" s="109">
        <v>29</v>
      </c>
      <c r="B56" s="126">
        <v>0.371</v>
      </c>
      <c r="C56" s="126">
        <v>0.61299999999999999</v>
      </c>
      <c r="D56" s="126">
        <v>0.371</v>
      </c>
      <c r="E56" s="126">
        <v>0.61299999999999999</v>
      </c>
      <c r="H56" s="109">
        <v>29</v>
      </c>
      <c r="I56" s="126">
        <v>0.33500000000000002</v>
      </c>
      <c r="J56" s="126">
        <v>0.61299999999999999</v>
      </c>
      <c r="K56" s="126">
        <v>0.33500000000000002</v>
      </c>
      <c r="L56" s="126">
        <v>0.61299999999999999</v>
      </c>
    </row>
    <row r="57" spans="1:12" x14ac:dyDescent="0.25">
      <c r="A57" s="109">
        <v>30</v>
      </c>
      <c r="B57" s="126">
        <v>0.36199999999999999</v>
      </c>
      <c r="C57" s="126">
        <v>0.60299999999999998</v>
      </c>
      <c r="D57" s="126">
        <v>0.36199999999999999</v>
      </c>
      <c r="E57" s="126">
        <v>0.60299999999999998</v>
      </c>
      <c r="H57" s="109">
        <v>30</v>
      </c>
      <c r="I57" s="126">
        <v>0.32600000000000001</v>
      </c>
      <c r="J57" s="126">
        <v>0.60299999999999998</v>
      </c>
      <c r="K57" s="126">
        <v>0.32600000000000001</v>
      </c>
      <c r="L57" s="126">
        <v>0.60299999999999998</v>
      </c>
    </row>
    <row r="58" spans="1:12" x14ac:dyDescent="0.25">
      <c r="A58" s="109">
        <v>31</v>
      </c>
      <c r="B58" s="126">
        <v>0.35299999999999998</v>
      </c>
      <c r="C58" s="126">
        <v>0.59299999999999997</v>
      </c>
      <c r="D58" s="126">
        <v>0.35299999999999998</v>
      </c>
      <c r="E58" s="126">
        <v>0.59299999999999997</v>
      </c>
      <c r="H58" s="109">
        <v>31</v>
      </c>
      <c r="I58" s="126">
        <v>0.318</v>
      </c>
      <c r="J58" s="126">
        <v>0.59299999999999997</v>
      </c>
      <c r="K58" s="126">
        <v>0.318</v>
      </c>
      <c r="L58" s="126">
        <v>0.59299999999999997</v>
      </c>
    </row>
    <row r="59" spans="1:12" x14ac:dyDescent="0.25">
      <c r="A59" s="109">
        <v>32</v>
      </c>
      <c r="B59" s="126">
        <v>0.34399999999999997</v>
      </c>
      <c r="C59" s="126">
        <v>0.58299999999999996</v>
      </c>
      <c r="D59" s="126">
        <v>0.34399999999999997</v>
      </c>
      <c r="E59" s="126">
        <v>0.58299999999999996</v>
      </c>
      <c r="H59" s="109">
        <v>32</v>
      </c>
      <c r="I59" s="126">
        <v>0.31</v>
      </c>
      <c r="J59" s="126">
        <v>0.58299999999999996</v>
      </c>
      <c r="K59" s="126">
        <v>0.31</v>
      </c>
      <c r="L59" s="126">
        <v>0.58299999999999996</v>
      </c>
    </row>
    <row r="60" spans="1:12" x14ac:dyDescent="0.25">
      <c r="A60" s="109">
        <v>33</v>
      </c>
      <c r="B60" s="126">
        <v>0.33500000000000002</v>
      </c>
      <c r="C60" s="126">
        <v>0.57299999999999995</v>
      </c>
      <c r="D60" s="126">
        <v>0.33500000000000002</v>
      </c>
      <c r="E60" s="126">
        <v>0.57299999999999995</v>
      </c>
      <c r="H60" s="109">
        <v>33</v>
      </c>
      <c r="I60" s="126">
        <v>0.30199999999999999</v>
      </c>
      <c r="J60" s="126">
        <v>0.57299999999999995</v>
      </c>
      <c r="K60" s="126">
        <v>0.30199999999999999</v>
      </c>
      <c r="L60" s="126">
        <v>0.57299999999999995</v>
      </c>
    </row>
    <row r="61" spans="1:12" x14ac:dyDescent="0.25">
      <c r="A61" s="109">
        <v>34</v>
      </c>
      <c r="B61" s="126">
        <v>0.32700000000000001</v>
      </c>
      <c r="C61" s="126">
        <v>0.56399999999999995</v>
      </c>
      <c r="D61" s="126">
        <v>0.32700000000000001</v>
      </c>
      <c r="E61" s="126">
        <v>0.56399999999999995</v>
      </c>
      <c r="H61" s="109">
        <v>34</v>
      </c>
      <c r="I61" s="126">
        <v>0.29399999999999998</v>
      </c>
      <c r="J61" s="126">
        <v>0.56399999999999995</v>
      </c>
      <c r="K61" s="126">
        <v>0.29399999999999998</v>
      </c>
      <c r="L61" s="126">
        <v>0.56399999999999995</v>
      </c>
    </row>
    <row r="62" spans="1:12" x14ac:dyDescent="0.25">
      <c r="A62" s="109">
        <v>35</v>
      </c>
      <c r="B62" s="126">
        <v>0.31900000000000001</v>
      </c>
      <c r="C62" s="126">
        <v>0.55400000000000005</v>
      </c>
      <c r="D62" s="126">
        <v>0.31900000000000001</v>
      </c>
      <c r="E62" s="126">
        <v>0.55400000000000005</v>
      </c>
      <c r="H62" s="109">
        <v>35</v>
      </c>
      <c r="I62" s="126">
        <v>0.28699999999999998</v>
      </c>
      <c r="J62" s="126">
        <v>0.55400000000000005</v>
      </c>
      <c r="K62" s="126">
        <v>0.28699999999999998</v>
      </c>
      <c r="L62" s="126">
        <v>0.55400000000000005</v>
      </c>
    </row>
    <row r="63" spans="1:12" x14ac:dyDescent="0.25">
      <c r="A63" s="109">
        <v>36</v>
      </c>
      <c r="B63" s="126">
        <v>0.312</v>
      </c>
      <c r="C63" s="126">
        <v>0.54500000000000004</v>
      </c>
      <c r="D63" s="126">
        <v>0.312</v>
      </c>
      <c r="E63" s="126">
        <v>0.54500000000000004</v>
      </c>
      <c r="H63" s="109">
        <v>36</v>
      </c>
      <c r="I63" s="126">
        <v>0.28000000000000003</v>
      </c>
      <c r="J63" s="126">
        <v>0.54500000000000004</v>
      </c>
      <c r="K63" s="126">
        <v>0.28000000000000003</v>
      </c>
      <c r="L63" s="126">
        <v>0.54500000000000004</v>
      </c>
    </row>
    <row r="64" spans="1:12" x14ac:dyDescent="0.25">
      <c r="A64" s="109">
        <v>37</v>
      </c>
      <c r="B64" s="126">
        <v>0.30399999999999999</v>
      </c>
      <c r="C64" s="126">
        <v>0.53600000000000003</v>
      </c>
      <c r="D64" s="126">
        <v>0.30399999999999999</v>
      </c>
      <c r="E64" s="126">
        <v>0.53600000000000003</v>
      </c>
      <c r="H64" s="109">
        <v>37</v>
      </c>
      <c r="I64" s="126">
        <v>0.27300000000000002</v>
      </c>
      <c r="J64" s="126">
        <v>0.53600000000000003</v>
      </c>
      <c r="K64" s="126">
        <v>0.27300000000000002</v>
      </c>
      <c r="L64" s="126">
        <v>0.53600000000000003</v>
      </c>
    </row>
    <row r="65" spans="1:12" x14ac:dyDescent="0.25">
      <c r="A65" s="109">
        <v>38</v>
      </c>
      <c r="B65" s="126">
        <v>0.29699999999999999</v>
      </c>
      <c r="C65" s="126">
        <v>0.52700000000000002</v>
      </c>
      <c r="D65" s="126">
        <v>0.29699999999999999</v>
      </c>
      <c r="E65" s="126">
        <v>0.52700000000000002</v>
      </c>
      <c r="H65" s="109">
        <v>38</v>
      </c>
      <c r="I65" s="126">
        <v>0.26600000000000001</v>
      </c>
      <c r="J65" s="126">
        <v>0.52700000000000002</v>
      </c>
      <c r="K65" s="126">
        <v>0.26600000000000001</v>
      </c>
      <c r="L65" s="126">
        <v>0.52700000000000002</v>
      </c>
    </row>
    <row r="66" spans="1:12" x14ac:dyDescent="0.25">
      <c r="A66" s="109">
        <v>39</v>
      </c>
      <c r="B66" s="126">
        <v>0.28999999999999998</v>
      </c>
      <c r="C66" s="126">
        <v>0.51800000000000002</v>
      </c>
      <c r="D66" s="126">
        <v>0.28999999999999998</v>
      </c>
      <c r="E66" s="126">
        <v>0.51800000000000002</v>
      </c>
      <c r="H66" s="109">
        <v>39</v>
      </c>
      <c r="I66" s="126">
        <v>0.26</v>
      </c>
      <c r="J66" s="126">
        <v>0.51800000000000002</v>
      </c>
      <c r="K66" s="126">
        <v>0.26</v>
      </c>
      <c r="L66" s="126">
        <v>0.51800000000000002</v>
      </c>
    </row>
    <row r="67" spans="1:12" x14ac:dyDescent="0.25">
      <c r="A67" s="109">
        <v>40</v>
      </c>
      <c r="B67" s="126">
        <v>0.28399999999999997</v>
      </c>
      <c r="C67" s="126">
        <v>0.51</v>
      </c>
      <c r="D67" s="126">
        <v>0.28399999999999997</v>
      </c>
      <c r="E67" s="126">
        <v>0.51</v>
      </c>
      <c r="H67" s="109">
        <v>40</v>
      </c>
      <c r="I67" s="126">
        <v>0.254</v>
      </c>
      <c r="J67" s="126">
        <v>0.51</v>
      </c>
      <c r="K67" s="126">
        <v>0.254</v>
      </c>
      <c r="L67" s="126">
        <v>0.51</v>
      </c>
    </row>
    <row r="68" spans="1:12" x14ac:dyDescent="0.25">
      <c r="A68" s="109">
        <v>41</v>
      </c>
      <c r="B68" s="126">
        <v>0.27700000000000002</v>
      </c>
      <c r="C68" s="126">
        <v>0.501</v>
      </c>
      <c r="D68" s="126">
        <v>0.27700000000000002</v>
      </c>
      <c r="E68" s="126">
        <v>0.501</v>
      </c>
      <c r="H68" s="109">
        <v>41</v>
      </c>
      <c r="I68" s="126">
        <v>0.248</v>
      </c>
      <c r="J68" s="126">
        <v>0.501</v>
      </c>
      <c r="K68" s="126">
        <v>0.248</v>
      </c>
      <c r="L68" s="126">
        <v>0.501</v>
      </c>
    </row>
    <row r="69" spans="1:12" x14ac:dyDescent="0.25">
      <c r="A69" s="109">
        <v>42</v>
      </c>
      <c r="B69" s="126">
        <v>0.27100000000000002</v>
      </c>
      <c r="C69" s="126">
        <v>0.49299999999999999</v>
      </c>
      <c r="D69" s="126">
        <v>0.27100000000000002</v>
      </c>
      <c r="E69" s="126">
        <v>0.49299999999999999</v>
      </c>
      <c r="H69" s="109">
        <v>42</v>
      </c>
      <c r="I69" s="126">
        <v>0.24199999999999999</v>
      </c>
      <c r="J69" s="126">
        <v>0.49299999999999999</v>
      </c>
      <c r="K69" s="126">
        <v>0.24199999999999999</v>
      </c>
      <c r="L69" s="126">
        <v>0.49299999999999999</v>
      </c>
    </row>
    <row r="70" spans="1:12" x14ac:dyDescent="0.25">
      <c r="A70" s="109">
        <v>43</v>
      </c>
      <c r="B70" s="126">
        <v>0.26500000000000001</v>
      </c>
      <c r="C70" s="126">
        <v>0.48399999999999999</v>
      </c>
      <c r="D70" s="126">
        <v>0.26500000000000001</v>
      </c>
      <c r="E70" s="126">
        <v>0.48399999999999999</v>
      </c>
      <c r="H70" s="109">
        <v>43</v>
      </c>
      <c r="I70" s="126">
        <v>0.23699999999999999</v>
      </c>
      <c r="J70" s="126">
        <v>0.48399999999999999</v>
      </c>
      <c r="K70" s="126">
        <v>0.23699999999999999</v>
      </c>
      <c r="L70" s="126">
        <v>0.48399999999999999</v>
      </c>
    </row>
    <row r="71" spans="1:12" x14ac:dyDescent="0.25">
      <c r="A71" s="109">
        <v>44</v>
      </c>
      <c r="B71" s="126">
        <v>0.25900000000000001</v>
      </c>
      <c r="C71" s="126">
        <v>0.47599999999999998</v>
      </c>
      <c r="D71" s="126">
        <v>0.25900000000000001</v>
      </c>
      <c r="E71" s="126">
        <v>0.47599999999999998</v>
      </c>
      <c r="H71" s="109">
        <v>44</v>
      </c>
      <c r="I71" s="126">
        <v>0.23100000000000001</v>
      </c>
      <c r="J71" s="126">
        <v>0.47599999999999998</v>
      </c>
      <c r="K71" s="126">
        <v>0.23100000000000001</v>
      </c>
      <c r="L71" s="126">
        <v>0.47599999999999998</v>
      </c>
    </row>
    <row r="72" spans="1:12" x14ac:dyDescent="0.25">
      <c r="A72" s="130">
        <v>45</v>
      </c>
      <c r="B72" s="131">
        <v>0.253</v>
      </c>
      <c r="C72" s="131">
        <v>0.46800000000000003</v>
      </c>
      <c r="D72" s="131">
        <v>0.253</v>
      </c>
      <c r="E72" s="131">
        <v>0.46800000000000003</v>
      </c>
      <c r="H72" s="109">
        <v>45</v>
      </c>
      <c r="I72" s="126">
        <v>0.22600000000000001</v>
      </c>
      <c r="J72" s="126">
        <v>0.46800000000000003</v>
      </c>
      <c r="K72" s="126">
        <v>0.22600000000000001</v>
      </c>
      <c r="L72" s="126">
        <v>0.46800000000000003</v>
      </c>
    </row>
  </sheetData>
  <conditionalFormatting sqref="A6:A21">
    <cfRule type="expression" dxfId="451" priority="5" stopIfTrue="1">
      <formula>MOD(ROW(),2)=0</formula>
    </cfRule>
    <cfRule type="expression" dxfId="450" priority="6" stopIfTrue="1">
      <formula>MOD(ROW(),2)&lt;&gt;0</formula>
    </cfRule>
  </conditionalFormatting>
  <conditionalFormatting sqref="A26:A72">
    <cfRule type="expression" dxfId="449" priority="17" stopIfTrue="1">
      <formula>MOD(ROW(),2)=0</formula>
    </cfRule>
    <cfRule type="expression" dxfId="448" priority="18" stopIfTrue="1">
      <formula>MOD(ROW(),2)&lt;&gt;0</formula>
    </cfRule>
  </conditionalFormatting>
  <conditionalFormatting sqref="B18:B21">
    <cfRule type="expression" dxfId="447" priority="3" stopIfTrue="1">
      <formula>MOD(ROW(),2)=0</formula>
    </cfRule>
    <cfRule type="expression" dxfId="446" priority="4" stopIfTrue="1">
      <formula>MOD(ROW(),2)&lt;&gt;0</formula>
    </cfRule>
  </conditionalFormatting>
  <conditionalFormatting sqref="B6:E21">
    <cfRule type="expression" dxfId="445" priority="40" stopIfTrue="1">
      <formula>MOD(ROW(),2)&lt;&gt;0</formula>
    </cfRule>
    <cfRule type="expression" dxfId="444" priority="39" stopIfTrue="1">
      <formula>MOD(ROW(),2)=0</formula>
    </cfRule>
  </conditionalFormatting>
  <conditionalFormatting sqref="B26:E72">
    <cfRule type="expression" dxfId="443" priority="20" stopIfTrue="1">
      <formula>MOD(ROW(),2)&lt;&gt;0</formula>
    </cfRule>
    <cfRule type="expression" dxfId="442" priority="19" stopIfTrue="1">
      <formula>MOD(ROW(),2)=0</formula>
    </cfRule>
  </conditionalFormatting>
  <conditionalFormatting sqref="H6:H21">
    <cfRule type="expression" dxfId="441" priority="26" stopIfTrue="1">
      <formula>MOD(ROW(),2)&lt;&gt;0</formula>
    </cfRule>
    <cfRule type="expression" dxfId="440" priority="25" stopIfTrue="1">
      <formula>MOD(ROW(),2)=0</formula>
    </cfRule>
  </conditionalFormatting>
  <conditionalFormatting sqref="H26:H72">
    <cfRule type="expression" dxfId="439" priority="13" stopIfTrue="1">
      <formula>MOD(ROW(),2)=0</formula>
    </cfRule>
    <cfRule type="expression" dxfId="438" priority="14" stopIfTrue="1">
      <formula>MOD(ROW(),2)&lt;&gt;0</formula>
    </cfRule>
  </conditionalFormatting>
  <conditionalFormatting sqref="I18:I21">
    <cfRule type="expression" dxfId="437" priority="2" stopIfTrue="1">
      <formula>MOD(ROW(),2)&lt;&gt;0</formula>
    </cfRule>
    <cfRule type="expression" dxfId="436" priority="1" stopIfTrue="1">
      <formula>MOD(ROW(),2)=0</formula>
    </cfRule>
  </conditionalFormatting>
  <conditionalFormatting sqref="I6:L21">
    <cfRule type="expression" dxfId="435" priority="43" stopIfTrue="1">
      <formula>MOD(ROW(),2)=0</formula>
    </cfRule>
    <cfRule type="expression" dxfId="434" priority="44" stopIfTrue="1">
      <formula>MOD(ROW(),2)&lt;&gt;0</formula>
    </cfRule>
  </conditionalFormatting>
  <conditionalFormatting sqref="I26:L72">
    <cfRule type="expression" dxfId="433" priority="16" stopIfTrue="1">
      <formula>MOD(ROW(),2)&lt;&gt;0</formula>
    </cfRule>
    <cfRule type="expression" dxfId="432" priority="15" stopIfTrue="1">
      <formula>MOD(ROW(),2)=0</formula>
    </cfRule>
  </conditionalFormatting>
  <hyperlinks>
    <hyperlink ref="B24" location="Assumptions!A1" display="Assumptions" xr:uid="{5E83BB08-C4AE-4CCA-993A-1927511AA70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08"/>
  <dimension ref="A1:I46"/>
  <sheetViews>
    <sheetView workbookViewId="0"/>
  </sheetViews>
  <sheetFormatPr defaultColWidth="10" defaultRowHeight="12.5" x14ac:dyDescent="0.25"/>
  <cols>
    <col min="1" max="1" width="31.54296875" style="28" customWidth="1"/>
    <col min="2" max="3" width="22.54296875" style="28" customWidth="1"/>
    <col min="4" max="4" width="10" style="28" customWidth="1"/>
    <col min="5" max="5" width="10" style="28"/>
    <col min="6" max="6" width="31.54296875" style="28" customWidth="1"/>
    <col min="7" max="8" width="22.54296875" style="28" customWidth="1"/>
    <col min="9"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Scheme pays AA LRF - x-611</v>
      </c>
      <c r="B3" s="56"/>
      <c r="C3" s="56"/>
      <c r="D3" s="56"/>
      <c r="E3" s="56"/>
      <c r="F3" s="56"/>
      <c r="G3" s="56"/>
      <c r="H3" s="56"/>
      <c r="I3" s="56"/>
    </row>
    <row r="4" spans="1:9" x14ac:dyDescent="0.25">
      <c r="A4" s="58"/>
    </row>
    <row r="6" spans="1:9" ht="13" x14ac:dyDescent="0.3">
      <c r="A6" s="92" t="s">
        <v>716</v>
      </c>
      <c r="B6" s="181" t="s">
        <v>717</v>
      </c>
      <c r="C6" s="181"/>
      <c r="F6" s="92" t="s">
        <v>716</v>
      </c>
      <c r="G6" s="181" t="s">
        <v>717</v>
      </c>
      <c r="H6" s="181"/>
    </row>
    <row r="7" spans="1:9" x14ac:dyDescent="0.25">
      <c r="A7" s="94" t="s">
        <v>797</v>
      </c>
      <c r="B7" s="181" t="s">
        <v>326</v>
      </c>
      <c r="C7" s="181"/>
      <c r="F7" s="94" t="s">
        <v>797</v>
      </c>
      <c r="G7" s="181" t="s">
        <v>326</v>
      </c>
      <c r="H7" s="181"/>
    </row>
    <row r="8" spans="1:9" x14ac:dyDescent="0.25">
      <c r="A8" s="94" t="s">
        <v>798</v>
      </c>
      <c r="B8" s="181" t="s">
        <v>395</v>
      </c>
      <c r="C8" s="181"/>
      <c r="F8" s="94" t="s">
        <v>798</v>
      </c>
      <c r="G8" s="181" t="s">
        <v>395</v>
      </c>
      <c r="H8" s="181"/>
    </row>
    <row r="9" spans="1:9" x14ac:dyDescent="0.25">
      <c r="A9" s="94" t="s">
        <v>300</v>
      </c>
      <c r="B9" s="181" t="s">
        <v>562</v>
      </c>
      <c r="C9" s="181"/>
      <c r="F9" s="94" t="s">
        <v>300</v>
      </c>
      <c r="G9" s="181" t="s">
        <v>562</v>
      </c>
      <c r="H9" s="181"/>
    </row>
    <row r="10" spans="1:9" x14ac:dyDescent="0.25">
      <c r="A10" s="94" t="s">
        <v>6</v>
      </c>
      <c r="B10" s="181" t="s">
        <v>589</v>
      </c>
      <c r="C10" s="181"/>
      <c r="F10" s="94" t="s">
        <v>6</v>
      </c>
      <c r="G10" s="181" t="s">
        <v>592</v>
      </c>
      <c r="H10" s="181"/>
    </row>
    <row r="11" spans="1:9" x14ac:dyDescent="0.25">
      <c r="A11" s="94" t="s">
        <v>301</v>
      </c>
      <c r="B11" s="181" t="s">
        <v>319</v>
      </c>
      <c r="C11" s="181"/>
      <c r="F11" s="94" t="s">
        <v>301</v>
      </c>
      <c r="G11" s="181" t="s">
        <v>319</v>
      </c>
      <c r="H11" s="181"/>
    </row>
    <row r="12" spans="1:9" x14ac:dyDescent="0.25">
      <c r="A12" s="94" t="s">
        <v>302</v>
      </c>
      <c r="B12" s="181" t="s">
        <v>558</v>
      </c>
      <c r="C12" s="181"/>
      <c r="F12" s="94" t="s">
        <v>302</v>
      </c>
      <c r="G12" s="181" t="s">
        <v>558</v>
      </c>
      <c r="H12" s="181"/>
    </row>
    <row r="13" spans="1:9" x14ac:dyDescent="0.25">
      <c r="A13" s="94" t="s">
        <v>813</v>
      </c>
      <c r="B13" s="181">
        <v>1</v>
      </c>
      <c r="C13" s="181"/>
      <c r="F13" s="94" t="s">
        <v>813</v>
      </c>
      <c r="G13" s="181">
        <v>1</v>
      </c>
      <c r="H13" s="181"/>
    </row>
    <row r="14" spans="1:9" x14ac:dyDescent="0.25">
      <c r="A14" s="94" t="s">
        <v>304</v>
      </c>
      <c r="B14" s="181">
        <v>611</v>
      </c>
      <c r="C14" s="181"/>
      <c r="F14" s="94" t="s">
        <v>304</v>
      </c>
      <c r="G14" s="181">
        <v>611</v>
      </c>
      <c r="H14" s="181"/>
    </row>
    <row r="15" spans="1:9" x14ac:dyDescent="0.25">
      <c r="A15" s="94" t="s">
        <v>727</v>
      </c>
      <c r="B15" s="181" t="s">
        <v>590</v>
      </c>
      <c r="C15" s="181"/>
      <c r="F15" s="94" t="s">
        <v>727</v>
      </c>
      <c r="G15" s="181" t="s">
        <v>593</v>
      </c>
      <c r="H15" s="181"/>
    </row>
    <row r="16" spans="1:9" x14ac:dyDescent="0.25">
      <c r="A16" s="94" t="s">
        <v>306</v>
      </c>
      <c r="B16" s="181" t="s">
        <v>565</v>
      </c>
      <c r="C16" s="181"/>
      <c r="F16" s="94" t="s">
        <v>306</v>
      </c>
      <c r="G16" s="181" t="s">
        <v>565</v>
      </c>
      <c r="H16" s="181"/>
    </row>
    <row r="17" spans="1:9" x14ac:dyDescent="0.25">
      <c r="A17" s="94" t="s">
        <v>800</v>
      </c>
      <c r="B17" s="181"/>
      <c r="C17" s="181"/>
      <c r="F17" s="94" t="s">
        <v>800</v>
      </c>
      <c r="G17" s="181"/>
      <c r="H17" s="181"/>
    </row>
    <row r="18" spans="1:9" x14ac:dyDescent="0.25">
      <c r="A18" s="94" t="s">
        <v>308</v>
      </c>
      <c r="B18" s="185">
        <v>45135</v>
      </c>
      <c r="C18" s="181"/>
      <c r="F18" s="94" t="s">
        <v>308</v>
      </c>
      <c r="G18" s="185">
        <v>45135</v>
      </c>
      <c r="H18" s="181"/>
    </row>
    <row r="19" spans="1:9" x14ac:dyDescent="0.25">
      <c r="A19" s="94" t="s">
        <v>309</v>
      </c>
      <c r="B19" s="185">
        <v>45383</v>
      </c>
      <c r="C19" s="181"/>
      <c r="F19" s="94" t="s">
        <v>309</v>
      </c>
      <c r="G19" s="185">
        <v>45383</v>
      </c>
      <c r="H19" s="181"/>
      <c r="I19" s="105"/>
    </row>
    <row r="20" spans="1:9" x14ac:dyDescent="0.25">
      <c r="A20" s="94" t="s">
        <v>310</v>
      </c>
      <c r="B20" s="181" t="s">
        <v>324</v>
      </c>
      <c r="C20" s="181"/>
      <c r="F20" s="94" t="s">
        <v>310</v>
      </c>
      <c r="G20" s="181" t="s">
        <v>324</v>
      </c>
      <c r="H20" s="181"/>
    </row>
    <row r="21" spans="1:9" x14ac:dyDescent="0.25">
      <c r="A21" s="87" t="s">
        <v>311</v>
      </c>
      <c r="B21" s="181" t="s">
        <v>325</v>
      </c>
      <c r="C21" s="181"/>
      <c r="F21" s="94" t="s">
        <v>311</v>
      </c>
      <c r="G21" s="181" t="s">
        <v>325</v>
      </c>
      <c r="H21" s="181"/>
    </row>
    <row r="23" spans="1:9" x14ac:dyDescent="0.25">
      <c r="B23" s="104" t="str">
        <f>HYPERLINK("#'Factor List'!A1","Back to Factor List")</f>
        <v>Back to Factor List</v>
      </c>
    </row>
    <row r="24" spans="1:9" x14ac:dyDescent="0.25">
      <c r="B24" s="104" t="s">
        <v>13</v>
      </c>
    </row>
    <row r="26" spans="1:9" ht="26" x14ac:dyDescent="0.25">
      <c r="A26" s="108" t="s">
        <v>959</v>
      </c>
      <c r="B26" s="108" t="s">
        <v>970</v>
      </c>
      <c r="C26" s="108" t="s">
        <v>971</v>
      </c>
      <c r="F26" s="108" t="s">
        <v>959</v>
      </c>
      <c r="G26" s="108" t="s">
        <v>972</v>
      </c>
      <c r="H26" s="108" t="s">
        <v>973</v>
      </c>
    </row>
    <row r="27" spans="1:9" x14ac:dyDescent="0.25">
      <c r="A27" s="109">
        <v>0</v>
      </c>
      <c r="B27" s="126">
        <v>1</v>
      </c>
      <c r="C27" s="126">
        <v>1</v>
      </c>
      <c r="F27" s="109">
        <v>0</v>
      </c>
      <c r="G27" s="126">
        <v>1</v>
      </c>
      <c r="H27" s="126">
        <v>1</v>
      </c>
    </row>
    <row r="28" spans="1:9" x14ac:dyDescent="0.25">
      <c r="A28" s="109">
        <v>1</v>
      </c>
      <c r="B28" s="126">
        <v>1.0489999999999999</v>
      </c>
      <c r="C28" s="126">
        <v>1.0169999999999999</v>
      </c>
      <c r="F28" s="109">
        <v>1</v>
      </c>
      <c r="G28" s="126">
        <v>1.056</v>
      </c>
      <c r="H28" s="126">
        <v>1.0169999999999999</v>
      </c>
    </row>
    <row r="29" spans="1:9" x14ac:dyDescent="0.25">
      <c r="A29" s="109">
        <v>2</v>
      </c>
      <c r="B29" s="126">
        <v>1.1020000000000001</v>
      </c>
      <c r="C29" s="126">
        <v>1.034</v>
      </c>
      <c r="F29" s="109">
        <v>2</v>
      </c>
      <c r="G29" s="126">
        <v>1.117</v>
      </c>
      <c r="H29" s="126">
        <v>1.034</v>
      </c>
    </row>
    <row r="30" spans="1:9" x14ac:dyDescent="0.25">
      <c r="A30" s="109">
        <v>3</v>
      </c>
      <c r="B30" s="126">
        <v>1.1599999999999999</v>
      </c>
      <c r="C30" s="126">
        <v>1.052</v>
      </c>
      <c r="F30" s="109">
        <v>3</v>
      </c>
      <c r="G30" s="126">
        <v>1.1839999999999999</v>
      </c>
      <c r="H30" s="126">
        <v>1.052</v>
      </c>
    </row>
    <row r="31" spans="1:9" x14ac:dyDescent="0.25">
      <c r="A31" s="109">
        <v>4</v>
      </c>
      <c r="B31" s="126">
        <v>1.2230000000000001</v>
      </c>
      <c r="C31" s="126">
        <v>1.07</v>
      </c>
      <c r="F31" s="109">
        <v>4</v>
      </c>
      <c r="G31" s="126">
        <v>1.258</v>
      </c>
      <c r="H31" s="126">
        <v>1.07</v>
      </c>
    </row>
    <row r="32" spans="1:9" x14ac:dyDescent="0.25">
      <c r="A32" s="109">
        <v>5</v>
      </c>
      <c r="B32" s="126">
        <v>1.2909999999999999</v>
      </c>
      <c r="C32" s="126">
        <v>1.0880000000000001</v>
      </c>
      <c r="F32" s="109">
        <v>5</v>
      </c>
      <c r="G32" s="126">
        <v>1.339</v>
      </c>
      <c r="H32" s="126">
        <v>1.0880000000000001</v>
      </c>
    </row>
    <row r="33" spans="1:8" x14ac:dyDescent="0.25">
      <c r="A33" s="109">
        <v>6</v>
      </c>
      <c r="B33" s="126">
        <v>1.365</v>
      </c>
      <c r="C33" s="126">
        <v>1.1060000000000001</v>
      </c>
      <c r="F33" s="109">
        <v>6</v>
      </c>
      <c r="G33" s="126">
        <v>1.429</v>
      </c>
      <c r="H33" s="126">
        <v>1.1060000000000001</v>
      </c>
    </row>
    <row r="34" spans="1:8" x14ac:dyDescent="0.25">
      <c r="A34" s="109">
        <v>7</v>
      </c>
      <c r="B34" s="126">
        <v>1.4450000000000001</v>
      </c>
      <c r="C34" s="126">
        <v>1.125</v>
      </c>
      <c r="F34" s="109">
        <v>7</v>
      </c>
      <c r="G34" s="126">
        <v>1.5269999999999999</v>
      </c>
      <c r="H34" s="126">
        <v>1.125</v>
      </c>
    </row>
    <row r="35" spans="1:8" x14ac:dyDescent="0.25">
      <c r="A35" s="109">
        <v>8</v>
      </c>
      <c r="B35" s="126">
        <v>1.534</v>
      </c>
      <c r="C35" s="126">
        <v>1.1439999999999999</v>
      </c>
      <c r="F35" s="109">
        <v>8</v>
      </c>
      <c r="G35" s="126">
        <v>1.6359999999999999</v>
      </c>
      <c r="H35" s="126">
        <v>1.1439999999999999</v>
      </c>
    </row>
    <row r="36" spans="1:8" x14ac:dyDescent="0.25">
      <c r="A36" s="109">
        <v>9</v>
      </c>
      <c r="B36" s="126">
        <v>1.63</v>
      </c>
      <c r="C36" s="126">
        <v>1.1639999999999999</v>
      </c>
      <c r="F36" s="109">
        <v>9</v>
      </c>
      <c r="G36" s="126">
        <v>1.7549999999999999</v>
      </c>
      <c r="H36" s="126">
        <v>1.1639999999999999</v>
      </c>
    </row>
    <row r="37" spans="1:8" x14ac:dyDescent="0.25">
      <c r="A37" s="109">
        <v>10</v>
      </c>
      <c r="B37" s="126">
        <v>1.736</v>
      </c>
      <c r="C37" s="126">
        <v>1.1839999999999999</v>
      </c>
      <c r="F37" s="109">
        <v>10</v>
      </c>
      <c r="G37" s="126">
        <v>1.8859999999999999</v>
      </c>
      <c r="H37" s="126">
        <v>1.1839999999999999</v>
      </c>
    </row>
    <row r="38" spans="1:8" x14ac:dyDescent="0.25">
      <c r="A38" s="109">
        <v>11</v>
      </c>
      <c r="B38" s="126">
        <v>1.853</v>
      </c>
      <c r="C38" s="126">
        <v>1.204</v>
      </c>
      <c r="F38" s="109">
        <v>11</v>
      </c>
      <c r="G38" s="126">
        <v>2.0310000000000001</v>
      </c>
      <c r="H38" s="126">
        <v>1.204</v>
      </c>
    </row>
    <row r="39" spans="1:8" x14ac:dyDescent="0.25">
      <c r="A39" s="109">
        <v>12</v>
      </c>
      <c r="B39" s="126">
        <v>1.9810000000000001</v>
      </c>
      <c r="C39" s="126">
        <v>1.224</v>
      </c>
      <c r="F39" s="109">
        <v>12</v>
      </c>
      <c r="G39" s="126">
        <v>2.19</v>
      </c>
      <c r="H39" s="126">
        <v>1.224</v>
      </c>
    </row>
    <row r="40" spans="1:8" x14ac:dyDescent="0.25">
      <c r="A40" s="109">
        <v>13</v>
      </c>
      <c r="B40" s="126">
        <v>2.1230000000000002</v>
      </c>
      <c r="C40" s="126">
        <v>1.2450000000000001</v>
      </c>
      <c r="F40" s="109">
        <v>13</v>
      </c>
      <c r="G40" s="126">
        <v>2.3650000000000002</v>
      </c>
      <c r="H40" s="126">
        <v>1.2450000000000001</v>
      </c>
    </row>
    <row r="41" spans="1:8" x14ac:dyDescent="0.25">
      <c r="A41" s="109">
        <v>14</v>
      </c>
      <c r="B41" s="126">
        <v>2.2799999999999998</v>
      </c>
      <c r="C41" s="126">
        <v>1.266</v>
      </c>
      <c r="F41" s="109">
        <v>14</v>
      </c>
      <c r="G41" s="126">
        <v>2.5579999999999998</v>
      </c>
      <c r="H41" s="126">
        <v>1.266</v>
      </c>
    </row>
    <row r="42" spans="1:8" x14ac:dyDescent="0.25">
      <c r="A42" s="109">
        <v>15</v>
      </c>
      <c r="B42" s="126">
        <v>2.4540000000000002</v>
      </c>
      <c r="C42" s="126">
        <v>1.288</v>
      </c>
      <c r="F42" s="109">
        <v>15</v>
      </c>
      <c r="G42" s="126">
        <v>2.7690000000000001</v>
      </c>
      <c r="H42" s="126">
        <v>1.288</v>
      </c>
    </row>
    <row r="44" spans="1:8" ht="39.65" customHeight="1" x14ac:dyDescent="0.25"/>
    <row r="46" spans="1:8" ht="27.65" customHeight="1" x14ac:dyDescent="0.25"/>
  </sheetData>
  <conditionalFormatting sqref="A6:A21">
    <cfRule type="expression" dxfId="431" priority="7" stopIfTrue="1">
      <formula>MOD(ROW(),2)=0</formula>
    </cfRule>
    <cfRule type="expression" dxfId="430" priority="8" stopIfTrue="1">
      <formula>MOD(ROW(),2)&lt;&gt;0</formula>
    </cfRule>
  </conditionalFormatting>
  <conditionalFormatting sqref="A26:A42">
    <cfRule type="expression" dxfId="429" priority="15" stopIfTrue="1">
      <formula>MOD(ROW(),2)=0</formula>
    </cfRule>
    <cfRule type="expression" dxfId="428" priority="16" stopIfTrue="1">
      <formula>MOD(ROW(),2)&lt;&gt;0</formula>
    </cfRule>
  </conditionalFormatting>
  <conditionalFormatting sqref="B18:B21">
    <cfRule type="expression" dxfId="427" priority="5" stopIfTrue="1">
      <formula>MOD(ROW(),2)=0</formula>
    </cfRule>
    <cfRule type="expression" dxfId="426" priority="6" stopIfTrue="1">
      <formula>MOD(ROW(),2)&lt;&gt;0</formula>
    </cfRule>
  </conditionalFormatting>
  <conditionalFormatting sqref="B6:C21">
    <cfRule type="expression" dxfId="425" priority="42" stopIfTrue="1">
      <formula>MOD(ROW(),2)&lt;&gt;0</formula>
    </cfRule>
    <cfRule type="expression" dxfId="424" priority="41" stopIfTrue="1">
      <formula>MOD(ROW(),2)=0</formula>
    </cfRule>
  </conditionalFormatting>
  <conditionalFormatting sqref="B26:C42">
    <cfRule type="expression" dxfId="423" priority="23" stopIfTrue="1">
      <formula>MOD(ROW(),2)=0</formula>
    </cfRule>
    <cfRule type="expression" dxfId="422" priority="24" stopIfTrue="1">
      <formula>MOD(ROW(),2)&lt;&gt;0</formula>
    </cfRule>
  </conditionalFormatting>
  <conditionalFormatting sqref="F6:F21">
    <cfRule type="expression" dxfId="421" priority="32" stopIfTrue="1">
      <formula>MOD(ROW(),2)&lt;&gt;0</formula>
    </cfRule>
    <cfRule type="expression" dxfId="420" priority="31" stopIfTrue="1">
      <formula>MOD(ROW(),2)=0</formula>
    </cfRule>
  </conditionalFormatting>
  <conditionalFormatting sqref="F26:F42">
    <cfRule type="expression" dxfId="419" priority="17" stopIfTrue="1">
      <formula>MOD(ROW(),2)=0</formula>
    </cfRule>
    <cfRule type="expression" dxfId="418" priority="18" stopIfTrue="1">
      <formula>MOD(ROW(),2)&lt;&gt;0</formula>
    </cfRule>
  </conditionalFormatting>
  <conditionalFormatting sqref="G18:G21">
    <cfRule type="expression" dxfId="417" priority="1" stopIfTrue="1">
      <formula>MOD(ROW(),2)=0</formula>
    </cfRule>
    <cfRule type="expression" dxfId="416" priority="2" stopIfTrue="1">
      <formula>MOD(ROW(),2)&lt;&gt;0</formula>
    </cfRule>
  </conditionalFormatting>
  <conditionalFormatting sqref="G6:H21">
    <cfRule type="expression" dxfId="415" priority="49" stopIfTrue="1">
      <formula>MOD(ROW(),2)=0</formula>
    </cfRule>
    <cfRule type="expression" dxfId="414" priority="50" stopIfTrue="1">
      <formula>MOD(ROW(),2)&lt;&gt;0</formula>
    </cfRule>
  </conditionalFormatting>
  <conditionalFormatting sqref="G26:H42">
    <cfRule type="expression" dxfId="413" priority="19" stopIfTrue="1">
      <formula>MOD(ROW(),2)=0</formula>
    </cfRule>
    <cfRule type="expression" dxfId="412" priority="20" stopIfTrue="1">
      <formula>MOD(ROW(),2)&lt;&gt;0</formula>
    </cfRule>
  </conditionalFormatting>
  <conditionalFormatting sqref="I19">
    <cfRule type="expression" dxfId="411" priority="3" stopIfTrue="1">
      <formula>MOD(ROW(),2)=0</formula>
    </cfRule>
    <cfRule type="expression" dxfId="410" priority="4" stopIfTrue="1">
      <formula>MOD(ROW(),2)&lt;&gt;0</formula>
    </cfRule>
  </conditionalFormatting>
  <hyperlinks>
    <hyperlink ref="B24" location="Assumptions!A1" display="Assumptions" xr:uid="{0BBB7C56-9686-4400-B667-307B2EE5DA6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09"/>
  <dimension ref="A1:I52"/>
  <sheetViews>
    <sheetView workbookViewId="0"/>
  </sheetViews>
  <sheetFormatPr defaultColWidth="10" defaultRowHeight="12.5" x14ac:dyDescent="0.25"/>
  <cols>
    <col min="1" max="1" width="31.54296875" style="28" customWidth="1"/>
    <col min="2" max="3" width="22.542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Scheme pays AA - x-612</v>
      </c>
      <c r="B3" s="56"/>
      <c r="C3" s="56"/>
      <c r="D3" s="56"/>
      <c r="E3" s="56"/>
      <c r="F3" s="56"/>
      <c r="G3" s="56"/>
      <c r="H3" s="56"/>
      <c r="I3" s="56"/>
    </row>
    <row r="4" spans="1:9" x14ac:dyDescent="0.25">
      <c r="A4" s="58"/>
    </row>
    <row r="6" spans="1:9" ht="13" x14ac:dyDescent="0.3">
      <c r="A6" s="92" t="s">
        <v>716</v>
      </c>
      <c r="B6" s="181" t="s">
        <v>717</v>
      </c>
      <c r="C6" s="181"/>
    </row>
    <row r="7" spans="1:9" x14ac:dyDescent="0.25">
      <c r="A7" s="94" t="s">
        <v>797</v>
      </c>
      <c r="B7" s="181" t="s">
        <v>326</v>
      </c>
      <c r="C7" s="181"/>
    </row>
    <row r="8" spans="1:9" x14ac:dyDescent="0.25">
      <c r="A8" s="94" t="s">
        <v>798</v>
      </c>
      <c r="B8" s="181" t="s">
        <v>395</v>
      </c>
      <c r="C8" s="181"/>
    </row>
    <row r="9" spans="1:9" x14ac:dyDescent="0.25">
      <c r="A9" s="94" t="s">
        <v>300</v>
      </c>
      <c r="B9" s="181" t="s">
        <v>551</v>
      </c>
      <c r="C9" s="181"/>
    </row>
    <row r="10" spans="1:9" x14ac:dyDescent="0.25">
      <c r="A10" s="94" t="s">
        <v>6</v>
      </c>
      <c r="B10" s="181" t="s">
        <v>595</v>
      </c>
      <c r="C10" s="181"/>
    </row>
    <row r="11" spans="1:9" x14ac:dyDescent="0.25">
      <c r="A11" s="94" t="s">
        <v>301</v>
      </c>
      <c r="B11" s="181" t="s">
        <v>334</v>
      </c>
      <c r="C11" s="181"/>
    </row>
    <row r="12" spans="1:9" x14ac:dyDescent="0.25">
      <c r="A12" s="94" t="s">
        <v>302</v>
      </c>
      <c r="B12" s="181" t="s">
        <v>335</v>
      </c>
      <c r="C12" s="181"/>
    </row>
    <row r="13" spans="1:9" x14ac:dyDescent="0.25">
      <c r="A13" s="94" t="s">
        <v>813</v>
      </c>
      <c r="B13" s="181">
        <v>1</v>
      </c>
      <c r="C13" s="181"/>
    </row>
    <row r="14" spans="1:9" x14ac:dyDescent="0.25">
      <c r="A14" s="94" t="s">
        <v>304</v>
      </c>
      <c r="B14" s="181">
        <v>612</v>
      </c>
      <c r="C14" s="181"/>
    </row>
    <row r="15" spans="1:9" x14ac:dyDescent="0.25">
      <c r="A15" s="94" t="s">
        <v>727</v>
      </c>
      <c r="B15" s="181" t="s">
        <v>596</v>
      </c>
      <c r="C15" s="181"/>
    </row>
    <row r="16" spans="1:9" x14ac:dyDescent="0.25">
      <c r="A16" s="94" t="s">
        <v>306</v>
      </c>
      <c r="B16" s="181" t="s">
        <v>569</v>
      </c>
      <c r="C16" s="181"/>
    </row>
    <row r="17" spans="1:3" x14ac:dyDescent="0.25">
      <c r="A17" s="94" t="s">
        <v>800</v>
      </c>
      <c r="B17" s="181"/>
      <c r="C17" s="181"/>
    </row>
    <row r="18" spans="1:3" x14ac:dyDescent="0.25">
      <c r="A18" s="94" t="s">
        <v>308</v>
      </c>
      <c r="B18" s="185">
        <v>45135</v>
      </c>
      <c r="C18" s="181"/>
    </row>
    <row r="19" spans="1:3" x14ac:dyDescent="0.25">
      <c r="A19" s="94" t="s">
        <v>309</v>
      </c>
      <c r="B19" s="185">
        <v>45383</v>
      </c>
      <c r="C19" s="181"/>
    </row>
    <row r="20" spans="1:3" x14ac:dyDescent="0.25">
      <c r="A20" s="94" t="s">
        <v>310</v>
      </c>
      <c r="B20" s="181" t="s">
        <v>324</v>
      </c>
      <c r="C20" s="181"/>
    </row>
    <row r="21" spans="1:3" x14ac:dyDescent="0.25">
      <c r="A21" s="87" t="s">
        <v>311</v>
      </c>
      <c r="B21" s="181" t="s">
        <v>325</v>
      </c>
      <c r="C21" s="181"/>
    </row>
    <row r="23" spans="1:3" x14ac:dyDescent="0.25">
      <c r="B23" s="104" t="str">
        <f>HYPERLINK("#'Factor List'!A1","Back to Factor List")</f>
        <v>Back to Factor List</v>
      </c>
    </row>
    <row r="24" spans="1:3" x14ac:dyDescent="0.25">
      <c r="B24" s="104" t="s">
        <v>13</v>
      </c>
    </row>
    <row r="26" spans="1:3" ht="13" x14ac:dyDescent="0.25">
      <c r="A26" s="108" t="s">
        <v>534</v>
      </c>
      <c r="B26" s="108" t="s">
        <v>406</v>
      </c>
      <c r="C26" s="108" t="s">
        <v>412</v>
      </c>
    </row>
    <row r="27" spans="1:3" x14ac:dyDescent="0.25">
      <c r="A27" s="109">
        <v>50</v>
      </c>
      <c r="B27" s="110">
        <v>26.59</v>
      </c>
      <c r="C27" s="110">
        <v>26.59</v>
      </c>
    </row>
    <row r="28" spans="1:3" x14ac:dyDescent="0.25">
      <c r="A28" s="109">
        <v>51</v>
      </c>
      <c r="B28" s="110">
        <v>26.03</v>
      </c>
      <c r="C28" s="110">
        <v>26.03</v>
      </c>
    </row>
    <row r="29" spans="1:3" x14ac:dyDescent="0.25">
      <c r="A29" s="109">
        <v>52</v>
      </c>
      <c r="B29" s="110">
        <v>25.47</v>
      </c>
      <c r="C29" s="110">
        <v>25.47</v>
      </c>
    </row>
    <row r="30" spans="1:3" x14ac:dyDescent="0.25">
      <c r="A30" s="109">
        <v>53</v>
      </c>
      <c r="B30" s="110">
        <v>24.9</v>
      </c>
      <c r="C30" s="110">
        <v>24.9</v>
      </c>
    </row>
    <row r="31" spans="1:3" x14ac:dyDescent="0.25">
      <c r="A31" s="109">
        <v>54</v>
      </c>
      <c r="B31" s="110">
        <v>24.32</v>
      </c>
      <c r="C31" s="110">
        <v>24.32</v>
      </c>
    </row>
    <row r="32" spans="1:3" x14ac:dyDescent="0.25">
      <c r="A32" s="109">
        <v>55</v>
      </c>
      <c r="B32" s="110">
        <v>23.73</v>
      </c>
      <c r="C32" s="110">
        <v>23.73</v>
      </c>
    </row>
    <row r="33" spans="1:3" x14ac:dyDescent="0.25">
      <c r="A33" s="109">
        <v>56</v>
      </c>
      <c r="B33" s="110">
        <v>23.14</v>
      </c>
      <c r="C33" s="110">
        <v>23.14</v>
      </c>
    </row>
    <row r="34" spans="1:3" x14ac:dyDescent="0.25">
      <c r="A34" s="109">
        <v>57</v>
      </c>
      <c r="B34" s="110">
        <v>22.55</v>
      </c>
      <c r="C34" s="110">
        <v>22.55</v>
      </c>
    </row>
    <row r="35" spans="1:3" x14ac:dyDescent="0.25">
      <c r="A35" s="109">
        <v>58</v>
      </c>
      <c r="B35" s="110">
        <v>21.95</v>
      </c>
      <c r="C35" s="110">
        <v>21.95</v>
      </c>
    </row>
    <row r="36" spans="1:3" x14ac:dyDescent="0.25">
      <c r="A36" s="109">
        <v>59</v>
      </c>
      <c r="B36" s="110">
        <v>21.35</v>
      </c>
      <c r="C36" s="110">
        <v>21.35</v>
      </c>
    </row>
    <row r="37" spans="1:3" x14ac:dyDescent="0.25">
      <c r="A37" s="109">
        <v>60</v>
      </c>
      <c r="B37" s="110">
        <v>20.73</v>
      </c>
      <c r="C37" s="110">
        <v>20.73</v>
      </c>
    </row>
    <row r="38" spans="1:3" x14ac:dyDescent="0.25">
      <c r="A38" s="109">
        <v>61</v>
      </c>
      <c r="B38" s="110">
        <v>20.09</v>
      </c>
      <c r="C38" s="110">
        <v>20.09</v>
      </c>
    </row>
    <row r="39" spans="1:3" x14ac:dyDescent="0.25">
      <c r="A39" s="109">
        <v>62</v>
      </c>
      <c r="B39" s="110">
        <v>19.46</v>
      </c>
      <c r="C39" s="110">
        <v>19.46</v>
      </c>
    </row>
    <row r="40" spans="1:3" x14ac:dyDescent="0.25">
      <c r="A40" s="109">
        <v>63</v>
      </c>
      <c r="B40" s="110">
        <v>18.82</v>
      </c>
      <c r="C40" s="110">
        <v>18.82</v>
      </c>
    </row>
    <row r="41" spans="1:3" x14ac:dyDescent="0.25">
      <c r="A41" s="109">
        <v>64</v>
      </c>
      <c r="B41" s="110">
        <v>18.190000000000001</v>
      </c>
      <c r="C41" s="110">
        <v>18.190000000000001</v>
      </c>
    </row>
    <row r="42" spans="1:3" x14ac:dyDescent="0.25">
      <c r="A42" s="109">
        <v>65</v>
      </c>
      <c r="B42" s="110">
        <v>17.559999999999999</v>
      </c>
      <c r="C42" s="110">
        <v>17.559999999999999</v>
      </c>
    </row>
    <row r="43" spans="1:3" x14ac:dyDescent="0.25">
      <c r="A43" s="109">
        <v>66</v>
      </c>
      <c r="B43" s="110">
        <v>16.940000000000001</v>
      </c>
      <c r="C43" s="110">
        <v>16.940000000000001</v>
      </c>
    </row>
    <row r="44" spans="1:3" x14ac:dyDescent="0.25">
      <c r="A44" s="109">
        <v>67</v>
      </c>
      <c r="B44" s="110">
        <v>16.309999999999999</v>
      </c>
      <c r="C44" s="110">
        <v>16.309999999999999</v>
      </c>
    </row>
    <row r="45" spans="1:3" x14ac:dyDescent="0.25">
      <c r="A45" s="109">
        <v>68</v>
      </c>
      <c r="B45" s="110">
        <v>15.68</v>
      </c>
      <c r="C45" s="110">
        <v>15.68</v>
      </c>
    </row>
    <row r="46" spans="1:3" x14ac:dyDescent="0.25">
      <c r="A46" s="109">
        <v>69</v>
      </c>
      <c r="B46" s="110">
        <v>15.05</v>
      </c>
      <c r="C46" s="110">
        <v>15.05</v>
      </c>
    </row>
    <row r="47" spans="1:3" x14ac:dyDescent="0.25">
      <c r="A47" s="109">
        <v>70</v>
      </c>
      <c r="B47" s="110">
        <v>14.43</v>
      </c>
      <c r="C47" s="110">
        <v>14.43</v>
      </c>
    </row>
    <row r="48" spans="1:3" x14ac:dyDescent="0.25">
      <c r="A48" s="109">
        <v>71</v>
      </c>
      <c r="B48" s="110">
        <v>13.8</v>
      </c>
      <c r="C48" s="110">
        <v>13.8</v>
      </c>
    </row>
    <row r="49" spans="1:3" x14ac:dyDescent="0.25">
      <c r="A49" s="109">
        <v>72</v>
      </c>
      <c r="B49" s="110">
        <v>13.18</v>
      </c>
      <c r="C49" s="110">
        <v>13.18</v>
      </c>
    </row>
    <row r="50" spans="1:3" x14ac:dyDescent="0.25">
      <c r="A50" s="109">
        <v>73</v>
      </c>
      <c r="B50" s="110">
        <v>12.57</v>
      </c>
      <c r="C50" s="110">
        <v>12.57</v>
      </c>
    </row>
    <row r="51" spans="1:3" x14ac:dyDescent="0.25">
      <c r="A51" s="109">
        <v>74</v>
      </c>
      <c r="B51" s="110">
        <v>11.96</v>
      </c>
      <c r="C51" s="110">
        <v>11.96</v>
      </c>
    </row>
    <row r="52" spans="1:3" x14ac:dyDescent="0.25">
      <c r="A52" s="109">
        <v>75</v>
      </c>
      <c r="B52" s="110">
        <v>11.37</v>
      </c>
      <c r="C52" s="110">
        <v>11.37</v>
      </c>
    </row>
  </sheetData>
  <conditionalFormatting sqref="A6:A21">
    <cfRule type="expression" dxfId="409" priority="3" stopIfTrue="1">
      <formula>MOD(ROW(),2)=0</formula>
    </cfRule>
    <cfRule type="expression" dxfId="408" priority="4" stopIfTrue="1">
      <formula>MOD(ROW(),2)&lt;&gt;0</formula>
    </cfRule>
  </conditionalFormatting>
  <conditionalFormatting sqref="A26:A52">
    <cfRule type="expression" dxfId="407" priority="9" stopIfTrue="1">
      <formula>MOD(ROW(),2)=0</formula>
    </cfRule>
    <cfRule type="expression" dxfId="406" priority="10" stopIfTrue="1">
      <formula>MOD(ROW(),2)&lt;&gt;0</formula>
    </cfRule>
  </conditionalFormatting>
  <conditionalFormatting sqref="B18:B21">
    <cfRule type="expression" dxfId="405" priority="1" stopIfTrue="1">
      <formula>MOD(ROW(),2)=0</formula>
    </cfRule>
    <cfRule type="expression" dxfId="404" priority="2" stopIfTrue="1">
      <formula>MOD(ROW(),2)&lt;&gt;0</formula>
    </cfRule>
  </conditionalFormatting>
  <conditionalFormatting sqref="B6:C21">
    <cfRule type="expression" dxfId="403" priority="23" stopIfTrue="1">
      <formula>MOD(ROW(),2)=0</formula>
    </cfRule>
    <cfRule type="expression" dxfId="402" priority="24" stopIfTrue="1">
      <formula>MOD(ROW(),2)&lt;&gt;0</formula>
    </cfRule>
  </conditionalFormatting>
  <conditionalFormatting sqref="B26:C52">
    <cfRule type="expression" dxfId="401" priority="11" stopIfTrue="1">
      <formula>MOD(ROW(),2)=0</formula>
    </cfRule>
    <cfRule type="expression" dxfId="400" priority="12" stopIfTrue="1">
      <formula>MOD(ROW(),2)&lt;&gt;0</formula>
    </cfRule>
  </conditionalFormatting>
  <hyperlinks>
    <hyperlink ref="B24" location="Assumptions!A1" display="Assumptions" xr:uid="{FFE43697-F6EA-4614-8A7A-3F75D863533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10"/>
  <dimension ref="A1:I82"/>
  <sheetViews>
    <sheetView workbookViewId="0"/>
  </sheetViews>
  <sheetFormatPr defaultColWidth="10" defaultRowHeight="12.5" x14ac:dyDescent="0.25"/>
  <cols>
    <col min="1" max="1" width="31.54296875" style="28" customWidth="1"/>
    <col min="2" max="3" width="22.542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Scheme pays AA - x-613</v>
      </c>
      <c r="B3" s="56"/>
      <c r="C3" s="56"/>
      <c r="D3" s="56"/>
      <c r="E3" s="56"/>
      <c r="F3" s="56"/>
      <c r="G3" s="56"/>
      <c r="H3" s="56"/>
      <c r="I3" s="56"/>
    </row>
    <row r="4" spans="1:9" x14ac:dyDescent="0.25">
      <c r="A4" s="58"/>
    </row>
    <row r="6" spans="1:9" ht="13" x14ac:dyDescent="0.3">
      <c r="A6" s="92" t="s">
        <v>716</v>
      </c>
      <c r="B6" s="181" t="s">
        <v>717</v>
      </c>
      <c r="C6" s="181"/>
    </row>
    <row r="7" spans="1:9" x14ac:dyDescent="0.25">
      <c r="A7" s="94" t="s">
        <v>797</v>
      </c>
      <c r="B7" s="181" t="s">
        <v>326</v>
      </c>
      <c r="C7" s="181"/>
    </row>
    <row r="8" spans="1:9" x14ac:dyDescent="0.25">
      <c r="A8" s="94" t="s">
        <v>798</v>
      </c>
      <c r="B8" s="181" t="s">
        <v>395</v>
      </c>
      <c r="C8" s="181"/>
    </row>
    <row r="9" spans="1:9" x14ac:dyDescent="0.25">
      <c r="A9" s="94" t="s">
        <v>300</v>
      </c>
      <c r="B9" s="181" t="s">
        <v>551</v>
      </c>
      <c r="C9" s="181"/>
    </row>
    <row r="10" spans="1:9" x14ac:dyDescent="0.25">
      <c r="A10" s="94" t="s">
        <v>6</v>
      </c>
      <c r="B10" s="181" t="s">
        <v>598</v>
      </c>
      <c r="C10" s="181"/>
    </row>
    <row r="11" spans="1:9" x14ac:dyDescent="0.25">
      <c r="A11" s="94" t="s">
        <v>301</v>
      </c>
      <c r="B11" s="181" t="s">
        <v>334</v>
      </c>
      <c r="C11" s="181"/>
    </row>
    <row r="12" spans="1:9" x14ac:dyDescent="0.25">
      <c r="A12" s="94" t="s">
        <v>302</v>
      </c>
      <c r="B12" s="181" t="s">
        <v>335</v>
      </c>
      <c r="C12" s="181"/>
    </row>
    <row r="13" spans="1:9" x14ac:dyDescent="0.25">
      <c r="A13" s="94" t="s">
        <v>813</v>
      </c>
      <c r="B13" s="181">
        <v>1</v>
      </c>
      <c r="C13" s="181"/>
    </row>
    <row r="14" spans="1:9" x14ac:dyDescent="0.25">
      <c r="A14" s="94" t="s">
        <v>304</v>
      </c>
      <c r="B14" s="181">
        <v>613</v>
      </c>
      <c r="C14" s="181"/>
    </row>
    <row r="15" spans="1:9" x14ac:dyDescent="0.25">
      <c r="A15" s="94" t="s">
        <v>727</v>
      </c>
      <c r="B15" s="181" t="s">
        <v>599</v>
      </c>
      <c r="C15" s="181"/>
    </row>
    <row r="16" spans="1:9" x14ac:dyDescent="0.25">
      <c r="A16" s="94" t="s">
        <v>306</v>
      </c>
      <c r="B16" s="181" t="s">
        <v>573</v>
      </c>
      <c r="C16" s="181"/>
    </row>
    <row r="17" spans="1:3" ht="68.150000000000006" customHeight="1" x14ac:dyDescent="0.25">
      <c r="A17" s="94" t="s">
        <v>800</v>
      </c>
      <c r="B17" s="181"/>
      <c r="C17" s="181"/>
    </row>
    <row r="18" spans="1:3" x14ac:dyDescent="0.25">
      <c r="A18" s="94" t="s">
        <v>308</v>
      </c>
      <c r="B18" s="185">
        <v>45135</v>
      </c>
      <c r="C18" s="181"/>
    </row>
    <row r="19" spans="1:3" x14ac:dyDescent="0.25">
      <c r="A19" s="94" t="s">
        <v>309</v>
      </c>
      <c r="B19" s="185">
        <v>45383</v>
      </c>
      <c r="C19" s="181"/>
    </row>
    <row r="20" spans="1:3" x14ac:dyDescent="0.25">
      <c r="A20" s="94" t="s">
        <v>310</v>
      </c>
      <c r="B20" s="181" t="s">
        <v>324</v>
      </c>
      <c r="C20" s="181"/>
    </row>
    <row r="21" spans="1:3" x14ac:dyDescent="0.25">
      <c r="A21" s="87" t="s">
        <v>311</v>
      </c>
      <c r="B21" s="181" t="s">
        <v>325</v>
      </c>
      <c r="C21" s="181"/>
    </row>
    <row r="23" spans="1:3" x14ac:dyDescent="0.25">
      <c r="B23" s="104" t="str">
        <f>HYPERLINK("#'Factor List'!A1","Back to Factor List")</f>
        <v>Back to Factor List</v>
      </c>
    </row>
    <row r="24" spans="1:3" x14ac:dyDescent="0.25">
      <c r="B24" s="104" t="s">
        <v>13</v>
      </c>
    </row>
    <row r="26" spans="1:3" ht="13" x14ac:dyDescent="0.25">
      <c r="A26" s="108" t="s">
        <v>534</v>
      </c>
      <c r="B26" s="108" t="s">
        <v>406</v>
      </c>
      <c r="C26" s="108" t="s">
        <v>412</v>
      </c>
    </row>
    <row r="27" spans="1:3" x14ac:dyDescent="0.25">
      <c r="A27" s="109">
        <v>20</v>
      </c>
      <c r="B27" s="110">
        <v>40.07</v>
      </c>
      <c r="C27" s="110">
        <v>40.07</v>
      </c>
    </row>
    <row r="28" spans="1:3" x14ac:dyDescent="0.25">
      <c r="A28" s="109">
        <v>21</v>
      </c>
      <c r="B28" s="110">
        <v>39.71</v>
      </c>
      <c r="C28" s="110">
        <v>39.71</v>
      </c>
    </row>
    <row r="29" spans="1:3" x14ac:dyDescent="0.25">
      <c r="A29" s="109">
        <v>22</v>
      </c>
      <c r="B29" s="110">
        <v>39.36</v>
      </c>
      <c r="C29" s="110">
        <v>39.36</v>
      </c>
    </row>
    <row r="30" spans="1:3" x14ac:dyDescent="0.25">
      <c r="A30" s="109">
        <v>23</v>
      </c>
      <c r="B30" s="110">
        <v>38.99</v>
      </c>
      <c r="C30" s="110">
        <v>38.99</v>
      </c>
    </row>
    <row r="31" spans="1:3" x14ac:dyDescent="0.25">
      <c r="A31" s="109">
        <v>24</v>
      </c>
      <c r="B31" s="110">
        <v>38.619999999999997</v>
      </c>
      <c r="C31" s="110">
        <v>38.619999999999997</v>
      </c>
    </row>
    <row r="32" spans="1:3" x14ac:dyDescent="0.25">
      <c r="A32" s="109">
        <v>25</v>
      </c>
      <c r="B32" s="110">
        <v>38.24</v>
      </c>
      <c r="C32" s="110">
        <v>38.24</v>
      </c>
    </row>
    <row r="33" spans="1:3" x14ac:dyDescent="0.25">
      <c r="A33" s="109">
        <v>26</v>
      </c>
      <c r="B33" s="110">
        <v>37.86</v>
      </c>
      <c r="C33" s="110">
        <v>37.86</v>
      </c>
    </row>
    <row r="34" spans="1:3" x14ac:dyDescent="0.25">
      <c r="A34" s="109">
        <v>27</v>
      </c>
      <c r="B34" s="110">
        <v>37.47</v>
      </c>
      <c r="C34" s="110">
        <v>37.47</v>
      </c>
    </row>
    <row r="35" spans="1:3" x14ac:dyDescent="0.25">
      <c r="A35" s="109">
        <v>28</v>
      </c>
      <c r="B35" s="110">
        <v>37.07</v>
      </c>
      <c r="C35" s="110">
        <v>37.07</v>
      </c>
    </row>
    <row r="36" spans="1:3" x14ac:dyDescent="0.25">
      <c r="A36" s="109">
        <v>29</v>
      </c>
      <c r="B36" s="110">
        <v>36.67</v>
      </c>
      <c r="C36" s="110">
        <v>36.67</v>
      </c>
    </row>
    <row r="37" spans="1:3" x14ac:dyDescent="0.25">
      <c r="A37" s="109">
        <v>30</v>
      </c>
      <c r="B37" s="110">
        <v>36.26</v>
      </c>
      <c r="C37" s="110">
        <v>36.26</v>
      </c>
    </row>
    <row r="38" spans="1:3" x14ac:dyDescent="0.25">
      <c r="A38" s="109">
        <v>31</v>
      </c>
      <c r="B38" s="110">
        <v>35.840000000000003</v>
      </c>
      <c r="C38" s="110">
        <v>35.840000000000003</v>
      </c>
    </row>
    <row r="39" spans="1:3" x14ac:dyDescent="0.25">
      <c r="A39" s="109">
        <v>32</v>
      </c>
      <c r="B39" s="110">
        <v>35.42</v>
      </c>
      <c r="C39" s="110">
        <v>35.42</v>
      </c>
    </row>
    <row r="40" spans="1:3" x14ac:dyDescent="0.25">
      <c r="A40" s="109">
        <v>33</v>
      </c>
      <c r="B40" s="110">
        <v>34.99</v>
      </c>
      <c r="C40" s="110">
        <v>34.99</v>
      </c>
    </row>
    <row r="41" spans="1:3" x14ac:dyDescent="0.25">
      <c r="A41" s="109">
        <v>34</v>
      </c>
      <c r="B41" s="110">
        <v>34.549999999999997</v>
      </c>
      <c r="C41" s="110">
        <v>34.549999999999997</v>
      </c>
    </row>
    <row r="42" spans="1:3" x14ac:dyDescent="0.25">
      <c r="A42" s="109">
        <v>35</v>
      </c>
      <c r="B42" s="110">
        <v>34.1</v>
      </c>
      <c r="C42" s="110">
        <v>34.1</v>
      </c>
    </row>
    <row r="43" spans="1:3" x14ac:dyDescent="0.25">
      <c r="A43" s="109">
        <v>36</v>
      </c>
      <c r="B43" s="110">
        <v>33.65</v>
      </c>
      <c r="C43" s="110">
        <v>33.65</v>
      </c>
    </row>
    <row r="44" spans="1:3" x14ac:dyDescent="0.25">
      <c r="A44" s="109">
        <v>37</v>
      </c>
      <c r="B44" s="110">
        <v>33.200000000000003</v>
      </c>
      <c r="C44" s="110">
        <v>33.200000000000003</v>
      </c>
    </row>
    <row r="45" spans="1:3" x14ac:dyDescent="0.25">
      <c r="A45" s="109">
        <v>38</v>
      </c>
      <c r="B45" s="110">
        <v>32.729999999999997</v>
      </c>
      <c r="C45" s="110">
        <v>32.729999999999997</v>
      </c>
    </row>
    <row r="46" spans="1:3" x14ac:dyDescent="0.25">
      <c r="A46" s="109">
        <v>39</v>
      </c>
      <c r="B46" s="110">
        <v>32.26</v>
      </c>
      <c r="C46" s="110">
        <v>32.26</v>
      </c>
    </row>
    <row r="47" spans="1:3" x14ac:dyDescent="0.25">
      <c r="A47" s="109">
        <v>40</v>
      </c>
      <c r="B47" s="110">
        <v>31.78</v>
      </c>
      <c r="C47" s="110">
        <v>31.78</v>
      </c>
    </row>
    <row r="48" spans="1:3" x14ac:dyDescent="0.25">
      <c r="A48" s="109">
        <v>41</v>
      </c>
      <c r="B48" s="110">
        <v>31.29</v>
      </c>
      <c r="C48" s="110">
        <v>31.29</v>
      </c>
    </row>
    <row r="49" spans="1:3" x14ac:dyDescent="0.25">
      <c r="A49" s="109">
        <v>42</v>
      </c>
      <c r="B49" s="110">
        <v>30.8</v>
      </c>
      <c r="C49" s="110">
        <v>30.8</v>
      </c>
    </row>
    <row r="50" spans="1:3" x14ac:dyDescent="0.25">
      <c r="A50" s="109">
        <v>43</v>
      </c>
      <c r="B50" s="110">
        <v>30.3</v>
      </c>
      <c r="C50" s="110">
        <v>30.3</v>
      </c>
    </row>
    <row r="51" spans="1:3" x14ac:dyDescent="0.25">
      <c r="A51" s="109">
        <v>44</v>
      </c>
      <c r="B51" s="110">
        <v>29.79</v>
      </c>
      <c r="C51" s="110">
        <v>29.79</v>
      </c>
    </row>
    <row r="52" spans="1:3" x14ac:dyDescent="0.25">
      <c r="A52" s="109">
        <v>45</v>
      </c>
      <c r="B52" s="110">
        <v>29.27</v>
      </c>
      <c r="C52" s="110">
        <v>29.27</v>
      </c>
    </row>
    <row r="53" spans="1:3" x14ac:dyDescent="0.25">
      <c r="A53" s="109">
        <v>46</v>
      </c>
      <c r="B53" s="110">
        <v>28.75</v>
      </c>
      <c r="C53" s="110">
        <v>28.75</v>
      </c>
    </row>
    <row r="54" spans="1:3" x14ac:dyDescent="0.25">
      <c r="A54" s="109">
        <v>47</v>
      </c>
      <c r="B54" s="110">
        <v>28.22</v>
      </c>
      <c r="C54" s="110">
        <v>28.22</v>
      </c>
    </row>
    <row r="55" spans="1:3" x14ac:dyDescent="0.25">
      <c r="A55" s="109">
        <v>48</v>
      </c>
      <c r="B55" s="110">
        <v>27.68</v>
      </c>
      <c r="C55" s="110">
        <v>27.68</v>
      </c>
    </row>
    <row r="56" spans="1:3" x14ac:dyDescent="0.25">
      <c r="A56" s="109">
        <v>49</v>
      </c>
      <c r="B56" s="110">
        <v>27.14</v>
      </c>
      <c r="C56" s="110">
        <v>27.14</v>
      </c>
    </row>
    <row r="57" spans="1:3" x14ac:dyDescent="0.25">
      <c r="A57" s="109">
        <v>50</v>
      </c>
      <c r="B57" s="110">
        <v>26.59</v>
      </c>
      <c r="C57" s="110">
        <v>26.59</v>
      </c>
    </row>
    <row r="58" spans="1:3" x14ac:dyDescent="0.25">
      <c r="A58" s="109">
        <v>51</v>
      </c>
      <c r="B58" s="110">
        <v>26.03</v>
      </c>
      <c r="C58" s="110">
        <v>26.03</v>
      </c>
    </row>
    <row r="59" spans="1:3" x14ac:dyDescent="0.25">
      <c r="A59" s="109">
        <v>52</v>
      </c>
      <c r="B59" s="110">
        <v>25.47</v>
      </c>
      <c r="C59" s="110">
        <v>25.47</v>
      </c>
    </row>
    <row r="60" spans="1:3" x14ac:dyDescent="0.25">
      <c r="A60" s="109">
        <v>53</v>
      </c>
      <c r="B60" s="110">
        <v>24.9</v>
      </c>
      <c r="C60" s="110">
        <v>24.9</v>
      </c>
    </row>
    <row r="61" spans="1:3" x14ac:dyDescent="0.25">
      <c r="A61" s="109">
        <v>54</v>
      </c>
      <c r="B61" s="110">
        <v>24.32</v>
      </c>
      <c r="C61" s="110">
        <v>24.32</v>
      </c>
    </row>
    <row r="62" spans="1:3" x14ac:dyDescent="0.25">
      <c r="A62" s="109">
        <v>55</v>
      </c>
      <c r="B62" s="110">
        <v>23.73</v>
      </c>
      <c r="C62" s="110">
        <v>23.73</v>
      </c>
    </row>
    <row r="63" spans="1:3" x14ac:dyDescent="0.25">
      <c r="A63" s="109">
        <v>56</v>
      </c>
      <c r="B63" s="110">
        <v>23.14</v>
      </c>
      <c r="C63" s="110">
        <v>23.14</v>
      </c>
    </row>
    <row r="64" spans="1:3" x14ac:dyDescent="0.25">
      <c r="A64" s="109">
        <v>57</v>
      </c>
      <c r="B64" s="110">
        <v>22.55</v>
      </c>
      <c r="C64" s="110">
        <v>22.55</v>
      </c>
    </row>
    <row r="65" spans="1:3" x14ac:dyDescent="0.25">
      <c r="A65" s="109">
        <v>58</v>
      </c>
      <c r="B65" s="110">
        <v>21.95</v>
      </c>
      <c r="C65" s="110">
        <v>21.95</v>
      </c>
    </row>
    <row r="66" spans="1:3" x14ac:dyDescent="0.25">
      <c r="A66" s="109">
        <v>59</v>
      </c>
      <c r="B66" s="110">
        <v>21.35</v>
      </c>
      <c r="C66" s="110">
        <v>21.35</v>
      </c>
    </row>
    <row r="67" spans="1:3" x14ac:dyDescent="0.25">
      <c r="A67" s="109">
        <v>60</v>
      </c>
      <c r="B67" s="110">
        <v>20.73</v>
      </c>
      <c r="C67" s="110">
        <v>20.73</v>
      </c>
    </row>
    <row r="68" spans="1:3" x14ac:dyDescent="0.25">
      <c r="A68" s="109">
        <v>61</v>
      </c>
      <c r="B68" s="110">
        <v>20.09</v>
      </c>
      <c r="C68" s="110">
        <v>20.09</v>
      </c>
    </row>
    <row r="69" spans="1:3" x14ac:dyDescent="0.25">
      <c r="A69" s="109">
        <v>62</v>
      </c>
      <c r="B69" s="110">
        <v>19.46</v>
      </c>
      <c r="C69" s="110">
        <v>19.46</v>
      </c>
    </row>
    <row r="70" spans="1:3" x14ac:dyDescent="0.25">
      <c r="A70" s="109">
        <v>63</v>
      </c>
      <c r="B70" s="110">
        <v>18.82</v>
      </c>
      <c r="C70" s="110">
        <v>18.82</v>
      </c>
    </row>
    <row r="71" spans="1:3" x14ac:dyDescent="0.25">
      <c r="A71" s="109">
        <v>64</v>
      </c>
      <c r="B71" s="110">
        <v>18.190000000000001</v>
      </c>
      <c r="C71" s="110">
        <v>18.190000000000001</v>
      </c>
    </row>
    <row r="72" spans="1:3" x14ac:dyDescent="0.25">
      <c r="A72" s="109">
        <v>65</v>
      </c>
      <c r="B72" s="110">
        <v>17.559999999999999</v>
      </c>
      <c r="C72" s="110">
        <v>17.559999999999999</v>
      </c>
    </row>
    <row r="73" spans="1:3" x14ac:dyDescent="0.25">
      <c r="A73" s="109">
        <v>66</v>
      </c>
      <c r="B73" s="110">
        <v>16.940000000000001</v>
      </c>
      <c r="C73" s="110">
        <v>16.940000000000001</v>
      </c>
    </row>
    <row r="74" spans="1:3" x14ac:dyDescent="0.25">
      <c r="A74" s="109">
        <v>67</v>
      </c>
      <c r="B74" s="110">
        <v>16.309999999999999</v>
      </c>
      <c r="C74" s="110">
        <v>16.309999999999999</v>
      </c>
    </row>
    <row r="75" spans="1:3" x14ac:dyDescent="0.25">
      <c r="A75" s="109">
        <v>68</v>
      </c>
      <c r="B75" s="110">
        <v>15.68</v>
      </c>
      <c r="C75" s="110">
        <v>15.68</v>
      </c>
    </row>
    <row r="76" spans="1:3" x14ac:dyDescent="0.25">
      <c r="A76" s="109">
        <v>69</v>
      </c>
      <c r="B76" s="110">
        <v>15.05</v>
      </c>
      <c r="C76" s="110">
        <v>15.05</v>
      </c>
    </row>
    <row r="77" spans="1:3" x14ac:dyDescent="0.25">
      <c r="A77" s="109">
        <v>70</v>
      </c>
      <c r="B77" s="110">
        <v>14.43</v>
      </c>
      <c r="C77" s="110">
        <v>14.43</v>
      </c>
    </row>
    <row r="78" spans="1:3" x14ac:dyDescent="0.25">
      <c r="A78" s="109">
        <v>71</v>
      </c>
      <c r="B78" s="110">
        <v>13.8</v>
      </c>
      <c r="C78" s="110">
        <v>13.8</v>
      </c>
    </row>
    <row r="79" spans="1:3" x14ac:dyDescent="0.25">
      <c r="A79" s="109">
        <v>72</v>
      </c>
      <c r="B79" s="110">
        <v>13.18</v>
      </c>
      <c r="C79" s="110">
        <v>13.18</v>
      </c>
    </row>
    <row r="80" spans="1:3" x14ac:dyDescent="0.25">
      <c r="A80" s="109">
        <v>73</v>
      </c>
      <c r="B80" s="110">
        <v>12.57</v>
      </c>
      <c r="C80" s="110">
        <v>12.57</v>
      </c>
    </row>
    <row r="81" spans="1:3" x14ac:dyDescent="0.25">
      <c r="A81" s="109">
        <v>74</v>
      </c>
      <c r="B81" s="110">
        <v>11.96</v>
      </c>
      <c r="C81" s="110">
        <v>11.96</v>
      </c>
    </row>
    <row r="82" spans="1:3" x14ac:dyDescent="0.25">
      <c r="A82" s="109">
        <v>75</v>
      </c>
      <c r="B82" s="110">
        <v>11.37</v>
      </c>
      <c r="C82" s="110">
        <v>11.37</v>
      </c>
    </row>
  </sheetData>
  <conditionalFormatting sqref="A6:A21">
    <cfRule type="expression" dxfId="399" priority="3" stopIfTrue="1">
      <formula>MOD(ROW(),2)=0</formula>
    </cfRule>
    <cfRule type="expression" dxfId="398" priority="4" stopIfTrue="1">
      <formula>MOD(ROW(),2)&lt;&gt;0</formula>
    </cfRule>
  </conditionalFormatting>
  <conditionalFormatting sqref="A26:A82">
    <cfRule type="expression" dxfId="397" priority="9" stopIfTrue="1">
      <formula>MOD(ROW(),2)=0</formula>
    </cfRule>
    <cfRule type="expression" dxfId="396" priority="10" stopIfTrue="1">
      <formula>MOD(ROW(),2)&lt;&gt;0</formula>
    </cfRule>
  </conditionalFormatting>
  <conditionalFormatting sqref="B18:B21">
    <cfRule type="expression" dxfId="395" priority="1" stopIfTrue="1">
      <formula>MOD(ROW(),2)=0</formula>
    </cfRule>
    <cfRule type="expression" dxfId="394" priority="2" stopIfTrue="1">
      <formula>MOD(ROW(),2)&lt;&gt;0</formula>
    </cfRule>
  </conditionalFormatting>
  <conditionalFormatting sqref="B6:C21">
    <cfRule type="expression" dxfId="393" priority="23" stopIfTrue="1">
      <formula>MOD(ROW(),2)=0</formula>
    </cfRule>
    <cfRule type="expression" dxfId="392" priority="24" stopIfTrue="1">
      <formula>MOD(ROW(),2)&lt;&gt;0</formula>
    </cfRule>
  </conditionalFormatting>
  <conditionalFormatting sqref="B26:C82">
    <cfRule type="expression" dxfId="391" priority="11" stopIfTrue="1">
      <formula>MOD(ROW(),2)=0</formula>
    </cfRule>
    <cfRule type="expression" dxfId="390" priority="12" stopIfTrue="1">
      <formula>MOD(ROW(),2)&lt;&gt;0</formula>
    </cfRule>
  </conditionalFormatting>
  <hyperlinks>
    <hyperlink ref="B24" location="Assumptions!A1" display="Assumptions" xr:uid="{EEDBE8E2-D14E-4213-8C0C-9C7D421D497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1"/>
  <dimension ref="A1:I86"/>
  <sheetViews>
    <sheetView workbookViewId="0"/>
  </sheetViews>
  <sheetFormatPr defaultColWidth="10" defaultRowHeight="12.5" x14ac:dyDescent="0.25"/>
  <cols>
    <col min="1" max="1" width="31.54296875" style="28" customWidth="1"/>
    <col min="2" max="4" width="22.54296875"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x-701</v>
      </c>
      <c r="B3" s="56"/>
      <c r="C3" s="56"/>
      <c r="D3" s="56"/>
      <c r="E3" s="56"/>
      <c r="F3" s="56"/>
      <c r="G3" s="56"/>
      <c r="H3" s="56"/>
      <c r="I3" s="56"/>
    </row>
    <row r="4" spans="1:9" x14ac:dyDescent="0.25">
      <c r="A4" s="58"/>
    </row>
    <row r="6" spans="1:9" ht="13" x14ac:dyDescent="0.3">
      <c r="A6" s="92" t="s">
        <v>716</v>
      </c>
      <c r="B6" s="181" t="s">
        <v>717</v>
      </c>
      <c r="C6" s="181"/>
      <c r="D6" s="181"/>
    </row>
    <row r="7" spans="1:9" x14ac:dyDescent="0.25">
      <c r="A7" s="94" t="s">
        <v>797</v>
      </c>
      <c r="B7" s="181" t="s">
        <v>316</v>
      </c>
      <c r="C7" s="181"/>
      <c r="D7" s="181"/>
    </row>
    <row r="8" spans="1:9" x14ac:dyDescent="0.25">
      <c r="A8" s="94" t="s">
        <v>798</v>
      </c>
      <c r="B8" s="181" t="s">
        <v>92</v>
      </c>
      <c r="C8" s="181"/>
      <c r="D8" s="181"/>
    </row>
    <row r="9" spans="1:9" x14ac:dyDescent="0.25">
      <c r="A9" s="94" t="s">
        <v>300</v>
      </c>
      <c r="B9" s="181" t="s">
        <v>601</v>
      </c>
      <c r="C9" s="181"/>
      <c r="D9" s="181"/>
    </row>
    <row r="10" spans="1:9" x14ac:dyDescent="0.25">
      <c r="A10" s="94" t="s">
        <v>6</v>
      </c>
      <c r="B10" s="181" t="s">
        <v>602</v>
      </c>
      <c r="C10" s="181"/>
      <c r="D10" s="181"/>
    </row>
    <row r="11" spans="1:9" x14ac:dyDescent="0.25">
      <c r="A11" s="94" t="s">
        <v>301</v>
      </c>
      <c r="B11" s="181" t="s">
        <v>334</v>
      </c>
      <c r="C11" s="181"/>
      <c r="D11" s="181"/>
    </row>
    <row r="12" spans="1:9" x14ac:dyDescent="0.25">
      <c r="A12" s="94" t="s">
        <v>302</v>
      </c>
      <c r="B12" s="181" t="s">
        <v>335</v>
      </c>
      <c r="C12" s="181"/>
      <c r="D12" s="181"/>
    </row>
    <row r="13" spans="1:9" x14ac:dyDescent="0.25">
      <c r="A13" s="94" t="s">
        <v>813</v>
      </c>
      <c r="B13" s="181">
        <v>0</v>
      </c>
      <c r="C13" s="181"/>
      <c r="D13" s="181"/>
    </row>
    <row r="14" spans="1:9" x14ac:dyDescent="0.25">
      <c r="A14" s="94" t="s">
        <v>304</v>
      </c>
      <c r="B14" s="181">
        <v>701</v>
      </c>
      <c r="C14" s="181"/>
      <c r="D14" s="181"/>
    </row>
    <row r="15" spans="1:9" x14ac:dyDescent="0.25">
      <c r="A15" s="94" t="s">
        <v>727</v>
      </c>
      <c r="B15" s="181" t="s">
        <v>603</v>
      </c>
      <c r="C15" s="181"/>
      <c r="D15" s="181"/>
    </row>
    <row r="16" spans="1:9" x14ac:dyDescent="0.25">
      <c r="A16" s="94" t="s">
        <v>306</v>
      </c>
      <c r="B16" s="181" t="s">
        <v>604</v>
      </c>
      <c r="C16" s="181"/>
      <c r="D16" s="181"/>
    </row>
    <row r="17" spans="1:4" x14ac:dyDescent="0.25">
      <c r="A17" s="94" t="s">
        <v>800</v>
      </c>
      <c r="B17" s="181"/>
      <c r="C17" s="181"/>
      <c r="D17" s="181"/>
    </row>
    <row r="18" spans="1:4" x14ac:dyDescent="0.25">
      <c r="A18" s="94" t="s">
        <v>308</v>
      </c>
      <c r="B18" s="185">
        <v>45184</v>
      </c>
      <c r="C18" s="181"/>
      <c r="D18" s="181"/>
    </row>
    <row r="19" spans="1:4" x14ac:dyDescent="0.25">
      <c r="A19" s="94" t="s">
        <v>309</v>
      </c>
      <c r="B19" s="185">
        <v>45383</v>
      </c>
      <c r="C19" s="181"/>
      <c r="D19" s="181"/>
    </row>
    <row r="20" spans="1:4" x14ac:dyDescent="0.25">
      <c r="A20" s="94" t="s">
        <v>310</v>
      </c>
      <c r="B20" s="181" t="s">
        <v>324</v>
      </c>
      <c r="C20" s="181"/>
      <c r="D20" s="181"/>
    </row>
    <row r="21" spans="1:4" x14ac:dyDescent="0.25">
      <c r="A21" s="87" t="s">
        <v>311</v>
      </c>
      <c r="B21" s="181" t="s">
        <v>325</v>
      </c>
      <c r="C21" s="181"/>
      <c r="D21" s="181"/>
    </row>
    <row r="23" spans="1:4" x14ac:dyDescent="0.25">
      <c r="B23" s="104" t="str">
        <f>HYPERLINK("#'Factor List'!A1","Back to Factor List")</f>
        <v>Back to Factor List</v>
      </c>
    </row>
    <row r="24" spans="1:4" x14ac:dyDescent="0.25">
      <c r="B24" s="104" t="s">
        <v>13</v>
      </c>
    </row>
    <row r="26" spans="1:4" ht="26" x14ac:dyDescent="0.25">
      <c r="A26" s="108" t="s">
        <v>534</v>
      </c>
      <c r="B26" s="108" t="s">
        <v>974</v>
      </c>
      <c r="C26" s="108" t="s">
        <v>975</v>
      </c>
      <c r="D26" s="108" t="s">
        <v>976</v>
      </c>
    </row>
    <row r="27" spans="1:4" x14ac:dyDescent="0.25">
      <c r="A27" s="109">
        <v>16</v>
      </c>
      <c r="B27" s="110">
        <v>3.63</v>
      </c>
      <c r="C27" s="110">
        <v>3.63</v>
      </c>
      <c r="D27" s="110">
        <v>3.9</v>
      </c>
    </row>
    <row r="28" spans="1:4" x14ac:dyDescent="0.25">
      <c r="A28" s="109">
        <v>17</v>
      </c>
      <c r="B28" s="110">
        <v>3.75</v>
      </c>
      <c r="C28" s="110">
        <v>3.75</v>
      </c>
      <c r="D28" s="110">
        <v>4.04</v>
      </c>
    </row>
    <row r="29" spans="1:4" x14ac:dyDescent="0.25">
      <c r="A29" s="109">
        <v>18</v>
      </c>
      <c r="B29" s="110">
        <v>3.88</v>
      </c>
      <c r="C29" s="110">
        <v>3.88</v>
      </c>
      <c r="D29" s="110">
        <v>4.2</v>
      </c>
    </row>
    <row r="30" spans="1:4" x14ac:dyDescent="0.25">
      <c r="A30" s="109">
        <v>19</v>
      </c>
      <c r="B30" s="110">
        <v>4.01</v>
      </c>
      <c r="C30" s="110">
        <v>4.01</v>
      </c>
      <c r="D30" s="110">
        <v>4.3499999999999996</v>
      </c>
    </row>
    <row r="31" spans="1:4" x14ac:dyDescent="0.25">
      <c r="A31" s="109">
        <v>20</v>
      </c>
      <c r="B31" s="110">
        <v>4.1500000000000004</v>
      </c>
      <c r="C31" s="110">
        <v>4.1500000000000004</v>
      </c>
      <c r="D31" s="110">
        <v>4.5</v>
      </c>
    </row>
    <row r="32" spans="1:4" x14ac:dyDescent="0.25">
      <c r="A32" s="109">
        <v>21</v>
      </c>
      <c r="B32" s="110">
        <v>4.29</v>
      </c>
      <c r="C32" s="110">
        <v>4.29</v>
      </c>
      <c r="D32" s="110">
        <v>4.6500000000000004</v>
      </c>
    </row>
    <row r="33" spans="1:4" x14ac:dyDescent="0.25">
      <c r="A33" s="109">
        <v>22</v>
      </c>
      <c r="B33" s="110">
        <v>4.4400000000000004</v>
      </c>
      <c r="C33" s="110">
        <v>4.4400000000000004</v>
      </c>
      <c r="D33" s="110">
        <v>4.8099999999999996</v>
      </c>
    </row>
    <row r="34" spans="1:4" x14ac:dyDescent="0.25">
      <c r="A34" s="109">
        <v>23</v>
      </c>
      <c r="B34" s="110">
        <v>4.59</v>
      </c>
      <c r="C34" s="110">
        <v>4.59</v>
      </c>
      <c r="D34" s="110">
        <v>4.9800000000000004</v>
      </c>
    </row>
    <row r="35" spans="1:4" x14ac:dyDescent="0.25">
      <c r="A35" s="109">
        <v>24</v>
      </c>
      <c r="B35" s="110">
        <v>4.75</v>
      </c>
      <c r="C35" s="110">
        <v>4.75</v>
      </c>
      <c r="D35" s="110">
        <v>5.15</v>
      </c>
    </row>
    <row r="36" spans="1:4" x14ac:dyDescent="0.25">
      <c r="A36" s="109">
        <v>25</v>
      </c>
      <c r="B36" s="110">
        <v>4.92</v>
      </c>
      <c r="C36" s="110">
        <v>4.92</v>
      </c>
      <c r="D36" s="110">
        <v>5.33</v>
      </c>
    </row>
    <row r="37" spans="1:4" x14ac:dyDescent="0.25">
      <c r="A37" s="109">
        <v>26</v>
      </c>
      <c r="B37" s="110">
        <v>5.08</v>
      </c>
      <c r="C37" s="110">
        <v>5.08</v>
      </c>
      <c r="D37" s="110">
        <v>5.51</v>
      </c>
    </row>
    <row r="38" spans="1:4" x14ac:dyDescent="0.25">
      <c r="A38" s="109">
        <v>27</v>
      </c>
      <c r="B38" s="110">
        <v>5.26</v>
      </c>
      <c r="C38" s="110">
        <v>5.26</v>
      </c>
      <c r="D38" s="110">
        <v>5.7</v>
      </c>
    </row>
    <row r="39" spans="1:4" x14ac:dyDescent="0.25">
      <c r="A39" s="109">
        <v>28</v>
      </c>
      <c r="B39" s="110">
        <v>5.44</v>
      </c>
      <c r="C39" s="110">
        <v>5.44</v>
      </c>
      <c r="D39" s="110">
        <v>5.9</v>
      </c>
    </row>
    <row r="40" spans="1:4" x14ac:dyDescent="0.25">
      <c r="A40" s="109">
        <v>29</v>
      </c>
      <c r="B40" s="110">
        <v>5.63</v>
      </c>
      <c r="C40" s="110">
        <v>5.63</v>
      </c>
      <c r="D40" s="110">
        <v>6.1</v>
      </c>
    </row>
    <row r="41" spans="1:4" x14ac:dyDescent="0.25">
      <c r="A41" s="109">
        <v>30</v>
      </c>
      <c r="B41" s="110">
        <v>5.82</v>
      </c>
      <c r="C41" s="110">
        <v>5.82</v>
      </c>
      <c r="D41" s="110">
        <v>6.31</v>
      </c>
    </row>
    <row r="42" spans="1:4" x14ac:dyDescent="0.25">
      <c r="A42" s="109">
        <v>31</v>
      </c>
      <c r="B42" s="110">
        <v>6.02</v>
      </c>
      <c r="C42" s="110">
        <v>6.02</v>
      </c>
      <c r="D42" s="110">
        <v>6.52</v>
      </c>
    </row>
    <row r="43" spans="1:4" x14ac:dyDescent="0.25">
      <c r="A43" s="109">
        <v>32</v>
      </c>
      <c r="B43" s="110">
        <v>6.22</v>
      </c>
      <c r="C43" s="110">
        <v>6.22</v>
      </c>
      <c r="D43" s="110">
        <v>6.74</v>
      </c>
    </row>
    <row r="44" spans="1:4" x14ac:dyDescent="0.25">
      <c r="A44" s="109">
        <v>33</v>
      </c>
      <c r="B44" s="110">
        <v>6.43</v>
      </c>
      <c r="C44" s="110">
        <v>6.43</v>
      </c>
      <c r="D44" s="110">
        <v>6.97</v>
      </c>
    </row>
    <row r="45" spans="1:4" x14ac:dyDescent="0.25">
      <c r="A45" s="109">
        <v>34</v>
      </c>
      <c r="B45" s="110">
        <v>6.64</v>
      </c>
      <c r="C45" s="110">
        <v>6.64</v>
      </c>
      <c r="D45" s="110">
        <v>7.2</v>
      </c>
    </row>
    <row r="46" spans="1:4" x14ac:dyDescent="0.25">
      <c r="A46" s="109">
        <v>35</v>
      </c>
      <c r="B46" s="110">
        <v>6.87</v>
      </c>
      <c r="C46" s="110">
        <v>6.87</v>
      </c>
      <c r="D46" s="110">
        <v>7.44</v>
      </c>
    </row>
    <row r="47" spans="1:4" x14ac:dyDescent="0.25">
      <c r="A47" s="109">
        <v>36</v>
      </c>
      <c r="B47" s="110">
        <v>7.09</v>
      </c>
      <c r="C47" s="110">
        <v>7.09</v>
      </c>
      <c r="D47" s="110">
        <v>7.69</v>
      </c>
    </row>
    <row r="48" spans="1:4" x14ac:dyDescent="0.25">
      <c r="A48" s="109">
        <v>37</v>
      </c>
      <c r="B48" s="110">
        <v>7.33</v>
      </c>
      <c r="C48" s="110">
        <v>7.33</v>
      </c>
      <c r="D48" s="110">
        <v>7.95</v>
      </c>
    </row>
    <row r="49" spans="1:4" x14ac:dyDescent="0.25">
      <c r="A49" s="109">
        <v>38</v>
      </c>
      <c r="B49" s="110">
        <v>7.57</v>
      </c>
      <c r="C49" s="110">
        <v>7.57</v>
      </c>
      <c r="D49" s="110">
        <v>8.2100000000000009</v>
      </c>
    </row>
    <row r="50" spans="1:4" x14ac:dyDescent="0.25">
      <c r="A50" s="109">
        <v>39</v>
      </c>
      <c r="B50" s="110">
        <v>7.82</v>
      </c>
      <c r="C50" s="110">
        <v>7.82</v>
      </c>
      <c r="D50" s="110">
        <v>8.48</v>
      </c>
    </row>
    <row r="51" spans="1:4" x14ac:dyDescent="0.25">
      <c r="A51" s="109">
        <v>40</v>
      </c>
      <c r="B51" s="110">
        <v>8.08</v>
      </c>
      <c r="C51" s="110">
        <v>8.08</v>
      </c>
      <c r="D51" s="110">
        <v>8.76</v>
      </c>
    </row>
    <row r="52" spans="1:4" x14ac:dyDescent="0.25">
      <c r="A52" s="109">
        <v>41</v>
      </c>
      <c r="B52" s="110">
        <v>8.34</v>
      </c>
      <c r="C52" s="110">
        <v>8.34</v>
      </c>
      <c r="D52" s="110">
        <v>9.0500000000000007</v>
      </c>
    </row>
    <row r="53" spans="1:4" x14ac:dyDescent="0.25">
      <c r="A53" s="109">
        <v>42</v>
      </c>
      <c r="B53" s="110">
        <v>8.6199999999999992</v>
      </c>
      <c r="C53" s="110">
        <v>8.6199999999999992</v>
      </c>
      <c r="D53" s="110">
        <v>9.34</v>
      </c>
    </row>
    <row r="54" spans="1:4" x14ac:dyDescent="0.25">
      <c r="A54" s="109">
        <v>43</v>
      </c>
      <c r="B54" s="110">
        <v>8.9</v>
      </c>
      <c r="C54" s="110">
        <v>8.9</v>
      </c>
      <c r="D54" s="110">
        <v>9.65</v>
      </c>
    </row>
    <row r="55" spans="1:4" x14ac:dyDescent="0.25">
      <c r="A55" s="109">
        <v>44</v>
      </c>
      <c r="B55" s="110">
        <v>9.19</v>
      </c>
      <c r="C55" s="110">
        <v>9.19</v>
      </c>
      <c r="D55" s="110">
        <v>9.9600000000000009</v>
      </c>
    </row>
    <row r="56" spans="1:4" x14ac:dyDescent="0.25">
      <c r="A56" s="109">
        <v>45</v>
      </c>
      <c r="B56" s="110">
        <v>9.49</v>
      </c>
      <c r="C56" s="110">
        <v>9.49</v>
      </c>
      <c r="D56" s="110">
        <v>10.29</v>
      </c>
    </row>
    <row r="57" spans="1:4" x14ac:dyDescent="0.25">
      <c r="A57" s="109">
        <v>46</v>
      </c>
      <c r="B57" s="110">
        <v>9.8000000000000007</v>
      </c>
      <c r="C57" s="110">
        <v>9.8000000000000007</v>
      </c>
      <c r="D57" s="110">
        <v>10.62</v>
      </c>
    </row>
    <row r="58" spans="1:4" x14ac:dyDescent="0.25">
      <c r="A58" s="109">
        <v>47</v>
      </c>
      <c r="B58" s="110">
        <v>10.119999999999999</v>
      </c>
      <c r="C58" s="110">
        <v>10.119999999999999</v>
      </c>
      <c r="D58" s="110">
        <v>10.97</v>
      </c>
    </row>
    <row r="59" spans="1:4" x14ac:dyDescent="0.25">
      <c r="A59" s="109">
        <v>48</v>
      </c>
      <c r="B59" s="110">
        <v>10.44</v>
      </c>
      <c r="C59" s="110">
        <v>10.44</v>
      </c>
      <c r="D59" s="110">
        <v>11.32</v>
      </c>
    </row>
    <row r="60" spans="1:4" x14ac:dyDescent="0.25">
      <c r="A60" s="109">
        <v>49</v>
      </c>
      <c r="B60" s="110">
        <v>10.78</v>
      </c>
      <c r="C60" s="110">
        <v>10.78</v>
      </c>
      <c r="D60" s="110">
        <v>11.68</v>
      </c>
    </row>
    <row r="61" spans="1:4" x14ac:dyDescent="0.25">
      <c r="A61" s="109">
        <v>50</v>
      </c>
      <c r="B61" s="110">
        <v>11.13</v>
      </c>
      <c r="C61" s="110">
        <v>11.13</v>
      </c>
      <c r="D61" s="110">
        <v>12.06</v>
      </c>
    </row>
    <row r="62" spans="1:4" x14ac:dyDescent="0.25">
      <c r="A62" s="109">
        <v>51</v>
      </c>
      <c r="B62" s="110">
        <v>11.49</v>
      </c>
      <c r="C62" s="110">
        <v>11.49</v>
      </c>
      <c r="D62" s="110">
        <v>12.44</v>
      </c>
    </row>
    <row r="63" spans="1:4" x14ac:dyDescent="0.25">
      <c r="A63" s="109">
        <v>52</v>
      </c>
      <c r="B63" s="110">
        <v>11.85</v>
      </c>
      <c r="C63" s="110">
        <v>11.85</v>
      </c>
      <c r="D63" s="110">
        <v>12.84</v>
      </c>
    </row>
    <row r="64" spans="1:4" x14ac:dyDescent="0.25">
      <c r="A64" s="109">
        <v>53</v>
      </c>
      <c r="B64" s="110">
        <v>12.23</v>
      </c>
      <c r="C64" s="110">
        <v>12.23</v>
      </c>
      <c r="D64" s="110">
        <v>13.24</v>
      </c>
    </row>
    <row r="65" spans="1:4" x14ac:dyDescent="0.25">
      <c r="A65" s="109">
        <v>54</v>
      </c>
      <c r="B65" s="110">
        <v>12.63</v>
      </c>
      <c r="C65" s="110">
        <v>12.63</v>
      </c>
      <c r="D65" s="110">
        <v>13.67</v>
      </c>
    </row>
    <row r="66" spans="1:4" x14ac:dyDescent="0.25">
      <c r="A66" s="109">
        <v>55</v>
      </c>
      <c r="B66" s="110">
        <v>13.04</v>
      </c>
      <c r="C66" s="110">
        <v>13.04</v>
      </c>
      <c r="D66" s="110">
        <v>14.1</v>
      </c>
    </row>
    <row r="67" spans="1:4" x14ac:dyDescent="0.25">
      <c r="A67" s="109">
        <v>56</v>
      </c>
      <c r="B67" s="110">
        <v>13.46</v>
      </c>
      <c r="C67" s="110">
        <v>13.46</v>
      </c>
      <c r="D67" s="110">
        <v>14.55</v>
      </c>
    </row>
    <row r="68" spans="1:4" x14ac:dyDescent="0.25">
      <c r="A68" s="109">
        <v>57</v>
      </c>
      <c r="B68" s="110">
        <v>13.9</v>
      </c>
      <c r="C68" s="110">
        <v>13.9</v>
      </c>
      <c r="D68" s="110">
        <v>15.02</v>
      </c>
    </row>
    <row r="69" spans="1:4" x14ac:dyDescent="0.25">
      <c r="A69" s="109">
        <v>58</v>
      </c>
      <c r="B69" s="110">
        <v>14.36</v>
      </c>
      <c r="C69" s="110">
        <v>14.36</v>
      </c>
      <c r="D69" s="110">
        <v>15.51</v>
      </c>
    </row>
    <row r="70" spans="1:4" x14ac:dyDescent="0.25">
      <c r="A70" s="109">
        <v>59</v>
      </c>
      <c r="B70" s="110">
        <v>14.83</v>
      </c>
      <c r="C70" s="110">
        <v>14.83</v>
      </c>
      <c r="D70" s="110">
        <v>16.010000000000002</v>
      </c>
    </row>
    <row r="71" spans="1:4" x14ac:dyDescent="0.25">
      <c r="A71" s="109">
        <v>60</v>
      </c>
      <c r="B71" s="110">
        <v>15.33</v>
      </c>
      <c r="C71" s="110">
        <v>15.33</v>
      </c>
      <c r="D71" s="110">
        <v>16.54</v>
      </c>
    </row>
    <row r="72" spans="1:4" x14ac:dyDescent="0.25">
      <c r="A72" s="109">
        <v>61</v>
      </c>
      <c r="B72" s="110">
        <v>15.86</v>
      </c>
      <c r="C72" s="110">
        <v>15.86</v>
      </c>
      <c r="D72" s="110">
        <v>17.100000000000001</v>
      </c>
    </row>
    <row r="73" spans="1:4" x14ac:dyDescent="0.25">
      <c r="A73" s="109">
        <v>62</v>
      </c>
      <c r="B73" s="110">
        <v>16.420000000000002</v>
      </c>
      <c r="C73" s="110">
        <v>16.420000000000002</v>
      </c>
      <c r="D73" s="110">
        <v>17.690000000000001</v>
      </c>
    </row>
    <row r="74" spans="1:4" x14ac:dyDescent="0.25">
      <c r="A74" s="109">
        <v>63</v>
      </c>
      <c r="B74" s="110">
        <v>17.010000000000002</v>
      </c>
      <c r="C74" s="110">
        <v>17.010000000000002</v>
      </c>
      <c r="D74" s="110">
        <v>18.309999999999999</v>
      </c>
    </row>
    <row r="75" spans="1:4" x14ac:dyDescent="0.25">
      <c r="A75" s="109">
        <v>64</v>
      </c>
      <c r="B75" s="110">
        <v>17.649999999999999</v>
      </c>
      <c r="C75" s="110">
        <v>17.649999999999999</v>
      </c>
      <c r="D75" s="110">
        <v>18.97</v>
      </c>
    </row>
    <row r="76" spans="1:4" x14ac:dyDescent="0.25">
      <c r="A76" s="109">
        <v>65</v>
      </c>
      <c r="B76" s="110">
        <v>17.670000000000002</v>
      </c>
      <c r="C76" s="110">
        <v>17.670000000000002</v>
      </c>
      <c r="D76" s="110">
        <v>19</v>
      </c>
    </row>
    <row r="77" spans="1:4" x14ac:dyDescent="0.25">
      <c r="A77" s="109">
        <v>66</v>
      </c>
      <c r="B77" s="110">
        <v>17.05</v>
      </c>
      <c r="C77" s="110">
        <v>17.05</v>
      </c>
      <c r="D77" s="110">
        <v>18.38</v>
      </c>
    </row>
    <row r="78" spans="1:4" x14ac:dyDescent="0.25">
      <c r="A78" s="109">
        <v>67</v>
      </c>
      <c r="B78" s="110">
        <v>16.43</v>
      </c>
      <c r="C78" s="110">
        <v>16.43</v>
      </c>
      <c r="D78" s="110">
        <v>17.760000000000002</v>
      </c>
    </row>
    <row r="79" spans="1:4" x14ac:dyDescent="0.25">
      <c r="A79" s="109">
        <v>68</v>
      </c>
      <c r="B79" s="110">
        <v>15.82</v>
      </c>
      <c r="C79" s="110">
        <v>15.82</v>
      </c>
      <c r="D79" s="110">
        <v>17.13</v>
      </c>
    </row>
    <row r="80" spans="1:4" x14ac:dyDescent="0.25">
      <c r="A80" s="109">
        <v>69</v>
      </c>
      <c r="B80" s="110">
        <v>15.21</v>
      </c>
      <c r="C80" s="110">
        <v>15.21</v>
      </c>
      <c r="D80" s="110">
        <v>16.510000000000002</v>
      </c>
    </row>
    <row r="81" spans="1:4" x14ac:dyDescent="0.25">
      <c r="A81" s="109">
        <v>70</v>
      </c>
      <c r="B81" s="110">
        <v>14.6</v>
      </c>
      <c r="C81" s="110">
        <v>14.6</v>
      </c>
      <c r="D81" s="110">
        <v>15.89</v>
      </c>
    </row>
    <row r="82" spans="1:4" x14ac:dyDescent="0.25">
      <c r="A82" s="109">
        <v>71</v>
      </c>
      <c r="B82" s="110">
        <v>14</v>
      </c>
      <c r="C82" s="110">
        <v>14</v>
      </c>
      <c r="D82" s="110">
        <v>15.28</v>
      </c>
    </row>
    <row r="83" spans="1:4" x14ac:dyDescent="0.25">
      <c r="A83" s="109">
        <v>72</v>
      </c>
      <c r="B83" s="110">
        <v>13.4</v>
      </c>
      <c r="C83" s="110">
        <v>13.4</v>
      </c>
      <c r="D83" s="110">
        <v>14.67</v>
      </c>
    </row>
    <row r="84" spans="1:4" x14ac:dyDescent="0.25">
      <c r="A84" s="109">
        <v>73</v>
      </c>
      <c r="B84" s="110">
        <v>12.82</v>
      </c>
      <c r="C84" s="110">
        <v>12.82</v>
      </c>
      <c r="D84" s="110">
        <v>14.06</v>
      </c>
    </row>
    <row r="85" spans="1:4" x14ac:dyDescent="0.25">
      <c r="A85" s="109">
        <v>74</v>
      </c>
      <c r="B85" s="110">
        <v>12.24</v>
      </c>
      <c r="C85" s="110">
        <v>12.24</v>
      </c>
      <c r="D85" s="110">
        <v>13.47</v>
      </c>
    </row>
    <row r="86" spans="1:4" x14ac:dyDescent="0.25">
      <c r="A86" s="109">
        <v>75</v>
      </c>
      <c r="B86" s="110">
        <v>11.96</v>
      </c>
      <c r="C86" s="110">
        <v>11.96</v>
      </c>
      <c r="D86" s="110">
        <v>13.17</v>
      </c>
    </row>
  </sheetData>
  <conditionalFormatting sqref="A6:A21">
    <cfRule type="expression" dxfId="389" priority="3" stopIfTrue="1">
      <formula>MOD(ROW(),2)=0</formula>
    </cfRule>
    <cfRule type="expression" dxfId="388" priority="4" stopIfTrue="1">
      <formula>MOD(ROW(),2)&lt;&gt;0</formula>
    </cfRule>
  </conditionalFormatting>
  <conditionalFormatting sqref="A26:A86">
    <cfRule type="expression" dxfId="387" priority="7" stopIfTrue="1">
      <formula>MOD(ROW(),2)=0</formula>
    </cfRule>
    <cfRule type="expression" dxfId="386" priority="8" stopIfTrue="1">
      <formula>MOD(ROW(),2)&lt;&gt;0</formula>
    </cfRule>
  </conditionalFormatting>
  <conditionalFormatting sqref="B18:B21">
    <cfRule type="expression" dxfId="385" priority="1" stopIfTrue="1">
      <formula>MOD(ROW(),2)=0</formula>
    </cfRule>
    <cfRule type="expression" dxfId="384" priority="2" stopIfTrue="1">
      <formula>MOD(ROW(),2)&lt;&gt;0</formula>
    </cfRule>
  </conditionalFormatting>
  <conditionalFormatting sqref="B6:D21">
    <cfRule type="expression" dxfId="383" priority="21" stopIfTrue="1">
      <formula>MOD(ROW(),2)=0</formula>
    </cfRule>
    <cfRule type="expression" dxfId="382" priority="22" stopIfTrue="1">
      <formula>MOD(ROW(),2)&lt;&gt;0</formula>
    </cfRule>
  </conditionalFormatting>
  <conditionalFormatting sqref="B26:D86">
    <cfRule type="expression" dxfId="381" priority="9" stopIfTrue="1">
      <formula>MOD(ROW(),2)=0</formula>
    </cfRule>
    <cfRule type="expression" dxfId="380" priority="10" stopIfTrue="1">
      <formula>MOD(ROW(),2)&lt;&gt;0</formula>
    </cfRule>
  </conditionalFormatting>
  <hyperlinks>
    <hyperlink ref="B24" location="Assumptions!A1" display="Assumptions" xr:uid="{3E62FE4C-56EE-4E82-8A94-92D459F5EA3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2"/>
  <dimension ref="A1:I86"/>
  <sheetViews>
    <sheetView workbookViewId="0"/>
  </sheetViews>
  <sheetFormatPr defaultColWidth="10" defaultRowHeight="12.5" x14ac:dyDescent="0.25"/>
  <cols>
    <col min="1" max="1" width="31.54296875" style="28" customWidth="1"/>
    <col min="2" max="4" width="22.54296875"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x-702</v>
      </c>
      <c r="B3" s="56"/>
      <c r="C3" s="56"/>
      <c r="D3" s="56"/>
      <c r="E3" s="56"/>
      <c r="F3" s="56"/>
      <c r="G3" s="56"/>
      <c r="H3" s="56"/>
      <c r="I3" s="56"/>
    </row>
    <row r="4" spans="1:9" x14ac:dyDescent="0.25">
      <c r="A4" s="58"/>
    </row>
    <row r="6" spans="1:9" ht="13" x14ac:dyDescent="0.3">
      <c r="A6" s="92" t="s">
        <v>716</v>
      </c>
      <c r="B6" s="181" t="s">
        <v>717</v>
      </c>
      <c r="C6" s="181"/>
      <c r="D6" s="181"/>
    </row>
    <row r="7" spans="1:9" x14ac:dyDescent="0.25">
      <c r="A7" s="94" t="s">
        <v>797</v>
      </c>
      <c r="B7" s="181" t="s">
        <v>316</v>
      </c>
      <c r="C7" s="181"/>
      <c r="D7" s="181"/>
    </row>
    <row r="8" spans="1:9" x14ac:dyDescent="0.25">
      <c r="A8" s="94" t="s">
        <v>798</v>
      </c>
      <c r="B8" s="181" t="s">
        <v>92</v>
      </c>
      <c r="C8" s="181"/>
      <c r="D8" s="181"/>
    </row>
    <row r="9" spans="1:9" x14ac:dyDescent="0.25">
      <c r="A9" s="94" t="s">
        <v>300</v>
      </c>
      <c r="B9" s="181" t="s">
        <v>601</v>
      </c>
      <c r="C9" s="181"/>
      <c r="D9" s="181"/>
    </row>
    <row r="10" spans="1:9" x14ac:dyDescent="0.25">
      <c r="A10" s="94" t="s">
        <v>6</v>
      </c>
      <c r="B10" s="181" t="s">
        <v>605</v>
      </c>
      <c r="C10" s="181"/>
      <c r="D10" s="181"/>
    </row>
    <row r="11" spans="1:9" x14ac:dyDescent="0.25">
      <c r="A11" s="94" t="s">
        <v>301</v>
      </c>
      <c r="B11" s="181" t="s">
        <v>334</v>
      </c>
      <c r="C11" s="181"/>
      <c r="D11" s="181"/>
    </row>
    <row r="12" spans="1:9" x14ac:dyDescent="0.25">
      <c r="A12" s="94" t="s">
        <v>302</v>
      </c>
      <c r="B12" s="181" t="s">
        <v>335</v>
      </c>
      <c r="C12" s="181"/>
      <c r="D12" s="181"/>
    </row>
    <row r="13" spans="1:9" x14ac:dyDescent="0.25">
      <c r="A13" s="94" t="s">
        <v>813</v>
      </c>
      <c r="B13" s="181">
        <v>0</v>
      </c>
      <c r="C13" s="181"/>
      <c r="D13" s="181"/>
    </row>
    <row r="14" spans="1:9" x14ac:dyDescent="0.25">
      <c r="A14" s="94" t="s">
        <v>304</v>
      </c>
      <c r="B14" s="181">
        <v>702</v>
      </c>
      <c r="C14" s="181"/>
      <c r="D14" s="181"/>
    </row>
    <row r="15" spans="1:9" x14ac:dyDescent="0.25">
      <c r="A15" s="94" t="s">
        <v>727</v>
      </c>
      <c r="B15" s="181" t="s">
        <v>606</v>
      </c>
      <c r="C15" s="181"/>
      <c r="D15" s="181"/>
    </row>
    <row r="16" spans="1:9" x14ac:dyDescent="0.25">
      <c r="A16" s="94" t="s">
        <v>306</v>
      </c>
      <c r="B16" s="181" t="s">
        <v>607</v>
      </c>
      <c r="C16" s="181"/>
      <c r="D16" s="181"/>
    </row>
    <row r="17" spans="1:4" x14ac:dyDescent="0.25">
      <c r="A17" s="94" t="s">
        <v>800</v>
      </c>
      <c r="B17" s="181"/>
      <c r="C17" s="181"/>
      <c r="D17" s="181"/>
    </row>
    <row r="18" spans="1:4" x14ac:dyDescent="0.25">
      <c r="A18" s="94" t="s">
        <v>308</v>
      </c>
      <c r="B18" s="185">
        <v>45184</v>
      </c>
      <c r="C18" s="181"/>
      <c r="D18" s="181"/>
    </row>
    <row r="19" spans="1:4" x14ac:dyDescent="0.25">
      <c r="A19" s="94" t="s">
        <v>309</v>
      </c>
      <c r="B19" s="185">
        <v>45383</v>
      </c>
      <c r="C19" s="181"/>
      <c r="D19" s="181"/>
    </row>
    <row r="20" spans="1:4" x14ac:dyDescent="0.25">
      <c r="A20" s="94" t="s">
        <v>310</v>
      </c>
      <c r="B20" s="181" t="s">
        <v>324</v>
      </c>
      <c r="C20" s="181"/>
      <c r="D20" s="181"/>
    </row>
    <row r="21" spans="1:4" x14ac:dyDescent="0.25">
      <c r="A21" s="87" t="s">
        <v>311</v>
      </c>
      <c r="B21" s="181" t="s">
        <v>325</v>
      </c>
      <c r="C21" s="181"/>
      <c r="D21" s="181"/>
    </row>
    <row r="23" spans="1:4" x14ac:dyDescent="0.25">
      <c r="B23" s="104" t="str">
        <f>HYPERLINK("#'Factor List'!A1","Back to Factor List")</f>
        <v>Back to Factor List</v>
      </c>
    </row>
    <row r="24" spans="1:4" x14ac:dyDescent="0.25">
      <c r="B24" s="104" t="s">
        <v>13</v>
      </c>
    </row>
    <row r="26" spans="1:4" ht="26" x14ac:dyDescent="0.25">
      <c r="A26" s="108" t="s">
        <v>534</v>
      </c>
      <c r="B26" s="108" t="s">
        <v>974</v>
      </c>
      <c r="C26" s="108" t="s">
        <v>975</v>
      </c>
      <c r="D26" s="108" t="s">
        <v>976</v>
      </c>
    </row>
    <row r="27" spans="1:4" x14ac:dyDescent="0.25">
      <c r="A27" s="109">
        <v>16</v>
      </c>
      <c r="B27" s="110">
        <v>3.43</v>
      </c>
      <c r="C27" s="110">
        <v>3.43</v>
      </c>
      <c r="D27" s="110">
        <v>3.69</v>
      </c>
    </row>
    <row r="28" spans="1:4" x14ac:dyDescent="0.25">
      <c r="A28" s="109">
        <v>17</v>
      </c>
      <c r="B28" s="110">
        <v>3.54</v>
      </c>
      <c r="C28" s="110">
        <v>3.54</v>
      </c>
      <c r="D28" s="110">
        <v>3.83</v>
      </c>
    </row>
    <row r="29" spans="1:4" x14ac:dyDescent="0.25">
      <c r="A29" s="109">
        <v>18</v>
      </c>
      <c r="B29" s="110">
        <v>3.67</v>
      </c>
      <c r="C29" s="110">
        <v>3.67</v>
      </c>
      <c r="D29" s="110">
        <v>3.97</v>
      </c>
    </row>
    <row r="30" spans="1:4" x14ac:dyDescent="0.25">
      <c r="A30" s="109">
        <v>19</v>
      </c>
      <c r="B30" s="110">
        <v>3.79</v>
      </c>
      <c r="C30" s="110">
        <v>3.79</v>
      </c>
      <c r="D30" s="110">
        <v>4.12</v>
      </c>
    </row>
    <row r="31" spans="1:4" x14ac:dyDescent="0.25">
      <c r="A31" s="109">
        <v>20</v>
      </c>
      <c r="B31" s="110">
        <v>3.92</v>
      </c>
      <c r="C31" s="110">
        <v>3.92</v>
      </c>
      <c r="D31" s="110">
        <v>4.26</v>
      </c>
    </row>
    <row r="32" spans="1:4" x14ac:dyDescent="0.25">
      <c r="A32" s="109">
        <v>21</v>
      </c>
      <c r="B32" s="110">
        <v>4.05</v>
      </c>
      <c r="C32" s="110">
        <v>4.05</v>
      </c>
      <c r="D32" s="110">
        <v>4.41</v>
      </c>
    </row>
    <row r="33" spans="1:4" x14ac:dyDescent="0.25">
      <c r="A33" s="109">
        <v>22</v>
      </c>
      <c r="B33" s="110">
        <v>4.1900000000000004</v>
      </c>
      <c r="C33" s="110">
        <v>4.1900000000000004</v>
      </c>
      <c r="D33" s="110">
        <v>4.5599999999999996</v>
      </c>
    </row>
    <row r="34" spans="1:4" x14ac:dyDescent="0.25">
      <c r="A34" s="109">
        <v>23</v>
      </c>
      <c r="B34" s="110">
        <v>4.34</v>
      </c>
      <c r="C34" s="110">
        <v>4.34</v>
      </c>
      <c r="D34" s="110">
        <v>4.71</v>
      </c>
    </row>
    <row r="35" spans="1:4" x14ac:dyDescent="0.25">
      <c r="A35" s="109">
        <v>24</v>
      </c>
      <c r="B35" s="110">
        <v>4.49</v>
      </c>
      <c r="C35" s="110">
        <v>4.49</v>
      </c>
      <c r="D35" s="110">
        <v>4.88</v>
      </c>
    </row>
    <row r="36" spans="1:4" x14ac:dyDescent="0.25">
      <c r="A36" s="109">
        <v>25</v>
      </c>
      <c r="B36" s="110">
        <v>4.6399999999999997</v>
      </c>
      <c r="C36" s="110">
        <v>4.6399999999999997</v>
      </c>
      <c r="D36" s="110">
        <v>5.04</v>
      </c>
    </row>
    <row r="37" spans="1:4" x14ac:dyDescent="0.25">
      <c r="A37" s="109">
        <v>26</v>
      </c>
      <c r="B37" s="110">
        <v>4.8</v>
      </c>
      <c r="C37" s="110">
        <v>4.8</v>
      </c>
      <c r="D37" s="110">
        <v>5.22</v>
      </c>
    </row>
    <row r="38" spans="1:4" x14ac:dyDescent="0.25">
      <c r="A38" s="109">
        <v>27</v>
      </c>
      <c r="B38" s="110">
        <v>4.96</v>
      </c>
      <c r="C38" s="110">
        <v>4.96</v>
      </c>
      <c r="D38" s="110">
        <v>5.4</v>
      </c>
    </row>
    <row r="39" spans="1:4" x14ac:dyDescent="0.25">
      <c r="A39" s="109">
        <v>28</v>
      </c>
      <c r="B39" s="110">
        <v>5.13</v>
      </c>
      <c r="C39" s="110">
        <v>5.13</v>
      </c>
      <c r="D39" s="110">
        <v>5.58</v>
      </c>
    </row>
    <row r="40" spans="1:4" x14ac:dyDescent="0.25">
      <c r="A40" s="109">
        <v>29</v>
      </c>
      <c r="B40" s="110">
        <v>5.31</v>
      </c>
      <c r="C40" s="110">
        <v>5.31</v>
      </c>
      <c r="D40" s="110">
        <v>5.77</v>
      </c>
    </row>
    <row r="41" spans="1:4" x14ac:dyDescent="0.25">
      <c r="A41" s="109">
        <v>30</v>
      </c>
      <c r="B41" s="110">
        <v>5.49</v>
      </c>
      <c r="C41" s="110">
        <v>5.49</v>
      </c>
      <c r="D41" s="110">
        <v>5.97</v>
      </c>
    </row>
    <row r="42" spans="1:4" x14ac:dyDescent="0.25">
      <c r="A42" s="109">
        <v>31</v>
      </c>
      <c r="B42" s="110">
        <v>5.67</v>
      </c>
      <c r="C42" s="110">
        <v>5.67</v>
      </c>
      <c r="D42" s="110">
        <v>6.17</v>
      </c>
    </row>
    <row r="43" spans="1:4" x14ac:dyDescent="0.25">
      <c r="A43" s="109">
        <v>32</v>
      </c>
      <c r="B43" s="110">
        <v>5.87</v>
      </c>
      <c r="C43" s="110">
        <v>5.87</v>
      </c>
      <c r="D43" s="110">
        <v>6.38</v>
      </c>
    </row>
    <row r="44" spans="1:4" x14ac:dyDescent="0.25">
      <c r="A44" s="109">
        <v>33</v>
      </c>
      <c r="B44" s="110">
        <v>6.06</v>
      </c>
      <c r="C44" s="110">
        <v>6.06</v>
      </c>
      <c r="D44" s="110">
        <v>6.59</v>
      </c>
    </row>
    <row r="45" spans="1:4" x14ac:dyDescent="0.25">
      <c r="A45" s="109">
        <v>34</v>
      </c>
      <c r="B45" s="110">
        <v>6.26</v>
      </c>
      <c r="C45" s="110">
        <v>6.26</v>
      </c>
      <c r="D45" s="110">
        <v>6.81</v>
      </c>
    </row>
    <row r="46" spans="1:4" x14ac:dyDescent="0.25">
      <c r="A46" s="109">
        <v>35</v>
      </c>
      <c r="B46" s="110">
        <v>6.47</v>
      </c>
      <c r="C46" s="110">
        <v>6.47</v>
      </c>
      <c r="D46" s="110">
        <v>7.04</v>
      </c>
    </row>
    <row r="47" spans="1:4" x14ac:dyDescent="0.25">
      <c r="A47" s="109">
        <v>36</v>
      </c>
      <c r="B47" s="110">
        <v>6.69</v>
      </c>
      <c r="C47" s="110">
        <v>6.69</v>
      </c>
      <c r="D47" s="110">
        <v>7.27</v>
      </c>
    </row>
    <row r="48" spans="1:4" x14ac:dyDescent="0.25">
      <c r="A48" s="109">
        <v>37</v>
      </c>
      <c r="B48" s="110">
        <v>6.91</v>
      </c>
      <c r="C48" s="110">
        <v>6.91</v>
      </c>
      <c r="D48" s="110">
        <v>7.51</v>
      </c>
    </row>
    <row r="49" spans="1:4" x14ac:dyDescent="0.25">
      <c r="A49" s="109">
        <v>38</v>
      </c>
      <c r="B49" s="110">
        <v>7.14</v>
      </c>
      <c r="C49" s="110">
        <v>7.14</v>
      </c>
      <c r="D49" s="110">
        <v>7.76</v>
      </c>
    </row>
    <row r="50" spans="1:4" x14ac:dyDescent="0.25">
      <c r="A50" s="109">
        <v>39</v>
      </c>
      <c r="B50" s="110">
        <v>7.37</v>
      </c>
      <c r="C50" s="110">
        <v>7.37</v>
      </c>
      <c r="D50" s="110">
        <v>8.02</v>
      </c>
    </row>
    <row r="51" spans="1:4" x14ac:dyDescent="0.25">
      <c r="A51" s="109">
        <v>40</v>
      </c>
      <c r="B51" s="110">
        <v>7.61</v>
      </c>
      <c r="C51" s="110">
        <v>7.61</v>
      </c>
      <c r="D51" s="110">
        <v>8.2799999999999994</v>
      </c>
    </row>
    <row r="52" spans="1:4" x14ac:dyDescent="0.25">
      <c r="A52" s="109">
        <v>41</v>
      </c>
      <c r="B52" s="110">
        <v>7.86</v>
      </c>
      <c r="C52" s="110">
        <v>7.86</v>
      </c>
      <c r="D52" s="110">
        <v>8.5500000000000007</v>
      </c>
    </row>
    <row r="53" spans="1:4" x14ac:dyDescent="0.25">
      <c r="A53" s="109">
        <v>42</v>
      </c>
      <c r="B53" s="110">
        <v>8.11</v>
      </c>
      <c r="C53" s="110">
        <v>8.11</v>
      </c>
      <c r="D53" s="110">
        <v>8.83</v>
      </c>
    </row>
    <row r="54" spans="1:4" x14ac:dyDescent="0.25">
      <c r="A54" s="109">
        <v>43</v>
      </c>
      <c r="B54" s="110">
        <v>8.3800000000000008</v>
      </c>
      <c r="C54" s="110">
        <v>8.3800000000000008</v>
      </c>
      <c r="D54" s="110">
        <v>9.11</v>
      </c>
    </row>
    <row r="55" spans="1:4" x14ac:dyDescent="0.25">
      <c r="A55" s="109">
        <v>44</v>
      </c>
      <c r="B55" s="110">
        <v>8.65</v>
      </c>
      <c r="C55" s="110">
        <v>8.65</v>
      </c>
      <c r="D55" s="110">
        <v>9.41</v>
      </c>
    </row>
    <row r="56" spans="1:4" x14ac:dyDescent="0.25">
      <c r="A56" s="109">
        <v>45</v>
      </c>
      <c r="B56" s="110">
        <v>8.93</v>
      </c>
      <c r="C56" s="110">
        <v>8.93</v>
      </c>
      <c r="D56" s="110">
        <v>9.7100000000000009</v>
      </c>
    </row>
    <row r="57" spans="1:4" x14ac:dyDescent="0.25">
      <c r="A57" s="109">
        <v>46</v>
      </c>
      <c r="B57" s="110">
        <v>9.2200000000000006</v>
      </c>
      <c r="C57" s="110">
        <v>9.2200000000000006</v>
      </c>
      <c r="D57" s="110">
        <v>10.02</v>
      </c>
    </row>
    <row r="58" spans="1:4" x14ac:dyDescent="0.25">
      <c r="A58" s="109">
        <v>47</v>
      </c>
      <c r="B58" s="110">
        <v>9.51</v>
      </c>
      <c r="C58" s="110">
        <v>9.51</v>
      </c>
      <c r="D58" s="110">
        <v>10.34</v>
      </c>
    </row>
    <row r="59" spans="1:4" x14ac:dyDescent="0.25">
      <c r="A59" s="109">
        <v>48</v>
      </c>
      <c r="B59" s="110">
        <v>9.82</v>
      </c>
      <c r="C59" s="110">
        <v>9.82</v>
      </c>
      <c r="D59" s="110">
        <v>10.67</v>
      </c>
    </row>
    <row r="60" spans="1:4" x14ac:dyDescent="0.25">
      <c r="A60" s="109">
        <v>49</v>
      </c>
      <c r="B60" s="110">
        <v>10.130000000000001</v>
      </c>
      <c r="C60" s="110">
        <v>10.130000000000001</v>
      </c>
      <c r="D60" s="110">
        <v>11.01</v>
      </c>
    </row>
    <row r="61" spans="1:4" x14ac:dyDescent="0.25">
      <c r="A61" s="109">
        <v>50</v>
      </c>
      <c r="B61" s="110">
        <v>10.45</v>
      </c>
      <c r="C61" s="110">
        <v>10.45</v>
      </c>
      <c r="D61" s="110">
        <v>11.36</v>
      </c>
    </row>
    <row r="62" spans="1:4" x14ac:dyDescent="0.25">
      <c r="A62" s="109">
        <v>51</v>
      </c>
      <c r="B62" s="110">
        <v>10.79</v>
      </c>
      <c r="C62" s="110">
        <v>10.79</v>
      </c>
      <c r="D62" s="110">
        <v>11.72</v>
      </c>
    </row>
    <row r="63" spans="1:4" x14ac:dyDescent="0.25">
      <c r="A63" s="109">
        <v>52</v>
      </c>
      <c r="B63" s="110">
        <v>11.13</v>
      </c>
      <c r="C63" s="110">
        <v>11.13</v>
      </c>
      <c r="D63" s="110">
        <v>12.09</v>
      </c>
    </row>
    <row r="64" spans="1:4" x14ac:dyDescent="0.25">
      <c r="A64" s="109">
        <v>53</v>
      </c>
      <c r="B64" s="110">
        <v>11.48</v>
      </c>
      <c r="C64" s="110">
        <v>11.48</v>
      </c>
      <c r="D64" s="110">
        <v>12.47</v>
      </c>
    </row>
    <row r="65" spans="1:4" x14ac:dyDescent="0.25">
      <c r="A65" s="109">
        <v>54</v>
      </c>
      <c r="B65" s="110">
        <v>11.84</v>
      </c>
      <c r="C65" s="110">
        <v>11.84</v>
      </c>
      <c r="D65" s="110">
        <v>12.86</v>
      </c>
    </row>
    <row r="66" spans="1:4" x14ac:dyDescent="0.25">
      <c r="A66" s="109">
        <v>55</v>
      </c>
      <c r="B66" s="110">
        <v>12.22</v>
      </c>
      <c r="C66" s="110">
        <v>12.22</v>
      </c>
      <c r="D66" s="110">
        <v>13.26</v>
      </c>
    </row>
    <row r="67" spans="1:4" x14ac:dyDescent="0.25">
      <c r="A67" s="109">
        <v>56</v>
      </c>
      <c r="B67" s="110">
        <v>12.61</v>
      </c>
      <c r="C67" s="110">
        <v>12.61</v>
      </c>
      <c r="D67" s="110">
        <v>13.68</v>
      </c>
    </row>
    <row r="68" spans="1:4" x14ac:dyDescent="0.25">
      <c r="A68" s="109">
        <v>57</v>
      </c>
      <c r="B68" s="110">
        <v>13.01</v>
      </c>
      <c r="C68" s="110">
        <v>13.01</v>
      </c>
      <c r="D68" s="110">
        <v>14.11</v>
      </c>
    </row>
    <row r="69" spans="1:4" x14ac:dyDescent="0.25">
      <c r="A69" s="109">
        <v>58</v>
      </c>
      <c r="B69" s="110">
        <v>13.43</v>
      </c>
      <c r="C69" s="110">
        <v>13.43</v>
      </c>
      <c r="D69" s="110">
        <v>14.56</v>
      </c>
    </row>
    <row r="70" spans="1:4" x14ac:dyDescent="0.25">
      <c r="A70" s="109">
        <v>59</v>
      </c>
      <c r="B70" s="110">
        <v>13.87</v>
      </c>
      <c r="C70" s="110">
        <v>13.87</v>
      </c>
      <c r="D70" s="110">
        <v>15.02</v>
      </c>
    </row>
    <row r="71" spans="1:4" x14ac:dyDescent="0.25">
      <c r="A71" s="109">
        <v>60</v>
      </c>
      <c r="B71" s="110">
        <v>14.32</v>
      </c>
      <c r="C71" s="110">
        <v>14.32</v>
      </c>
      <c r="D71" s="110">
        <v>15.51</v>
      </c>
    </row>
    <row r="72" spans="1:4" x14ac:dyDescent="0.25">
      <c r="A72" s="109">
        <v>61</v>
      </c>
      <c r="B72" s="110">
        <v>14.8</v>
      </c>
      <c r="C72" s="110">
        <v>14.8</v>
      </c>
      <c r="D72" s="110">
        <v>16.010000000000002</v>
      </c>
    </row>
    <row r="73" spans="1:4" x14ac:dyDescent="0.25">
      <c r="A73" s="109">
        <v>62</v>
      </c>
      <c r="B73" s="110">
        <v>15.31</v>
      </c>
      <c r="C73" s="110">
        <v>15.31</v>
      </c>
      <c r="D73" s="110">
        <v>16.55</v>
      </c>
    </row>
    <row r="74" spans="1:4" x14ac:dyDescent="0.25">
      <c r="A74" s="109">
        <v>63</v>
      </c>
      <c r="B74" s="110">
        <v>15.85</v>
      </c>
      <c r="C74" s="110">
        <v>15.85</v>
      </c>
      <c r="D74" s="110">
        <v>17.12</v>
      </c>
    </row>
    <row r="75" spans="1:4" x14ac:dyDescent="0.25">
      <c r="A75" s="109">
        <v>64</v>
      </c>
      <c r="B75" s="110">
        <v>16.420000000000002</v>
      </c>
      <c r="C75" s="110">
        <v>16.420000000000002</v>
      </c>
      <c r="D75" s="110">
        <v>17.72</v>
      </c>
    </row>
    <row r="76" spans="1:4" x14ac:dyDescent="0.25">
      <c r="A76" s="109">
        <v>65</v>
      </c>
      <c r="B76" s="110">
        <v>17.04</v>
      </c>
      <c r="C76" s="110">
        <v>17.04</v>
      </c>
      <c r="D76" s="110">
        <v>18.36</v>
      </c>
    </row>
    <row r="77" spans="1:4" x14ac:dyDescent="0.25">
      <c r="A77" s="109">
        <v>66</v>
      </c>
      <c r="B77" s="110">
        <v>17.05</v>
      </c>
      <c r="C77" s="110">
        <v>17.05</v>
      </c>
      <c r="D77" s="110">
        <v>18.38</v>
      </c>
    </row>
    <row r="78" spans="1:4" x14ac:dyDescent="0.25">
      <c r="A78" s="109">
        <v>67</v>
      </c>
      <c r="B78" s="110">
        <v>16.43</v>
      </c>
      <c r="C78" s="110">
        <v>16.43</v>
      </c>
      <c r="D78" s="110">
        <v>17.760000000000002</v>
      </c>
    </row>
    <row r="79" spans="1:4" x14ac:dyDescent="0.25">
      <c r="A79" s="109">
        <v>68</v>
      </c>
      <c r="B79" s="110">
        <v>15.82</v>
      </c>
      <c r="C79" s="110">
        <v>15.82</v>
      </c>
      <c r="D79" s="110">
        <v>17.13</v>
      </c>
    </row>
    <row r="80" spans="1:4" x14ac:dyDescent="0.25">
      <c r="A80" s="109">
        <v>69</v>
      </c>
      <c r="B80" s="110">
        <v>15.21</v>
      </c>
      <c r="C80" s="110">
        <v>15.21</v>
      </c>
      <c r="D80" s="110">
        <v>16.510000000000002</v>
      </c>
    </row>
    <row r="81" spans="1:4" x14ac:dyDescent="0.25">
      <c r="A81" s="109">
        <v>70</v>
      </c>
      <c r="B81" s="110">
        <v>14.6</v>
      </c>
      <c r="C81" s="110">
        <v>14.6</v>
      </c>
      <c r="D81" s="110">
        <v>15.89</v>
      </c>
    </row>
    <row r="82" spans="1:4" x14ac:dyDescent="0.25">
      <c r="A82" s="109">
        <v>71</v>
      </c>
      <c r="B82" s="110">
        <v>14</v>
      </c>
      <c r="C82" s="110">
        <v>14</v>
      </c>
      <c r="D82" s="110">
        <v>15.28</v>
      </c>
    </row>
    <row r="83" spans="1:4" x14ac:dyDescent="0.25">
      <c r="A83" s="109">
        <v>72</v>
      </c>
      <c r="B83" s="110">
        <v>13.4</v>
      </c>
      <c r="C83" s="110">
        <v>13.4</v>
      </c>
      <c r="D83" s="110">
        <v>14.67</v>
      </c>
    </row>
    <row r="84" spans="1:4" x14ac:dyDescent="0.25">
      <c r="A84" s="109">
        <v>73</v>
      </c>
      <c r="B84" s="110">
        <v>12.82</v>
      </c>
      <c r="C84" s="110">
        <v>12.82</v>
      </c>
      <c r="D84" s="110">
        <v>14.06</v>
      </c>
    </row>
    <row r="85" spans="1:4" x14ac:dyDescent="0.25">
      <c r="A85" s="109">
        <v>74</v>
      </c>
      <c r="B85" s="110">
        <v>12.24</v>
      </c>
      <c r="C85" s="110">
        <v>12.24</v>
      </c>
      <c r="D85" s="110">
        <v>13.47</v>
      </c>
    </row>
    <row r="86" spans="1:4" x14ac:dyDescent="0.25">
      <c r="A86" s="109">
        <v>75</v>
      </c>
      <c r="B86" s="110">
        <v>11.96</v>
      </c>
      <c r="C86" s="110">
        <v>11.96</v>
      </c>
      <c r="D86" s="110">
        <v>13.17</v>
      </c>
    </row>
  </sheetData>
  <conditionalFormatting sqref="A6:A21">
    <cfRule type="expression" dxfId="379" priority="3" stopIfTrue="1">
      <formula>MOD(ROW(),2)=0</formula>
    </cfRule>
    <cfRule type="expression" dxfId="378" priority="4" stopIfTrue="1">
      <formula>MOD(ROW(),2)&lt;&gt;0</formula>
    </cfRule>
  </conditionalFormatting>
  <conditionalFormatting sqref="A26:A86">
    <cfRule type="expression" dxfId="377" priority="7" stopIfTrue="1">
      <formula>MOD(ROW(),2)=0</formula>
    </cfRule>
    <cfRule type="expression" dxfId="376" priority="8" stopIfTrue="1">
      <formula>MOD(ROW(),2)&lt;&gt;0</formula>
    </cfRule>
  </conditionalFormatting>
  <conditionalFormatting sqref="B18:B21">
    <cfRule type="expression" dxfId="375" priority="1" stopIfTrue="1">
      <formula>MOD(ROW(),2)=0</formula>
    </cfRule>
    <cfRule type="expression" dxfId="374" priority="2" stopIfTrue="1">
      <formula>MOD(ROW(),2)&lt;&gt;0</formula>
    </cfRule>
  </conditionalFormatting>
  <conditionalFormatting sqref="B6:D21">
    <cfRule type="expression" dxfId="373" priority="21" stopIfTrue="1">
      <formula>MOD(ROW(),2)=0</formula>
    </cfRule>
    <cfRule type="expression" dxfId="372" priority="22" stopIfTrue="1">
      <formula>MOD(ROW(),2)&lt;&gt;0</formula>
    </cfRule>
  </conditionalFormatting>
  <conditionalFormatting sqref="B26:D86">
    <cfRule type="expression" dxfId="371" priority="9" stopIfTrue="1">
      <formula>MOD(ROW(),2)=0</formula>
    </cfRule>
    <cfRule type="expression" dxfId="370" priority="10" stopIfTrue="1">
      <formula>MOD(ROW(),2)&lt;&gt;0</formula>
    </cfRule>
  </conditionalFormatting>
  <hyperlinks>
    <hyperlink ref="B24" location="Assumptions!A1" display="Assumptions" xr:uid="{AC1EE8A9-B36E-44F6-A92A-158BB9AFC1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workbookViewId="0"/>
  </sheetViews>
  <sheetFormatPr defaultColWidth="10" defaultRowHeight="12.5" x14ac:dyDescent="0.25"/>
  <cols>
    <col min="1" max="1" width="31.54296875" style="28" customWidth="1"/>
    <col min="2" max="2" width="40.453125" style="28" customWidth="1"/>
    <col min="3" max="3" width="10.17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56"/>
      <c r="C3" s="56"/>
      <c r="D3" s="56"/>
      <c r="E3" s="56"/>
      <c r="F3" s="56"/>
      <c r="G3" s="56"/>
      <c r="H3" s="56"/>
      <c r="I3" s="56"/>
    </row>
    <row r="4" spans="1:9" x14ac:dyDescent="0.25">
      <c r="A4" s="58" t="str">
        <f ca="1">CELL("filename",A1)</f>
        <v>C:\Users\PColley2\Downloads\[CS NI Consolidated Factors 2025-02.xlsx]x-Series Number</v>
      </c>
    </row>
    <row r="6" spans="1:9" ht="13" x14ac:dyDescent="0.25">
      <c r="A6" s="59" t="s">
        <v>716</v>
      </c>
      <c r="B6" s="60" t="s">
        <v>717</v>
      </c>
    </row>
    <row r="7" spans="1:9" x14ac:dyDescent="0.25">
      <c r="A7" s="61" t="s">
        <v>298</v>
      </c>
      <c r="B7" s="63" t="s">
        <v>718</v>
      </c>
    </row>
    <row r="8" spans="1:9" x14ac:dyDescent="0.25">
      <c r="A8" s="61" t="s">
        <v>299</v>
      </c>
      <c r="B8" s="63" t="s">
        <v>719</v>
      </c>
    </row>
    <row r="9" spans="1:9" ht="12.75" customHeight="1" x14ac:dyDescent="0.25">
      <c r="A9" s="61" t="s">
        <v>300</v>
      </c>
      <c r="B9" s="64" t="s">
        <v>720</v>
      </c>
    </row>
    <row r="10" spans="1:9" ht="12.75" customHeight="1" x14ac:dyDescent="0.25">
      <c r="A10" s="61" t="s">
        <v>6</v>
      </c>
      <c r="B10" s="64" t="s">
        <v>721</v>
      </c>
    </row>
    <row r="11" spans="1:9" x14ac:dyDescent="0.25">
      <c r="A11" s="61" t="s">
        <v>301</v>
      </c>
      <c r="B11" s="64" t="s">
        <v>722</v>
      </c>
    </row>
    <row r="12" spans="1:9" x14ac:dyDescent="0.25">
      <c r="A12" s="61" t="s">
        <v>302</v>
      </c>
      <c r="B12" s="62" t="s">
        <v>723</v>
      </c>
    </row>
    <row r="13" spans="1:9" ht="12.75" customHeight="1" x14ac:dyDescent="0.25">
      <c r="A13" s="61" t="s">
        <v>724</v>
      </c>
      <c r="B13" s="62" t="s">
        <v>725</v>
      </c>
    </row>
    <row r="14" spans="1:9" ht="12.75" customHeight="1" x14ac:dyDescent="0.25">
      <c r="A14" s="61" t="s">
        <v>304</v>
      </c>
      <c r="B14" s="62" t="s">
        <v>726</v>
      </c>
    </row>
    <row r="15" spans="1:9" ht="75" x14ac:dyDescent="0.25">
      <c r="A15" s="65" t="s">
        <v>727</v>
      </c>
      <c r="B15" s="66" t="s">
        <v>728</v>
      </c>
    </row>
    <row r="16" spans="1:9" ht="25" x14ac:dyDescent="0.25">
      <c r="A16" s="67" t="s">
        <v>306</v>
      </c>
      <c r="B16" s="66" t="s">
        <v>729</v>
      </c>
    </row>
    <row r="17" spans="1:2" ht="52.5" customHeight="1" x14ac:dyDescent="0.25">
      <c r="A17" s="68" t="s">
        <v>307</v>
      </c>
      <c r="B17" s="66" t="s">
        <v>730</v>
      </c>
    </row>
    <row r="18" spans="1:2" ht="25" x14ac:dyDescent="0.25">
      <c r="A18" s="65" t="s">
        <v>308</v>
      </c>
      <c r="B18" s="69" t="s">
        <v>731</v>
      </c>
    </row>
    <row r="19" spans="1:2" x14ac:dyDescent="0.25">
      <c r="A19" s="67" t="s">
        <v>309</v>
      </c>
      <c r="B19" s="69" t="s">
        <v>732</v>
      </c>
    </row>
    <row r="20" spans="1:2" ht="25" x14ac:dyDescent="0.25">
      <c r="A20" s="67" t="s">
        <v>310</v>
      </c>
      <c r="B20" s="69" t="s">
        <v>733</v>
      </c>
    </row>
    <row r="22" spans="1:2" x14ac:dyDescent="0.25">
      <c r="B22" s="104" t="str">
        <f>HYPERLINK("#'Factor List'!A1","Back to Factor List")</f>
        <v>Back to Factor List</v>
      </c>
    </row>
    <row r="25" spans="1:2" ht="13" x14ac:dyDescent="0.3">
      <c r="A25" s="70" t="s">
        <v>734</v>
      </c>
      <c r="B25" s="71"/>
    </row>
    <row r="26" spans="1:2" ht="13" x14ac:dyDescent="0.3">
      <c r="A26" s="72"/>
      <c r="B26" s="73"/>
    </row>
    <row r="27" spans="1:2" ht="13" x14ac:dyDescent="0.3">
      <c r="A27" s="74"/>
      <c r="B27" s="75"/>
    </row>
    <row r="28" spans="1:2" ht="13" x14ac:dyDescent="0.3">
      <c r="A28" s="72"/>
      <c r="B28" s="73"/>
    </row>
    <row r="29" spans="1:2" x14ac:dyDescent="0.25">
      <c r="A29" s="76"/>
      <c r="B29" s="77"/>
    </row>
    <row r="30" spans="1:2" x14ac:dyDescent="0.25">
      <c r="A30" s="78"/>
      <c r="B30" s="79"/>
    </row>
    <row r="31" spans="1:2" ht="13" x14ac:dyDescent="0.3">
      <c r="A31" s="72"/>
      <c r="B31" s="73"/>
    </row>
    <row r="32" spans="1:2" x14ac:dyDescent="0.25">
      <c r="A32" s="80"/>
      <c r="B32" s="81"/>
    </row>
    <row r="33" spans="1:2" x14ac:dyDescent="0.25">
      <c r="A33" s="80"/>
      <c r="B33" s="81"/>
    </row>
    <row r="34" spans="1:2" x14ac:dyDescent="0.25">
      <c r="A34" s="80"/>
      <c r="B34" s="81"/>
    </row>
    <row r="35" spans="1:2" x14ac:dyDescent="0.25">
      <c r="A35" s="80"/>
      <c r="B35" s="81"/>
    </row>
    <row r="36" spans="1:2" x14ac:dyDescent="0.25">
      <c r="A36" s="80"/>
      <c r="B36" s="81"/>
    </row>
    <row r="37" spans="1:2" x14ac:dyDescent="0.25">
      <c r="A37" s="80"/>
      <c r="B37" s="81"/>
    </row>
    <row r="38" spans="1:2" x14ac:dyDescent="0.25">
      <c r="A38" s="80"/>
      <c r="B38" s="81"/>
    </row>
    <row r="39" spans="1:2" x14ac:dyDescent="0.25">
      <c r="A39" s="80"/>
      <c r="B39" s="81"/>
    </row>
    <row r="40" spans="1:2" x14ac:dyDescent="0.25">
      <c r="A40" s="80"/>
      <c r="B40" s="81"/>
    </row>
    <row r="41" spans="1:2" x14ac:dyDescent="0.25">
      <c r="A41" s="80"/>
      <c r="B41" s="81"/>
    </row>
    <row r="42" spans="1:2" x14ac:dyDescent="0.25">
      <c r="A42" s="76"/>
      <c r="B42" s="77"/>
    </row>
    <row r="43" spans="1:2" ht="39.65" customHeight="1" x14ac:dyDescent="0.25">
      <c r="A43" s="82"/>
      <c r="B43" s="83"/>
    </row>
    <row r="44" spans="1:2" x14ac:dyDescent="0.25">
      <c r="A44" s="76"/>
      <c r="B44" s="77"/>
    </row>
    <row r="45" spans="1:2" ht="27.65" customHeight="1" x14ac:dyDescent="0.25">
      <c r="A45" s="76"/>
      <c r="B45" s="77"/>
    </row>
    <row r="46" spans="1:2" x14ac:dyDescent="0.25">
      <c r="A46" s="76"/>
      <c r="B46" s="77"/>
    </row>
    <row r="47" spans="1:2" x14ac:dyDescent="0.25">
      <c r="A47" s="76"/>
      <c r="B47" s="77"/>
    </row>
    <row r="48" spans="1:2" x14ac:dyDescent="0.25">
      <c r="A48" s="76"/>
      <c r="B48" s="77"/>
    </row>
    <row r="49" spans="1:2" x14ac:dyDescent="0.25">
      <c r="A49" s="76"/>
      <c r="B49" s="77"/>
    </row>
    <row r="50" spans="1:2" x14ac:dyDescent="0.25">
      <c r="A50" s="76"/>
      <c r="B50" s="77"/>
    </row>
    <row r="51" spans="1:2" x14ac:dyDescent="0.25">
      <c r="A51" s="76"/>
      <c r="B51" s="77"/>
    </row>
    <row r="52" spans="1:2" x14ac:dyDescent="0.25">
      <c r="A52" s="76"/>
      <c r="B52" s="77"/>
    </row>
    <row r="53" spans="1:2" x14ac:dyDescent="0.25">
      <c r="A53" s="76"/>
      <c r="B53" s="77"/>
    </row>
    <row r="54" spans="1:2" x14ac:dyDescent="0.25">
      <c r="A54" s="76"/>
      <c r="B54" s="77"/>
    </row>
    <row r="55" spans="1:2" x14ac:dyDescent="0.25">
      <c r="A55" s="76"/>
      <c r="B55" s="77"/>
    </row>
    <row r="56" spans="1:2" x14ac:dyDescent="0.25">
      <c r="A56" s="76"/>
      <c r="B56" s="77"/>
    </row>
    <row r="57" spans="1:2" x14ac:dyDescent="0.25">
      <c r="A57" s="76"/>
      <c r="B57" s="77"/>
    </row>
    <row r="58" spans="1:2" x14ac:dyDescent="0.25">
      <c r="A58" s="76"/>
      <c r="B58" s="77"/>
    </row>
    <row r="59" spans="1:2" x14ac:dyDescent="0.25">
      <c r="A59" s="76"/>
      <c r="B59" s="77"/>
    </row>
    <row r="60" spans="1:2" x14ac:dyDescent="0.25">
      <c r="A60" s="76"/>
      <c r="B60" s="77"/>
    </row>
    <row r="61" spans="1:2" x14ac:dyDescent="0.25">
      <c r="A61" s="76"/>
      <c r="B61" s="77"/>
    </row>
    <row r="62" spans="1:2" x14ac:dyDescent="0.25">
      <c r="A62" s="76"/>
      <c r="B62" s="77"/>
    </row>
    <row r="63" spans="1:2" x14ac:dyDescent="0.25">
      <c r="A63" s="76"/>
      <c r="B63" s="77"/>
    </row>
    <row r="64" spans="1:2" x14ac:dyDescent="0.25">
      <c r="A64" s="84"/>
      <c r="B64" s="85"/>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3"/>
  <dimension ref="A1:I86"/>
  <sheetViews>
    <sheetView workbookViewId="0"/>
  </sheetViews>
  <sheetFormatPr defaultColWidth="10" defaultRowHeight="12.5" x14ac:dyDescent="0.25"/>
  <cols>
    <col min="1" max="1" width="31.54296875" style="28" customWidth="1"/>
    <col min="2" max="4" width="22.54296875"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x-703</v>
      </c>
      <c r="B3" s="56"/>
      <c r="C3" s="56"/>
      <c r="D3" s="56"/>
      <c r="E3" s="56"/>
      <c r="F3" s="56"/>
      <c r="G3" s="56"/>
      <c r="H3" s="56"/>
      <c r="I3" s="56"/>
    </row>
    <row r="4" spans="1:9" x14ac:dyDescent="0.25">
      <c r="A4" s="58"/>
    </row>
    <row r="6" spans="1:9" ht="13" x14ac:dyDescent="0.3">
      <c r="A6" s="92" t="s">
        <v>716</v>
      </c>
      <c r="B6" s="181" t="s">
        <v>717</v>
      </c>
      <c r="C6" s="181"/>
      <c r="D6" s="181"/>
    </row>
    <row r="7" spans="1:9" x14ac:dyDescent="0.25">
      <c r="A7" s="94" t="s">
        <v>797</v>
      </c>
      <c r="B7" s="181" t="s">
        <v>316</v>
      </c>
      <c r="C7" s="181"/>
      <c r="D7" s="181"/>
    </row>
    <row r="8" spans="1:9" x14ac:dyDescent="0.25">
      <c r="A8" s="94" t="s">
        <v>798</v>
      </c>
      <c r="B8" s="181" t="s">
        <v>92</v>
      </c>
      <c r="C8" s="181"/>
      <c r="D8" s="181"/>
    </row>
    <row r="9" spans="1:9" x14ac:dyDescent="0.25">
      <c r="A9" s="94" t="s">
        <v>300</v>
      </c>
      <c r="B9" s="181" t="s">
        <v>601</v>
      </c>
      <c r="C9" s="181"/>
      <c r="D9" s="181"/>
    </row>
    <row r="10" spans="1:9" x14ac:dyDescent="0.25">
      <c r="A10" s="94" t="s">
        <v>6</v>
      </c>
      <c r="B10" s="181" t="s">
        <v>608</v>
      </c>
      <c r="C10" s="181"/>
      <c r="D10" s="181"/>
    </row>
    <row r="11" spans="1:9" x14ac:dyDescent="0.25">
      <c r="A11" s="94" t="s">
        <v>301</v>
      </c>
      <c r="B11" s="181" t="s">
        <v>334</v>
      </c>
      <c r="C11" s="181"/>
      <c r="D11" s="181"/>
    </row>
    <row r="12" spans="1:9" x14ac:dyDescent="0.25">
      <c r="A12" s="94" t="s">
        <v>302</v>
      </c>
      <c r="B12" s="181" t="s">
        <v>335</v>
      </c>
      <c r="C12" s="181"/>
      <c r="D12" s="181"/>
    </row>
    <row r="13" spans="1:9" x14ac:dyDescent="0.25">
      <c r="A13" s="94" t="s">
        <v>813</v>
      </c>
      <c r="B13" s="181">
        <v>0</v>
      </c>
      <c r="C13" s="181"/>
      <c r="D13" s="181"/>
    </row>
    <row r="14" spans="1:9" x14ac:dyDescent="0.25">
      <c r="A14" s="94" t="s">
        <v>304</v>
      </c>
      <c r="B14" s="181">
        <v>703</v>
      </c>
      <c r="C14" s="181"/>
      <c r="D14" s="181"/>
    </row>
    <row r="15" spans="1:9" x14ac:dyDescent="0.25">
      <c r="A15" s="94" t="s">
        <v>727</v>
      </c>
      <c r="B15" s="181" t="s">
        <v>609</v>
      </c>
      <c r="C15" s="181"/>
      <c r="D15" s="181"/>
    </row>
    <row r="16" spans="1:9" x14ac:dyDescent="0.25">
      <c r="A16" s="94" t="s">
        <v>306</v>
      </c>
      <c r="B16" s="181" t="s">
        <v>610</v>
      </c>
      <c r="C16" s="181"/>
      <c r="D16" s="181"/>
    </row>
    <row r="17" spans="1:4" x14ac:dyDescent="0.25">
      <c r="A17" s="94" t="s">
        <v>800</v>
      </c>
      <c r="B17" s="181"/>
      <c r="C17" s="181"/>
      <c r="D17" s="181"/>
    </row>
    <row r="18" spans="1:4" x14ac:dyDescent="0.25">
      <c r="A18" s="94" t="s">
        <v>308</v>
      </c>
      <c r="B18" s="185">
        <v>45184</v>
      </c>
      <c r="C18" s="181"/>
      <c r="D18" s="181"/>
    </row>
    <row r="19" spans="1:4" x14ac:dyDescent="0.25">
      <c r="A19" s="94" t="s">
        <v>309</v>
      </c>
      <c r="B19" s="185">
        <v>45383</v>
      </c>
      <c r="C19" s="181"/>
      <c r="D19" s="181"/>
    </row>
    <row r="20" spans="1:4" x14ac:dyDescent="0.25">
      <c r="A20" s="94" t="s">
        <v>310</v>
      </c>
      <c r="B20" s="181" t="s">
        <v>324</v>
      </c>
      <c r="C20" s="181"/>
      <c r="D20" s="181"/>
    </row>
    <row r="21" spans="1:4" x14ac:dyDescent="0.25">
      <c r="A21" s="87" t="s">
        <v>311</v>
      </c>
      <c r="B21" s="181" t="s">
        <v>325</v>
      </c>
      <c r="C21" s="181"/>
      <c r="D21" s="181"/>
    </row>
    <row r="23" spans="1:4" x14ac:dyDescent="0.25">
      <c r="B23" s="104" t="str">
        <f>HYPERLINK("#'Factor List'!A1","Back to Factor List")</f>
        <v>Back to Factor List</v>
      </c>
    </row>
    <row r="24" spans="1:4" x14ac:dyDescent="0.25">
      <c r="B24" s="104" t="s">
        <v>13</v>
      </c>
    </row>
    <row r="26" spans="1:4" ht="26" x14ac:dyDescent="0.25">
      <c r="A26" s="108" t="s">
        <v>534</v>
      </c>
      <c r="B26" s="108" t="s">
        <v>974</v>
      </c>
      <c r="C26" s="108" t="s">
        <v>975</v>
      </c>
      <c r="D26" s="108" t="s">
        <v>976</v>
      </c>
    </row>
    <row r="27" spans="1:4" x14ac:dyDescent="0.25">
      <c r="A27" s="109">
        <v>16</v>
      </c>
      <c r="B27" s="110">
        <v>3.24</v>
      </c>
      <c r="C27" s="110">
        <v>3.24</v>
      </c>
      <c r="D27" s="110">
        <v>3.5</v>
      </c>
    </row>
    <row r="28" spans="1:4" x14ac:dyDescent="0.25">
      <c r="A28" s="109">
        <v>17</v>
      </c>
      <c r="B28" s="110">
        <v>3.35</v>
      </c>
      <c r="C28" s="110">
        <v>3.35</v>
      </c>
      <c r="D28" s="110">
        <v>3.63</v>
      </c>
    </row>
    <row r="29" spans="1:4" x14ac:dyDescent="0.25">
      <c r="A29" s="109">
        <v>18</v>
      </c>
      <c r="B29" s="110">
        <v>3.46</v>
      </c>
      <c r="C29" s="110">
        <v>3.46</v>
      </c>
      <c r="D29" s="110">
        <v>3.76</v>
      </c>
    </row>
    <row r="30" spans="1:4" x14ac:dyDescent="0.25">
      <c r="A30" s="109">
        <v>19</v>
      </c>
      <c r="B30" s="110">
        <v>3.58</v>
      </c>
      <c r="C30" s="110">
        <v>3.58</v>
      </c>
      <c r="D30" s="110">
        <v>3.9</v>
      </c>
    </row>
    <row r="31" spans="1:4" x14ac:dyDescent="0.25">
      <c r="A31" s="109">
        <v>20</v>
      </c>
      <c r="B31" s="110">
        <v>3.7</v>
      </c>
      <c r="C31" s="110">
        <v>3.7</v>
      </c>
      <c r="D31" s="110">
        <v>4.04</v>
      </c>
    </row>
    <row r="32" spans="1:4" x14ac:dyDescent="0.25">
      <c r="A32" s="109">
        <v>21</v>
      </c>
      <c r="B32" s="110">
        <v>3.83</v>
      </c>
      <c r="C32" s="110">
        <v>3.83</v>
      </c>
      <c r="D32" s="110">
        <v>4.17</v>
      </c>
    </row>
    <row r="33" spans="1:4" x14ac:dyDescent="0.25">
      <c r="A33" s="109">
        <v>22</v>
      </c>
      <c r="B33" s="110">
        <v>3.96</v>
      </c>
      <c r="C33" s="110">
        <v>3.96</v>
      </c>
      <c r="D33" s="110">
        <v>4.32</v>
      </c>
    </row>
    <row r="34" spans="1:4" x14ac:dyDescent="0.25">
      <c r="A34" s="109">
        <v>23</v>
      </c>
      <c r="B34" s="110">
        <v>4.09</v>
      </c>
      <c r="C34" s="110">
        <v>4.09</v>
      </c>
      <c r="D34" s="110">
        <v>4.46</v>
      </c>
    </row>
    <row r="35" spans="1:4" x14ac:dyDescent="0.25">
      <c r="A35" s="109">
        <v>24</v>
      </c>
      <c r="B35" s="110">
        <v>4.2300000000000004</v>
      </c>
      <c r="C35" s="110">
        <v>4.2300000000000004</v>
      </c>
      <c r="D35" s="110">
        <v>4.62</v>
      </c>
    </row>
    <row r="36" spans="1:4" x14ac:dyDescent="0.25">
      <c r="A36" s="109">
        <v>25</v>
      </c>
      <c r="B36" s="110">
        <v>4.38</v>
      </c>
      <c r="C36" s="110">
        <v>4.38</v>
      </c>
      <c r="D36" s="110">
        <v>4.78</v>
      </c>
    </row>
    <row r="37" spans="1:4" x14ac:dyDescent="0.25">
      <c r="A37" s="109">
        <v>26</v>
      </c>
      <c r="B37" s="110">
        <v>4.53</v>
      </c>
      <c r="C37" s="110">
        <v>4.53</v>
      </c>
      <c r="D37" s="110">
        <v>4.9400000000000004</v>
      </c>
    </row>
    <row r="38" spans="1:4" x14ac:dyDescent="0.25">
      <c r="A38" s="109">
        <v>27</v>
      </c>
      <c r="B38" s="110">
        <v>4.68</v>
      </c>
      <c r="C38" s="110">
        <v>4.68</v>
      </c>
      <c r="D38" s="110">
        <v>5.1100000000000003</v>
      </c>
    </row>
    <row r="39" spans="1:4" x14ac:dyDescent="0.25">
      <c r="A39" s="109">
        <v>28</v>
      </c>
      <c r="B39" s="110">
        <v>4.84</v>
      </c>
      <c r="C39" s="110">
        <v>4.84</v>
      </c>
      <c r="D39" s="110">
        <v>5.28</v>
      </c>
    </row>
    <row r="40" spans="1:4" x14ac:dyDescent="0.25">
      <c r="A40" s="109">
        <v>29</v>
      </c>
      <c r="B40" s="110">
        <v>5.01</v>
      </c>
      <c r="C40" s="110">
        <v>5.01</v>
      </c>
      <c r="D40" s="110">
        <v>5.46</v>
      </c>
    </row>
    <row r="41" spans="1:4" x14ac:dyDescent="0.25">
      <c r="A41" s="109">
        <v>30</v>
      </c>
      <c r="B41" s="110">
        <v>5.18</v>
      </c>
      <c r="C41" s="110">
        <v>5.18</v>
      </c>
      <c r="D41" s="110">
        <v>5.65</v>
      </c>
    </row>
    <row r="42" spans="1:4" x14ac:dyDescent="0.25">
      <c r="A42" s="109">
        <v>31</v>
      </c>
      <c r="B42" s="110">
        <v>5.35</v>
      </c>
      <c r="C42" s="110">
        <v>5.35</v>
      </c>
      <c r="D42" s="110">
        <v>5.84</v>
      </c>
    </row>
    <row r="43" spans="1:4" x14ac:dyDescent="0.25">
      <c r="A43" s="109">
        <v>32</v>
      </c>
      <c r="B43" s="110">
        <v>5.53</v>
      </c>
      <c r="C43" s="110">
        <v>5.53</v>
      </c>
      <c r="D43" s="110">
        <v>6.04</v>
      </c>
    </row>
    <row r="44" spans="1:4" x14ac:dyDescent="0.25">
      <c r="A44" s="109">
        <v>33</v>
      </c>
      <c r="B44" s="110">
        <v>5.72</v>
      </c>
      <c r="C44" s="110">
        <v>5.72</v>
      </c>
      <c r="D44" s="110">
        <v>6.24</v>
      </c>
    </row>
    <row r="45" spans="1:4" x14ac:dyDescent="0.25">
      <c r="A45" s="109">
        <v>34</v>
      </c>
      <c r="B45" s="110">
        <v>5.91</v>
      </c>
      <c r="C45" s="110">
        <v>5.91</v>
      </c>
      <c r="D45" s="110">
        <v>6.45</v>
      </c>
    </row>
    <row r="46" spans="1:4" x14ac:dyDescent="0.25">
      <c r="A46" s="109">
        <v>35</v>
      </c>
      <c r="B46" s="110">
        <v>6.1</v>
      </c>
      <c r="C46" s="110">
        <v>6.1</v>
      </c>
      <c r="D46" s="110">
        <v>6.66</v>
      </c>
    </row>
    <row r="47" spans="1:4" x14ac:dyDescent="0.25">
      <c r="A47" s="109">
        <v>36</v>
      </c>
      <c r="B47" s="110">
        <v>6.3</v>
      </c>
      <c r="C47" s="110">
        <v>6.3</v>
      </c>
      <c r="D47" s="110">
        <v>6.88</v>
      </c>
    </row>
    <row r="48" spans="1:4" x14ac:dyDescent="0.25">
      <c r="A48" s="109">
        <v>37</v>
      </c>
      <c r="B48" s="110">
        <v>6.51</v>
      </c>
      <c r="C48" s="110">
        <v>6.51</v>
      </c>
      <c r="D48" s="110">
        <v>7.1</v>
      </c>
    </row>
    <row r="49" spans="1:4" x14ac:dyDescent="0.25">
      <c r="A49" s="109">
        <v>38</v>
      </c>
      <c r="B49" s="110">
        <v>6.72</v>
      </c>
      <c r="C49" s="110">
        <v>6.72</v>
      </c>
      <c r="D49" s="110">
        <v>7.34</v>
      </c>
    </row>
    <row r="50" spans="1:4" x14ac:dyDescent="0.25">
      <c r="A50" s="109">
        <v>39</v>
      </c>
      <c r="B50" s="110">
        <v>6.94</v>
      </c>
      <c r="C50" s="110">
        <v>6.94</v>
      </c>
      <c r="D50" s="110">
        <v>7.58</v>
      </c>
    </row>
    <row r="51" spans="1:4" x14ac:dyDescent="0.25">
      <c r="A51" s="109">
        <v>40</v>
      </c>
      <c r="B51" s="110">
        <v>7.17</v>
      </c>
      <c r="C51" s="110">
        <v>7.17</v>
      </c>
      <c r="D51" s="110">
        <v>7.82</v>
      </c>
    </row>
    <row r="52" spans="1:4" x14ac:dyDescent="0.25">
      <c r="A52" s="109">
        <v>41</v>
      </c>
      <c r="B52" s="110">
        <v>7.4</v>
      </c>
      <c r="C52" s="110">
        <v>7.4</v>
      </c>
      <c r="D52" s="110">
        <v>8.08</v>
      </c>
    </row>
    <row r="53" spans="1:4" x14ac:dyDescent="0.25">
      <c r="A53" s="109">
        <v>42</v>
      </c>
      <c r="B53" s="110">
        <v>7.64</v>
      </c>
      <c r="C53" s="110">
        <v>7.64</v>
      </c>
      <c r="D53" s="110">
        <v>8.34</v>
      </c>
    </row>
    <row r="54" spans="1:4" x14ac:dyDescent="0.25">
      <c r="A54" s="109">
        <v>43</v>
      </c>
      <c r="B54" s="110">
        <v>7.89</v>
      </c>
      <c r="C54" s="110">
        <v>7.89</v>
      </c>
      <c r="D54" s="110">
        <v>8.61</v>
      </c>
    </row>
    <row r="55" spans="1:4" x14ac:dyDescent="0.25">
      <c r="A55" s="109">
        <v>44</v>
      </c>
      <c r="B55" s="110">
        <v>8.14</v>
      </c>
      <c r="C55" s="110">
        <v>8.14</v>
      </c>
      <c r="D55" s="110">
        <v>8.8800000000000008</v>
      </c>
    </row>
    <row r="56" spans="1:4" x14ac:dyDescent="0.25">
      <c r="A56" s="109">
        <v>45</v>
      </c>
      <c r="B56" s="110">
        <v>8.4</v>
      </c>
      <c r="C56" s="110">
        <v>8.4</v>
      </c>
      <c r="D56" s="110">
        <v>9.17</v>
      </c>
    </row>
    <row r="57" spans="1:4" x14ac:dyDescent="0.25">
      <c r="A57" s="109">
        <v>46</v>
      </c>
      <c r="B57" s="110">
        <v>8.67</v>
      </c>
      <c r="C57" s="110">
        <v>8.67</v>
      </c>
      <c r="D57" s="110">
        <v>9.4600000000000009</v>
      </c>
    </row>
    <row r="58" spans="1:4" x14ac:dyDescent="0.25">
      <c r="A58" s="109">
        <v>47</v>
      </c>
      <c r="B58" s="110">
        <v>8.94</v>
      </c>
      <c r="C58" s="110">
        <v>8.94</v>
      </c>
      <c r="D58" s="110">
        <v>9.76</v>
      </c>
    </row>
    <row r="59" spans="1:4" x14ac:dyDescent="0.25">
      <c r="A59" s="109">
        <v>48</v>
      </c>
      <c r="B59" s="110">
        <v>9.23</v>
      </c>
      <c r="C59" s="110">
        <v>9.23</v>
      </c>
      <c r="D59" s="110">
        <v>10.07</v>
      </c>
    </row>
    <row r="60" spans="1:4" x14ac:dyDescent="0.25">
      <c r="A60" s="109">
        <v>49</v>
      </c>
      <c r="B60" s="110">
        <v>9.52</v>
      </c>
      <c r="C60" s="110">
        <v>9.52</v>
      </c>
      <c r="D60" s="110">
        <v>10.38</v>
      </c>
    </row>
    <row r="61" spans="1:4" x14ac:dyDescent="0.25">
      <c r="A61" s="109">
        <v>50</v>
      </c>
      <c r="B61" s="110">
        <v>9.82</v>
      </c>
      <c r="C61" s="110">
        <v>9.82</v>
      </c>
      <c r="D61" s="110">
        <v>10.71</v>
      </c>
    </row>
    <row r="62" spans="1:4" x14ac:dyDescent="0.25">
      <c r="A62" s="109">
        <v>51</v>
      </c>
      <c r="B62" s="110">
        <v>10.130000000000001</v>
      </c>
      <c r="C62" s="110">
        <v>10.130000000000001</v>
      </c>
      <c r="D62" s="110">
        <v>11.04</v>
      </c>
    </row>
    <row r="63" spans="1:4" x14ac:dyDescent="0.25">
      <c r="A63" s="109">
        <v>52</v>
      </c>
      <c r="B63" s="110">
        <v>10.44</v>
      </c>
      <c r="C63" s="110">
        <v>10.44</v>
      </c>
      <c r="D63" s="110">
        <v>11.38</v>
      </c>
    </row>
    <row r="64" spans="1:4" x14ac:dyDescent="0.25">
      <c r="A64" s="109">
        <v>53</v>
      </c>
      <c r="B64" s="110">
        <v>10.77</v>
      </c>
      <c r="C64" s="110">
        <v>10.77</v>
      </c>
      <c r="D64" s="110">
        <v>11.73</v>
      </c>
    </row>
    <row r="65" spans="1:4" x14ac:dyDescent="0.25">
      <c r="A65" s="109">
        <v>54</v>
      </c>
      <c r="B65" s="110">
        <v>11.1</v>
      </c>
      <c r="C65" s="110">
        <v>11.1</v>
      </c>
      <c r="D65" s="110">
        <v>12.1</v>
      </c>
    </row>
    <row r="66" spans="1:4" x14ac:dyDescent="0.25">
      <c r="A66" s="109">
        <v>55</v>
      </c>
      <c r="B66" s="110">
        <v>11.45</v>
      </c>
      <c r="C66" s="110">
        <v>11.45</v>
      </c>
      <c r="D66" s="110">
        <v>12.47</v>
      </c>
    </row>
    <row r="67" spans="1:4" x14ac:dyDescent="0.25">
      <c r="A67" s="109">
        <v>56</v>
      </c>
      <c r="B67" s="110">
        <v>11.81</v>
      </c>
      <c r="C67" s="110">
        <v>11.81</v>
      </c>
      <c r="D67" s="110">
        <v>12.85</v>
      </c>
    </row>
    <row r="68" spans="1:4" x14ac:dyDescent="0.25">
      <c r="A68" s="109">
        <v>57</v>
      </c>
      <c r="B68" s="110">
        <v>12.18</v>
      </c>
      <c r="C68" s="110">
        <v>12.18</v>
      </c>
      <c r="D68" s="110">
        <v>13.25</v>
      </c>
    </row>
    <row r="69" spans="1:4" x14ac:dyDescent="0.25">
      <c r="A69" s="109">
        <v>58</v>
      </c>
      <c r="B69" s="110">
        <v>12.56</v>
      </c>
      <c r="C69" s="110">
        <v>12.56</v>
      </c>
      <c r="D69" s="110">
        <v>13.66</v>
      </c>
    </row>
    <row r="70" spans="1:4" x14ac:dyDescent="0.25">
      <c r="A70" s="109">
        <v>59</v>
      </c>
      <c r="B70" s="110">
        <v>12.96</v>
      </c>
      <c r="C70" s="110">
        <v>12.96</v>
      </c>
      <c r="D70" s="110">
        <v>14.09</v>
      </c>
    </row>
    <row r="71" spans="1:4" x14ac:dyDescent="0.25">
      <c r="A71" s="109">
        <v>60</v>
      </c>
      <c r="B71" s="110">
        <v>13.37</v>
      </c>
      <c r="C71" s="110">
        <v>13.37</v>
      </c>
      <c r="D71" s="110">
        <v>14.53</v>
      </c>
    </row>
    <row r="72" spans="1:4" x14ac:dyDescent="0.25">
      <c r="A72" s="109">
        <v>61</v>
      </c>
      <c r="B72" s="110">
        <v>13.81</v>
      </c>
      <c r="C72" s="110">
        <v>13.81</v>
      </c>
      <c r="D72" s="110">
        <v>14.99</v>
      </c>
    </row>
    <row r="73" spans="1:4" x14ac:dyDescent="0.25">
      <c r="A73" s="109">
        <v>62</v>
      </c>
      <c r="B73" s="110">
        <v>14.27</v>
      </c>
      <c r="C73" s="110">
        <v>14.27</v>
      </c>
      <c r="D73" s="110">
        <v>15.48</v>
      </c>
    </row>
    <row r="74" spans="1:4" x14ac:dyDescent="0.25">
      <c r="A74" s="109">
        <v>63</v>
      </c>
      <c r="B74" s="110">
        <v>14.76</v>
      </c>
      <c r="C74" s="110">
        <v>14.76</v>
      </c>
      <c r="D74" s="110">
        <v>16</v>
      </c>
    </row>
    <row r="75" spans="1:4" x14ac:dyDescent="0.25">
      <c r="A75" s="109">
        <v>64</v>
      </c>
      <c r="B75" s="110">
        <v>15.28</v>
      </c>
      <c r="C75" s="110">
        <v>15.28</v>
      </c>
      <c r="D75" s="110">
        <v>16.54</v>
      </c>
    </row>
    <row r="76" spans="1:4" x14ac:dyDescent="0.25">
      <c r="A76" s="109">
        <v>65</v>
      </c>
      <c r="B76" s="110">
        <v>15.83</v>
      </c>
      <c r="C76" s="110">
        <v>15.83</v>
      </c>
      <c r="D76" s="110">
        <v>17.12</v>
      </c>
    </row>
    <row r="77" spans="1:4" x14ac:dyDescent="0.25">
      <c r="A77" s="109">
        <v>66</v>
      </c>
      <c r="B77" s="110">
        <v>16.43</v>
      </c>
      <c r="C77" s="110">
        <v>16.43</v>
      </c>
      <c r="D77" s="110">
        <v>17.75</v>
      </c>
    </row>
    <row r="78" spans="1:4" x14ac:dyDescent="0.25">
      <c r="A78" s="109">
        <v>67</v>
      </c>
      <c r="B78" s="110">
        <v>16.43</v>
      </c>
      <c r="C78" s="110">
        <v>16.43</v>
      </c>
      <c r="D78" s="110">
        <v>17.760000000000002</v>
      </c>
    </row>
    <row r="79" spans="1:4" x14ac:dyDescent="0.25">
      <c r="A79" s="109">
        <v>68</v>
      </c>
      <c r="B79" s="110">
        <v>15.82</v>
      </c>
      <c r="C79" s="110">
        <v>15.82</v>
      </c>
      <c r="D79" s="110">
        <v>17.13</v>
      </c>
    </row>
    <row r="80" spans="1:4" x14ac:dyDescent="0.25">
      <c r="A80" s="109">
        <v>69</v>
      </c>
      <c r="B80" s="110">
        <v>15.21</v>
      </c>
      <c r="C80" s="110">
        <v>15.21</v>
      </c>
      <c r="D80" s="110">
        <v>16.510000000000002</v>
      </c>
    </row>
    <row r="81" spans="1:4" x14ac:dyDescent="0.25">
      <c r="A81" s="109">
        <v>70</v>
      </c>
      <c r="B81" s="110">
        <v>14.6</v>
      </c>
      <c r="C81" s="110">
        <v>14.6</v>
      </c>
      <c r="D81" s="110">
        <v>15.89</v>
      </c>
    </row>
    <row r="82" spans="1:4" x14ac:dyDescent="0.25">
      <c r="A82" s="109">
        <v>71</v>
      </c>
      <c r="B82" s="110">
        <v>14</v>
      </c>
      <c r="C82" s="110">
        <v>14</v>
      </c>
      <c r="D82" s="110">
        <v>15.28</v>
      </c>
    </row>
    <row r="83" spans="1:4" x14ac:dyDescent="0.25">
      <c r="A83" s="109">
        <v>72</v>
      </c>
      <c r="B83" s="110">
        <v>13.4</v>
      </c>
      <c r="C83" s="110">
        <v>13.4</v>
      </c>
      <c r="D83" s="110">
        <v>14.67</v>
      </c>
    </row>
    <row r="84" spans="1:4" x14ac:dyDescent="0.25">
      <c r="A84" s="109">
        <v>73</v>
      </c>
      <c r="B84" s="110">
        <v>12.82</v>
      </c>
      <c r="C84" s="110">
        <v>12.82</v>
      </c>
      <c r="D84" s="110">
        <v>14.06</v>
      </c>
    </row>
    <row r="85" spans="1:4" x14ac:dyDescent="0.25">
      <c r="A85" s="109">
        <v>74</v>
      </c>
      <c r="B85" s="110">
        <v>12.24</v>
      </c>
      <c r="C85" s="110">
        <v>12.24</v>
      </c>
      <c r="D85" s="110">
        <v>13.47</v>
      </c>
    </row>
    <row r="86" spans="1:4" x14ac:dyDescent="0.25">
      <c r="A86" s="109">
        <v>75</v>
      </c>
      <c r="B86" s="110">
        <v>11.96</v>
      </c>
      <c r="C86" s="110">
        <v>11.96</v>
      </c>
      <c r="D86" s="110">
        <v>13.17</v>
      </c>
    </row>
  </sheetData>
  <conditionalFormatting sqref="A6:A21">
    <cfRule type="expression" dxfId="369" priority="3" stopIfTrue="1">
      <formula>MOD(ROW(),2)=0</formula>
    </cfRule>
    <cfRule type="expression" dxfId="368" priority="4" stopIfTrue="1">
      <formula>MOD(ROW(),2)&lt;&gt;0</formula>
    </cfRule>
  </conditionalFormatting>
  <conditionalFormatting sqref="A26:A86">
    <cfRule type="expression" dxfId="367" priority="7" stopIfTrue="1">
      <formula>MOD(ROW(),2)=0</formula>
    </cfRule>
    <cfRule type="expression" dxfId="366" priority="8" stopIfTrue="1">
      <formula>MOD(ROW(),2)&lt;&gt;0</formula>
    </cfRule>
  </conditionalFormatting>
  <conditionalFormatting sqref="B18:B21">
    <cfRule type="expression" dxfId="365" priority="1" stopIfTrue="1">
      <formula>MOD(ROW(),2)=0</formula>
    </cfRule>
    <cfRule type="expression" dxfId="364" priority="2" stopIfTrue="1">
      <formula>MOD(ROW(),2)&lt;&gt;0</formula>
    </cfRule>
  </conditionalFormatting>
  <conditionalFormatting sqref="B6:D21">
    <cfRule type="expression" dxfId="363" priority="21" stopIfTrue="1">
      <formula>MOD(ROW(),2)=0</formula>
    </cfRule>
    <cfRule type="expression" dxfId="362" priority="22" stopIfTrue="1">
      <formula>MOD(ROW(),2)&lt;&gt;0</formula>
    </cfRule>
  </conditionalFormatting>
  <conditionalFormatting sqref="B26:D86">
    <cfRule type="expression" dxfId="361" priority="9" stopIfTrue="1">
      <formula>MOD(ROW(),2)=0</formula>
    </cfRule>
    <cfRule type="expression" dxfId="360" priority="10" stopIfTrue="1">
      <formula>MOD(ROW(),2)&lt;&gt;0</formula>
    </cfRule>
  </conditionalFormatting>
  <hyperlinks>
    <hyperlink ref="B24" location="Assumptions!A1" display="Assumptions" xr:uid="{67D74AB9-4E19-40D6-8A4B-0D8AC3268C8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4"/>
  <dimension ref="A1:I86"/>
  <sheetViews>
    <sheetView workbookViewId="0"/>
  </sheetViews>
  <sheetFormatPr defaultColWidth="10" defaultRowHeight="12.5" x14ac:dyDescent="0.25"/>
  <cols>
    <col min="1" max="1" width="31.54296875" style="28" customWidth="1"/>
    <col min="2" max="4" width="22.54296875"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x-704</v>
      </c>
      <c r="B3" s="56"/>
      <c r="C3" s="56"/>
      <c r="D3" s="56"/>
      <c r="E3" s="56"/>
      <c r="F3" s="56"/>
      <c r="G3" s="56"/>
      <c r="H3" s="56"/>
      <c r="I3" s="56"/>
    </row>
    <row r="4" spans="1:9" x14ac:dyDescent="0.25">
      <c r="A4" s="58"/>
    </row>
    <row r="6" spans="1:9" ht="13" x14ac:dyDescent="0.3">
      <c r="A6" s="92" t="s">
        <v>716</v>
      </c>
      <c r="B6" s="181" t="s">
        <v>717</v>
      </c>
      <c r="C6" s="181"/>
      <c r="D6" s="181"/>
    </row>
    <row r="7" spans="1:9" x14ac:dyDescent="0.25">
      <c r="A7" s="94" t="s">
        <v>797</v>
      </c>
      <c r="B7" s="181" t="s">
        <v>316</v>
      </c>
      <c r="C7" s="181"/>
      <c r="D7" s="181"/>
    </row>
    <row r="8" spans="1:9" x14ac:dyDescent="0.25">
      <c r="A8" s="94" t="s">
        <v>798</v>
      </c>
      <c r="B8" s="181" t="s">
        <v>92</v>
      </c>
      <c r="C8" s="181"/>
      <c r="D8" s="181"/>
    </row>
    <row r="9" spans="1:9" x14ac:dyDescent="0.25">
      <c r="A9" s="94" t="s">
        <v>300</v>
      </c>
      <c r="B9" s="181" t="s">
        <v>601</v>
      </c>
      <c r="C9" s="181"/>
      <c r="D9" s="181"/>
    </row>
    <row r="10" spans="1:9" x14ac:dyDescent="0.25">
      <c r="A10" s="94" t="s">
        <v>6</v>
      </c>
      <c r="B10" s="181" t="s">
        <v>611</v>
      </c>
      <c r="C10" s="181"/>
      <c r="D10" s="181"/>
    </row>
    <row r="11" spans="1:9" x14ac:dyDescent="0.25">
      <c r="A11" s="94" t="s">
        <v>301</v>
      </c>
      <c r="B11" s="181" t="s">
        <v>334</v>
      </c>
      <c r="C11" s="181"/>
      <c r="D11" s="181"/>
    </row>
    <row r="12" spans="1:9" x14ac:dyDescent="0.25">
      <c r="A12" s="94" t="s">
        <v>302</v>
      </c>
      <c r="B12" s="181" t="s">
        <v>335</v>
      </c>
      <c r="C12" s="181"/>
      <c r="D12" s="181"/>
    </row>
    <row r="13" spans="1:9" x14ac:dyDescent="0.25">
      <c r="A13" s="94" t="s">
        <v>813</v>
      </c>
      <c r="B13" s="181">
        <v>0</v>
      </c>
      <c r="C13" s="181"/>
      <c r="D13" s="181"/>
    </row>
    <row r="14" spans="1:9" x14ac:dyDescent="0.25">
      <c r="A14" s="94" t="s">
        <v>304</v>
      </c>
      <c r="B14" s="181">
        <v>704</v>
      </c>
      <c r="C14" s="181"/>
      <c r="D14" s="181"/>
    </row>
    <row r="15" spans="1:9" x14ac:dyDescent="0.25">
      <c r="A15" s="94" t="s">
        <v>727</v>
      </c>
      <c r="B15" s="181" t="s">
        <v>612</v>
      </c>
      <c r="C15" s="181"/>
      <c r="D15" s="181"/>
    </row>
    <row r="16" spans="1:9" x14ac:dyDescent="0.25">
      <c r="A16" s="94" t="s">
        <v>306</v>
      </c>
      <c r="B16" s="181" t="s">
        <v>613</v>
      </c>
      <c r="C16" s="181"/>
      <c r="D16" s="181"/>
    </row>
    <row r="17" spans="1:4" x14ac:dyDescent="0.25">
      <c r="A17" s="94" t="s">
        <v>800</v>
      </c>
      <c r="B17" s="181"/>
      <c r="C17" s="181"/>
      <c r="D17" s="181"/>
    </row>
    <row r="18" spans="1:4" x14ac:dyDescent="0.25">
      <c r="A18" s="94" t="s">
        <v>308</v>
      </c>
      <c r="B18" s="185">
        <v>45184</v>
      </c>
      <c r="C18" s="181"/>
      <c r="D18" s="181"/>
    </row>
    <row r="19" spans="1:4" x14ac:dyDescent="0.25">
      <c r="A19" s="94" t="s">
        <v>309</v>
      </c>
      <c r="B19" s="185">
        <v>45383</v>
      </c>
      <c r="C19" s="181"/>
      <c r="D19" s="181"/>
    </row>
    <row r="20" spans="1:4" x14ac:dyDescent="0.25">
      <c r="A20" s="94" t="s">
        <v>310</v>
      </c>
      <c r="B20" s="181" t="s">
        <v>324</v>
      </c>
      <c r="C20" s="181"/>
      <c r="D20" s="181"/>
    </row>
    <row r="21" spans="1:4" x14ac:dyDescent="0.25">
      <c r="A21" s="87" t="s">
        <v>311</v>
      </c>
      <c r="B21" s="181" t="s">
        <v>325</v>
      </c>
      <c r="C21" s="181"/>
      <c r="D21" s="181"/>
    </row>
    <row r="23" spans="1:4" x14ac:dyDescent="0.25">
      <c r="B23" s="104" t="str">
        <f>HYPERLINK("#'Factor List'!A1","Back to Factor List")</f>
        <v>Back to Factor List</v>
      </c>
    </row>
    <row r="24" spans="1:4" x14ac:dyDescent="0.25">
      <c r="B24" s="104" t="s">
        <v>13</v>
      </c>
    </row>
    <row r="26" spans="1:4" ht="26" x14ac:dyDescent="0.25">
      <c r="A26" s="108" t="s">
        <v>534</v>
      </c>
      <c r="B26" s="108" t="s">
        <v>974</v>
      </c>
      <c r="C26" s="108" t="s">
        <v>975</v>
      </c>
      <c r="D26" s="108" t="s">
        <v>977</v>
      </c>
    </row>
    <row r="27" spans="1:4" x14ac:dyDescent="0.25">
      <c r="A27" s="109">
        <v>16</v>
      </c>
      <c r="B27" s="110">
        <v>3.06</v>
      </c>
      <c r="C27" s="110">
        <v>3.06</v>
      </c>
      <c r="D27" s="110">
        <v>3.32</v>
      </c>
    </row>
    <row r="28" spans="1:4" x14ac:dyDescent="0.25">
      <c r="A28" s="109">
        <v>17</v>
      </c>
      <c r="B28" s="110">
        <v>3.16</v>
      </c>
      <c r="C28" s="110">
        <v>3.16</v>
      </c>
      <c r="D28" s="110">
        <v>3.44</v>
      </c>
    </row>
    <row r="29" spans="1:4" x14ac:dyDescent="0.25">
      <c r="A29" s="109">
        <v>18</v>
      </c>
      <c r="B29" s="110">
        <v>3.27</v>
      </c>
      <c r="C29" s="110">
        <v>3.27</v>
      </c>
      <c r="D29" s="110">
        <v>3.57</v>
      </c>
    </row>
    <row r="30" spans="1:4" x14ac:dyDescent="0.25">
      <c r="A30" s="109">
        <v>19</v>
      </c>
      <c r="B30" s="110">
        <v>3.38</v>
      </c>
      <c r="C30" s="110">
        <v>3.38</v>
      </c>
      <c r="D30" s="110">
        <v>3.7</v>
      </c>
    </row>
    <row r="31" spans="1:4" x14ac:dyDescent="0.25">
      <c r="A31" s="109">
        <v>20</v>
      </c>
      <c r="B31" s="110">
        <v>3.49</v>
      </c>
      <c r="C31" s="110">
        <v>3.49</v>
      </c>
      <c r="D31" s="110">
        <v>3.82</v>
      </c>
    </row>
    <row r="32" spans="1:4" x14ac:dyDescent="0.25">
      <c r="A32" s="109">
        <v>21</v>
      </c>
      <c r="B32" s="110">
        <v>3.61</v>
      </c>
      <c r="C32" s="110">
        <v>3.61</v>
      </c>
      <c r="D32" s="110">
        <v>3.95</v>
      </c>
    </row>
    <row r="33" spans="1:4" x14ac:dyDescent="0.25">
      <c r="A33" s="109">
        <v>22</v>
      </c>
      <c r="B33" s="110">
        <v>3.74</v>
      </c>
      <c r="C33" s="110">
        <v>3.74</v>
      </c>
      <c r="D33" s="110">
        <v>4.09</v>
      </c>
    </row>
    <row r="34" spans="1:4" x14ac:dyDescent="0.25">
      <c r="A34" s="109">
        <v>23</v>
      </c>
      <c r="B34" s="110">
        <v>3.86</v>
      </c>
      <c r="C34" s="110">
        <v>3.86</v>
      </c>
      <c r="D34" s="110">
        <v>4.2300000000000004</v>
      </c>
    </row>
    <row r="35" spans="1:4" x14ac:dyDescent="0.25">
      <c r="A35" s="109">
        <v>24</v>
      </c>
      <c r="B35" s="110">
        <v>4</v>
      </c>
      <c r="C35" s="110">
        <v>4</v>
      </c>
      <c r="D35" s="110">
        <v>4.37</v>
      </c>
    </row>
    <row r="36" spans="1:4" x14ac:dyDescent="0.25">
      <c r="A36" s="109">
        <v>25</v>
      </c>
      <c r="B36" s="110">
        <v>4.13</v>
      </c>
      <c r="C36" s="110">
        <v>4.13</v>
      </c>
      <c r="D36" s="110">
        <v>4.5199999999999996</v>
      </c>
    </row>
    <row r="37" spans="1:4" x14ac:dyDescent="0.25">
      <c r="A37" s="109">
        <v>26</v>
      </c>
      <c r="B37" s="110">
        <v>4.2699999999999996</v>
      </c>
      <c r="C37" s="110">
        <v>4.2699999999999996</v>
      </c>
      <c r="D37" s="110">
        <v>4.68</v>
      </c>
    </row>
    <row r="38" spans="1:4" x14ac:dyDescent="0.25">
      <c r="A38" s="109">
        <v>27</v>
      </c>
      <c r="B38" s="110">
        <v>4.42</v>
      </c>
      <c r="C38" s="110">
        <v>4.42</v>
      </c>
      <c r="D38" s="110">
        <v>4.84</v>
      </c>
    </row>
    <row r="39" spans="1:4" x14ac:dyDescent="0.25">
      <c r="A39" s="109">
        <v>28</v>
      </c>
      <c r="B39" s="110">
        <v>4.57</v>
      </c>
      <c r="C39" s="110">
        <v>4.57</v>
      </c>
      <c r="D39" s="110">
        <v>5</v>
      </c>
    </row>
    <row r="40" spans="1:4" x14ac:dyDescent="0.25">
      <c r="A40" s="109">
        <v>29</v>
      </c>
      <c r="B40" s="110">
        <v>4.72</v>
      </c>
      <c r="C40" s="110">
        <v>4.72</v>
      </c>
      <c r="D40" s="110">
        <v>5.17</v>
      </c>
    </row>
    <row r="41" spans="1:4" x14ac:dyDescent="0.25">
      <c r="A41" s="109">
        <v>30</v>
      </c>
      <c r="B41" s="110">
        <v>4.88</v>
      </c>
      <c r="C41" s="110">
        <v>4.88</v>
      </c>
      <c r="D41" s="110">
        <v>5.35</v>
      </c>
    </row>
    <row r="42" spans="1:4" x14ac:dyDescent="0.25">
      <c r="A42" s="109">
        <v>31</v>
      </c>
      <c r="B42" s="110">
        <v>5.05</v>
      </c>
      <c r="C42" s="110">
        <v>5.05</v>
      </c>
      <c r="D42" s="110">
        <v>5.53</v>
      </c>
    </row>
    <row r="43" spans="1:4" x14ac:dyDescent="0.25">
      <c r="A43" s="109">
        <v>32</v>
      </c>
      <c r="B43" s="110">
        <v>5.22</v>
      </c>
      <c r="C43" s="110">
        <v>5.22</v>
      </c>
      <c r="D43" s="110">
        <v>5.71</v>
      </c>
    </row>
    <row r="44" spans="1:4" x14ac:dyDescent="0.25">
      <c r="A44" s="109">
        <v>33</v>
      </c>
      <c r="B44" s="110">
        <v>5.39</v>
      </c>
      <c r="C44" s="110">
        <v>5.39</v>
      </c>
      <c r="D44" s="110">
        <v>5.9</v>
      </c>
    </row>
    <row r="45" spans="1:4" x14ac:dyDescent="0.25">
      <c r="A45" s="109">
        <v>34</v>
      </c>
      <c r="B45" s="110">
        <v>5.57</v>
      </c>
      <c r="C45" s="110">
        <v>5.57</v>
      </c>
      <c r="D45" s="110">
        <v>6.1</v>
      </c>
    </row>
    <row r="46" spans="1:4" x14ac:dyDescent="0.25">
      <c r="A46" s="109">
        <v>35</v>
      </c>
      <c r="B46" s="110">
        <v>5.75</v>
      </c>
      <c r="C46" s="110">
        <v>5.75</v>
      </c>
      <c r="D46" s="110">
        <v>6.3</v>
      </c>
    </row>
    <row r="47" spans="1:4" x14ac:dyDescent="0.25">
      <c r="A47" s="109">
        <v>36</v>
      </c>
      <c r="B47" s="110">
        <v>5.94</v>
      </c>
      <c r="C47" s="110">
        <v>5.94</v>
      </c>
      <c r="D47" s="110">
        <v>6.51</v>
      </c>
    </row>
    <row r="48" spans="1:4" x14ac:dyDescent="0.25">
      <c r="A48" s="109">
        <v>37</v>
      </c>
      <c r="B48" s="110">
        <v>6.14</v>
      </c>
      <c r="C48" s="110">
        <v>6.14</v>
      </c>
      <c r="D48" s="110">
        <v>6.72</v>
      </c>
    </row>
    <row r="49" spans="1:4" x14ac:dyDescent="0.25">
      <c r="A49" s="109">
        <v>38</v>
      </c>
      <c r="B49" s="110">
        <v>6.34</v>
      </c>
      <c r="C49" s="110">
        <v>6.34</v>
      </c>
      <c r="D49" s="110">
        <v>6.94</v>
      </c>
    </row>
    <row r="50" spans="1:4" x14ac:dyDescent="0.25">
      <c r="A50" s="109">
        <v>39</v>
      </c>
      <c r="B50" s="110">
        <v>6.54</v>
      </c>
      <c r="C50" s="110">
        <v>6.54</v>
      </c>
      <c r="D50" s="110">
        <v>7.16</v>
      </c>
    </row>
    <row r="51" spans="1:4" x14ac:dyDescent="0.25">
      <c r="A51" s="109">
        <v>40</v>
      </c>
      <c r="B51" s="110">
        <v>6.75</v>
      </c>
      <c r="C51" s="110">
        <v>6.75</v>
      </c>
      <c r="D51" s="110">
        <v>7.39</v>
      </c>
    </row>
    <row r="52" spans="1:4" x14ac:dyDescent="0.25">
      <c r="A52" s="109">
        <v>41</v>
      </c>
      <c r="B52" s="110">
        <v>6.97</v>
      </c>
      <c r="C52" s="110">
        <v>6.97</v>
      </c>
      <c r="D52" s="110">
        <v>7.63</v>
      </c>
    </row>
    <row r="53" spans="1:4" x14ac:dyDescent="0.25">
      <c r="A53" s="109">
        <v>42</v>
      </c>
      <c r="B53" s="110">
        <v>7.19</v>
      </c>
      <c r="C53" s="110">
        <v>7.19</v>
      </c>
      <c r="D53" s="110">
        <v>7.88</v>
      </c>
    </row>
    <row r="54" spans="1:4" x14ac:dyDescent="0.25">
      <c r="A54" s="109">
        <v>43</v>
      </c>
      <c r="B54" s="110">
        <v>7.42</v>
      </c>
      <c r="C54" s="110">
        <v>7.42</v>
      </c>
      <c r="D54" s="110">
        <v>8.1300000000000008</v>
      </c>
    </row>
    <row r="55" spans="1:4" x14ac:dyDescent="0.25">
      <c r="A55" s="109">
        <v>44</v>
      </c>
      <c r="B55" s="110">
        <v>7.66</v>
      </c>
      <c r="C55" s="110">
        <v>7.66</v>
      </c>
      <c r="D55" s="110">
        <v>8.39</v>
      </c>
    </row>
    <row r="56" spans="1:4" x14ac:dyDescent="0.25">
      <c r="A56" s="109">
        <v>45</v>
      </c>
      <c r="B56" s="110">
        <v>7.9</v>
      </c>
      <c r="C56" s="110">
        <v>7.9</v>
      </c>
      <c r="D56" s="110">
        <v>8.66</v>
      </c>
    </row>
    <row r="57" spans="1:4" x14ac:dyDescent="0.25">
      <c r="A57" s="109">
        <v>46</v>
      </c>
      <c r="B57" s="110">
        <v>8.15</v>
      </c>
      <c r="C57" s="110">
        <v>8.15</v>
      </c>
      <c r="D57" s="110">
        <v>8.93</v>
      </c>
    </row>
    <row r="58" spans="1:4" x14ac:dyDescent="0.25">
      <c r="A58" s="109">
        <v>47</v>
      </c>
      <c r="B58" s="110">
        <v>8.41</v>
      </c>
      <c r="C58" s="110">
        <v>8.41</v>
      </c>
      <c r="D58" s="110">
        <v>9.2100000000000009</v>
      </c>
    </row>
    <row r="59" spans="1:4" x14ac:dyDescent="0.25">
      <c r="A59" s="109">
        <v>48</v>
      </c>
      <c r="B59" s="110">
        <v>8.67</v>
      </c>
      <c r="C59" s="110">
        <v>8.67</v>
      </c>
      <c r="D59" s="110">
        <v>9.5</v>
      </c>
    </row>
    <row r="60" spans="1:4" x14ac:dyDescent="0.25">
      <c r="A60" s="109">
        <v>49</v>
      </c>
      <c r="B60" s="110">
        <v>8.94</v>
      </c>
      <c r="C60" s="110">
        <v>8.94</v>
      </c>
      <c r="D60" s="110">
        <v>9.7899999999999991</v>
      </c>
    </row>
    <row r="61" spans="1:4" x14ac:dyDescent="0.25">
      <c r="A61" s="109">
        <v>50</v>
      </c>
      <c r="B61" s="110">
        <v>9.2200000000000006</v>
      </c>
      <c r="C61" s="110">
        <v>9.2200000000000006</v>
      </c>
      <c r="D61" s="110">
        <v>10.09</v>
      </c>
    </row>
    <row r="62" spans="1:4" x14ac:dyDescent="0.25">
      <c r="A62" s="109">
        <v>51</v>
      </c>
      <c r="B62" s="110">
        <v>9.51</v>
      </c>
      <c r="C62" s="110">
        <v>9.51</v>
      </c>
      <c r="D62" s="110">
        <v>10.4</v>
      </c>
    </row>
    <row r="63" spans="1:4" x14ac:dyDescent="0.25">
      <c r="A63" s="109">
        <v>52</v>
      </c>
      <c r="B63" s="110">
        <v>9.8000000000000007</v>
      </c>
      <c r="C63" s="110">
        <v>9.8000000000000007</v>
      </c>
      <c r="D63" s="110">
        <v>10.72</v>
      </c>
    </row>
    <row r="64" spans="1:4" x14ac:dyDescent="0.25">
      <c r="A64" s="109">
        <v>53</v>
      </c>
      <c r="B64" s="110">
        <v>10.1</v>
      </c>
      <c r="C64" s="110">
        <v>10.1</v>
      </c>
      <c r="D64" s="110">
        <v>11.05</v>
      </c>
    </row>
    <row r="65" spans="1:4" x14ac:dyDescent="0.25">
      <c r="A65" s="109">
        <v>54</v>
      </c>
      <c r="B65" s="110">
        <v>10.41</v>
      </c>
      <c r="C65" s="110">
        <v>10.41</v>
      </c>
      <c r="D65" s="110">
        <v>11.38</v>
      </c>
    </row>
    <row r="66" spans="1:4" x14ac:dyDescent="0.25">
      <c r="A66" s="109">
        <v>55</v>
      </c>
      <c r="B66" s="110">
        <v>10.72</v>
      </c>
      <c r="C66" s="110">
        <v>10.72</v>
      </c>
      <c r="D66" s="110">
        <v>11.73</v>
      </c>
    </row>
    <row r="67" spans="1:4" x14ac:dyDescent="0.25">
      <c r="A67" s="109">
        <v>56</v>
      </c>
      <c r="B67" s="110">
        <v>11.05</v>
      </c>
      <c r="C67" s="110">
        <v>11.05</v>
      </c>
      <c r="D67" s="110">
        <v>12.08</v>
      </c>
    </row>
    <row r="68" spans="1:4" x14ac:dyDescent="0.25">
      <c r="A68" s="109">
        <v>57</v>
      </c>
      <c r="B68" s="110">
        <v>11.39</v>
      </c>
      <c r="C68" s="110">
        <v>11.39</v>
      </c>
      <c r="D68" s="110">
        <v>12.45</v>
      </c>
    </row>
    <row r="69" spans="1:4" x14ac:dyDescent="0.25">
      <c r="A69" s="109">
        <v>58</v>
      </c>
      <c r="B69" s="110">
        <v>11.74</v>
      </c>
      <c r="C69" s="110">
        <v>11.74</v>
      </c>
      <c r="D69" s="110">
        <v>12.82</v>
      </c>
    </row>
    <row r="70" spans="1:4" x14ac:dyDescent="0.25">
      <c r="A70" s="109">
        <v>59</v>
      </c>
      <c r="B70" s="110">
        <v>12.1</v>
      </c>
      <c r="C70" s="110">
        <v>12.1</v>
      </c>
      <c r="D70" s="110">
        <v>13.21</v>
      </c>
    </row>
    <row r="71" spans="1:4" x14ac:dyDescent="0.25">
      <c r="A71" s="109">
        <v>60</v>
      </c>
      <c r="B71" s="110">
        <v>12.48</v>
      </c>
      <c r="C71" s="110">
        <v>12.48</v>
      </c>
      <c r="D71" s="110">
        <v>13.61</v>
      </c>
    </row>
    <row r="72" spans="1:4" x14ac:dyDescent="0.25">
      <c r="A72" s="109">
        <v>61</v>
      </c>
      <c r="B72" s="110">
        <v>12.88</v>
      </c>
      <c r="C72" s="110">
        <v>12.88</v>
      </c>
      <c r="D72" s="110">
        <v>14.04</v>
      </c>
    </row>
    <row r="73" spans="1:4" x14ac:dyDescent="0.25">
      <c r="A73" s="109">
        <v>62</v>
      </c>
      <c r="B73" s="110">
        <v>13.29</v>
      </c>
      <c r="C73" s="110">
        <v>13.29</v>
      </c>
      <c r="D73" s="110">
        <v>14.48</v>
      </c>
    </row>
    <row r="74" spans="1:4" x14ac:dyDescent="0.25">
      <c r="A74" s="109">
        <v>63</v>
      </c>
      <c r="B74" s="110">
        <v>13.74</v>
      </c>
      <c r="C74" s="110">
        <v>13.74</v>
      </c>
      <c r="D74" s="110">
        <v>14.95</v>
      </c>
    </row>
    <row r="75" spans="1:4" x14ac:dyDescent="0.25">
      <c r="A75" s="109">
        <v>64</v>
      </c>
      <c r="B75" s="110">
        <v>14.21</v>
      </c>
      <c r="C75" s="110">
        <v>14.21</v>
      </c>
      <c r="D75" s="110">
        <v>15.44</v>
      </c>
    </row>
    <row r="76" spans="1:4" x14ac:dyDescent="0.25">
      <c r="A76" s="109">
        <v>65</v>
      </c>
      <c r="B76" s="110">
        <v>14.71</v>
      </c>
      <c r="C76" s="110">
        <v>14.71</v>
      </c>
      <c r="D76" s="110">
        <v>15.97</v>
      </c>
    </row>
    <row r="77" spans="1:4" x14ac:dyDescent="0.25">
      <c r="A77" s="109">
        <v>66</v>
      </c>
      <c r="B77" s="110">
        <v>15.24</v>
      </c>
      <c r="C77" s="110">
        <v>15.24</v>
      </c>
      <c r="D77" s="110">
        <v>16.53</v>
      </c>
    </row>
    <row r="78" spans="1:4" x14ac:dyDescent="0.25">
      <c r="A78" s="109">
        <v>67</v>
      </c>
      <c r="B78" s="110">
        <v>15.82</v>
      </c>
      <c r="C78" s="110">
        <v>15.82</v>
      </c>
      <c r="D78" s="110">
        <v>17.13</v>
      </c>
    </row>
    <row r="79" spans="1:4" x14ac:dyDescent="0.25">
      <c r="A79" s="109">
        <v>68</v>
      </c>
      <c r="B79" s="110">
        <v>15.82</v>
      </c>
      <c r="C79" s="110">
        <v>15.82</v>
      </c>
      <c r="D79" s="110">
        <v>17.13</v>
      </c>
    </row>
    <row r="80" spans="1:4" x14ac:dyDescent="0.25">
      <c r="A80" s="109">
        <v>69</v>
      </c>
      <c r="B80" s="110">
        <v>15.21</v>
      </c>
      <c r="C80" s="110">
        <v>15.21</v>
      </c>
      <c r="D80" s="110">
        <v>16.510000000000002</v>
      </c>
    </row>
    <row r="81" spans="1:4" x14ac:dyDescent="0.25">
      <c r="A81" s="109">
        <v>70</v>
      </c>
      <c r="B81" s="110">
        <v>14.6</v>
      </c>
      <c r="C81" s="110">
        <v>14.6</v>
      </c>
      <c r="D81" s="110">
        <v>15.89</v>
      </c>
    </row>
    <row r="82" spans="1:4" x14ac:dyDescent="0.25">
      <c r="A82" s="109">
        <v>71</v>
      </c>
      <c r="B82" s="110">
        <v>14</v>
      </c>
      <c r="C82" s="110">
        <v>14</v>
      </c>
      <c r="D82" s="110">
        <v>15.28</v>
      </c>
    </row>
    <row r="83" spans="1:4" x14ac:dyDescent="0.25">
      <c r="A83" s="109">
        <v>72</v>
      </c>
      <c r="B83" s="110">
        <v>13.4</v>
      </c>
      <c r="C83" s="110">
        <v>13.4</v>
      </c>
      <c r="D83" s="110">
        <v>14.67</v>
      </c>
    </row>
    <row r="84" spans="1:4" x14ac:dyDescent="0.25">
      <c r="A84" s="109">
        <v>73</v>
      </c>
      <c r="B84" s="110">
        <v>12.82</v>
      </c>
      <c r="C84" s="110">
        <v>12.82</v>
      </c>
      <c r="D84" s="110">
        <v>14.06</v>
      </c>
    </row>
    <row r="85" spans="1:4" x14ac:dyDescent="0.25">
      <c r="A85" s="109">
        <v>74</v>
      </c>
      <c r="B85" s="110">
        <v>12.24</v>
      </c>
      <c r="C85" s="110">
        <v>12.24</v>
      </c>
      <c r="D85" s="110">
        <v>13.47</v>
      </c>
    </row>
    <row r="86" spans="1:4" x14ac:dyDescent="0.25">
      <c r="A86" s="109">
        <v>75</v>
      </c>
      <c r="B86" s="110">
        <v>11.96</v>
      </c>
      <c r="C86" s="110">
        <v>11.96</v>
      </c>
      <c r="D86" s="110">
        <v>13.17</v>
      </c>
    </row>
  </sheetData>
  <conditionalFormatting sqref="A6:A21">
    <cfRule type="expression" dxfId="359" priority="3" stopIfTrue="1">
      <formula>MOD(ROW(),2)=0</formula>
    </cfRule>
    <cfRule type="expression" dxfId="358" priority="4" stopIfTrue="1">
      <formula>MOD(ROW(),2)&lt;&gt;0</formula>
    </cfRule>
  </conditionalFormatting>
  <conditionalFormatting sqref="A26:A86">
    <cfRule type="expression" dxfId="357" priority="7" stopIfTrue="1">
      <formula>MOD(ROW(),2)=0</formula>
    </cfRule>
    <cfRule type="expression" dxfId="356" priority="8" stopIfTrue="1">
      <formula>MOD(ROW(),2)&lt;&gt;0</formula>
    </cfRule>
  </conditionalFormatting>
  <conditionalFormatting sqref="B18:B21">
    <cfRule type="expression" dxfId="355" priority="1" stopIfTrue="1">
      <formula>MOD(ROW(),2)=0</formula>
    </cfRule>
    <cfRule type="expression" dxfId="354" priority="2" stopIfTrue="1">
      <formula>MOD(ROW(),2)&lt;&gt;0</formula>
    </cfRule>
  </conditionalFormatting>
  <conditionalFormatting sqref="B6:D21">
    <cfRule type="expression" dxfId="353" priority="23" stopIfTrue="1">
      <formula>MOD(ROW(),2)=0</formula>
    </cfRule>
    <cfRule type="expression" dxfId="352" priority="24" stopIfTrue="1">
      <formula>MOD(ROW(),2)&lt;&gt;0</formula>
    </cfRule>
  </conditionalFormatting>
  <conditionalFormatting sqref="B26:D86">
    <cfRule type="expression" dxfId="351" priority="9" stopIfTrue="1">
      <formula>MOD(ROW(),2)=0</formula>
    </cfRule>
    <cfRule type="expression" dxfId="350" priority="10" stopIfTrue="1">
      <formula>MOD(ROW(),2)&lt;&gt;0</formula>
    </cfRule>
  </conditionalFormatting>
  <hyperlinks>
    <hyperlink ref="B24" location="Assumptions!A1" display="Assumptions" xr:uid="{22655281-6778-48AB-895A-36706F44495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5"/>
  <dimension ref="A1:I86"/>
  <sheetViews>
    <sheetView workbookViewId="0"/>
  </sheetViews>
  <sheetFormatPr defaultColWidth="10" defaultRowHeight="12.5" x14ac:dyDescent="0.25"/>
  <cols>
    <col min="1" max="1" width="31.54296875" style="28" customWidth="1"/>
    <col min="2" max="4" width="22.54296875"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x-705</v>
      </c>
      <c r="B3" s="56"/>
      <c r="C3" s="56"/>
      <c r="D3" s="56"/>
      <c r="E3" s="56"/>
      <c r="F3" s="56"/>
      <c r="G3" s="56"/>
      <c r="H3" s="56"/>
      <c r="I3" s="56"/>
    </row>
    <row r="4" spans="1:9" x14ac:dyDescent="0.25">
      <c r="A4" s="58"/>
    </row>
    <row r="6" spans="1:9" ht="13" x14ac:dyDescent="0.3">
      <c r="A6" s="92" t="s">
        <v>716</v>
      </c>
      <c r="B6" s="181" t="s">
        <v>717</v>
      </c>
      <c r="C6" s="181"/>
      <c r="D6" s="181"/>
    </row>
    <row r="7" spans="1:9" x14ac:dyDescent="0.25">
      <c r="A7" s="94" t="s">
        <v>797</v>
      </c>
      <c r="B7" s="181" t="s">
        <v>316</v>
      </c>
      <c r="C7" s="181"/>
      <c r="D7" s="181"/>
    </row>
    <row r="8" spans="1:9" x14ac:dyDescent="0.25">
      <c r="A8" s="94" t="s">
        <v>798</v>
      </c>
      <c r="B8" s="181" t="s">
        <v>92</v>
      </c>
      <c r="C8" s="181"/>
      <c r="D8" s="181"/>
    </row>
    <row r="9" spans="1:9" x14ac:dyDescent="0.25">
      <c r="A9" s="94" t="s">
        <v>300</v>
      </c>
      <c r="B9" s="181" t="s">
        <v>601</v>
      </c>
      <c r="C9" s="181"/>
      <c r="D9" s="181"/>
    </row>
    <row r="10" spans="1:9" x14ac:dyDescent="0.25">
      <c r="A10" s="94" t="s">
        <v>6</v>
      </c>
      <c r="B10" s="181" t="s">
        <v>614</v>
      </c>
      <c r="C10" s="181"/>
      <c r="D10" s="181"/>
    </row>
    <row r="11" spans="1:9" x14ac:dyDescent="0.25">
      <c r="A11" s="94" t="s">
        <v>301</v>
      </c>
      <c r="B11" s="181" t="s">
        <v>334</v>
      </c>
      <c r="C11" s="181"/>
      <c r="D11" s="181"/>
    </row>
    <row r="12" spans="1:9" x14ac:dyDescent="0.25">
      <c r="A12" s="94" t="s">
        <v>302</v>
      </c>
      <c r="B12" s="181" t="s">
        <v>335</v>
      </c>
      <c r="C12" s="181"/>
      <c r="D12" s="181"/>
    </row>
    <row r="13" spans="1:9" x14ac:dyDescent="0.25">
      <c r="A13" s="94" t="s">
        <v>813</v>
      </c>
      <c r="B13" s="181">
        <v>0</v>
      </c>
      <c r="C13" s="181"/>
      <c r="D13" s="181"/>
    </row>
    <row r="14" spans="1:9" x14ac:dyDescent="0.25">
      <c r="A14" s="94" t="s">
        <v>304</v>
      </c>
      <c r="B14" s="181">
        <v>705</v>
      </c>
      <c r="C14" s="181"/>
      <c r="D14" s="181"/>
    </row>
    <row r="15" spans="1:9" x14ac:dyDescent="0.25">
      <c r="A15" s="94" t="s">
        <v>727</v>
      </c>
      <c r="B15" s="181" t="s">
        <v>615</v>
      </c>
      <c r="C15" s="181"/>
      <c r="D15" s="181"/>
    </row>
    <row r="16" spans="1:9" x14ac:dyDescent="0.25">
      <c r="A16" s="94" t="s">
        <v>306</v>
      </c>
      <c r="B16" s="181" t="s">
        <v>616</v>
      </c>
      <c r="C16" s="181"/>
      <c r="D16" s="181"/>
    </row>
    <row r="17" spans="1:4" x14ac:dyDescent="0.25">
      <c r="A17" s="94" t="s">
        <v>800</v>
      </c>
      <c r="B17" s="181"/>
      <c r="C17" s="181"/>
      <c r="D17" s="181"/>
    </row>
    <row r="18" spans="1:4" x14ac:dyDescent="0.25">
      <c r="A18" s="94" t="s">
        <v>308</v>
      </c>
      <c r="B18" s="185">
        <v>45184</v>
      </c>
      <c r="C18" s="181"/>
      <c r="D18" s="181"/>
    </row>
    <row r="19" spans="1:4" x14ac:dyDescent="0.25">
      <c r="A19" s="94" t="s">
        <v>309</v>
      </c>
      <c r="B19" s="185">
        <v>45383</v>
      </c>
      <c r="C19" s="181"/>
      <c r="D19" s="181"/>
    </row>
    <row r="20" spans="1:4" x14ac:dyDescent="0.25">
      <c r="A20" s="94" t="s">
        <v>310</v>
      </c>
      <c r="B20" s="181" t="s">
        <v>324</v>
      </c>
      <c r="C20" s="181"/>
      <c r="D20" s="181"/>
    </row>
    <row r="21" spans="1:4" x14ac:dyDescent="0.25">
      <c r="A21" s="87" t="s">
        <v>311</v>
      </c>
      <c r="B21" s="181" t="s">
        <v>325</v>
      </c>
      <c r="C21" s="181"/>
      <c r="D21" s="181"/>
    </row>
    <row r="23" spans="1:4" x14ac:dyDescent="0.25">
      <c r="B23" s="104" t="str">
        <f>HYPERLINK("#'Factor List'!A1","Back to Factor List")</f>
        <v>Back to Factor List</v>
      </c>
    </row>
    <row r="24" spans="1:4" x14ac:dyDescent="0.25">
      <c r="B24" s="104" t="s">
        <v>13</v>
      </c>
    </row>
    <row r="26" spans="1:4" ht="26" x14ac:dyDescent="0.25">
      <c r="A26" s="108" t="s">
        <v>534</v>
      </c>
      <c r="B26" s="108" t="s">
        <v>974</v>
      </c>
      <c r="C26" s="108" t="s">
        <v>975</v>
      </c>
      <c r="D26" s="108" t="s">
        <v>977</v>
      </c>
    </row>
    <row r="27" spans="1:4" x14ac:dyDescent="0.25">
      <c r="A27" s="109">
        <v>16</v>
      </c>
      <c r="B27" s="110">
        <v>3.7</v>
      </c>
      <c r="C27" s="110">
        <v>3.7</v>
      </c>
      <c r="D27" s="110">
        <v>3.98</v>
      </c>
    </row>
    <row r="28" spans="1:4" x14ac:dyDescent="0.25">
      <c r="A28" s="109">
        <v>17</v>
      </c>
      <c r="B28" s="110">
        <v>3.82</v>
      </c>
      <c r="C28" s="110">
        <v>3.82</v>
      </c>
      <c r="D28" s="110">
        <v>4.12</v>
      </c>
    </row>
    <row r="29" spans="1:4" x14ac:dyDescent="0.25">
      <c r="A29" s="109">
        <v>18</v>
      </c>
      <c r="B29" s="110">
        <v>3.96</v>
      </c>
      <c r="C29" s="110">
        <v>3.96</v>
      </c>
      <c r="D29" s="110">
        <v>4.28</v>
      </c>
    </row>
    <row r="30" spans="1:4" x14ac:dyDescent="0.25">
      <c r="A30" s="109">
        <v>19</v>
      </c>
      <c r="B30" s="110">
        <v>4.09</v>
      </c>
      <c r="C30" s="110">
        <v>4.09</v>
      </c>
      <c r="D30" s="110">
        <v>4.4400000000000004</v>
      </c>
    </row>
    <row r="31" spans="1:4" x14ac:dyDescent="0.25">
      <c r="A31" s="109">
        <v>20</v>
      </c>
      <c r="B31" s="110">
        <v>4.2300000000000004</v>
      </c>
      <c r="C31" s="110">
        <v>4.2300000000000004</v>
      </c>
      <c r="D31" s="110">
        <v>4.59</v>
      </c>
    </row>
    <row r="32" spans="1:4" x14ac:dyDescent="0.25">
      <c r="A32" s="109">
        <v>21</v>
      </c>
      <c r="B32" s="110">
        <v>4.38</v>
      </c>
      <c r="C32" s="110">
        <v>4.38</v>
      </c>
      <c r="D32" s="110">
        <v>4.74</v>
      </c>
    </row>
    <row r="33" spans="1:4" x14ac:dyDescent="0.25">
      <c r="A33" s="109">
        <v>22</v>
      </c>
      <c r="B33" s="110">
        <v>4.53</v>
      </c>
      <c r="C33" s="110">
        <v>4.53</v>
      </c>
      <c r="D33" s="110">
        <v>4.91</v>
      </c>
    </row>
    <row r="34" spans="1:4" x14ac:dyDescent="0.25">
      <c r="A34" s="109">
        <v>23</v>
      </c>
      <c r="B34" s="110">
        <v>4.68</v>
      </c>
      <c r="C34" s="110">
        <v>4.68</v>
      </c>
      <c r="D34" s="110">
        <v>5.08</v>
      </c>
    </row>
    <row r="35" spans="1:4" x14ac:dyDescent="0.25">
      <c r="A35" s="109">
        <v>24</v>
      </c>
      <c r="B35" s="110">
        <v>4.84</v>
      </c>
      <c r="C35" s="110">
        <v>4.84</v>
      </c>
      <c r="D35" s="110">
        <v>5.25</v>
      </c>
    </row>
    <row r="36" spans="1:4" x14ac:dyDescent="0.25">
      <c r="A36" s="109">
        <v>25</v>
      </c>
      <c r="B36" s="110">
        <v>5.0199999999999996</v>
      </c>
      <c r="C36" s="110">
        <v>5.0199999999999996</v>
      </c>
      <c r="D36" s="110">
        <v>5.44</v>
      </c>
    </row>
    <row r="37" spans="1:4" x14ac:dyDescent="0.25">
      <c r="A37" s="109">
        <v>26</v>
      </c>
      <c r="B37" s="110">
        <v>5.18</v>
      </c>
      <c r="C37" s="110">
        <v>5.18</v>
      </c>
      <c r="D37" s="110">
        <v>5.62</v>
      </c>
    </row>
    <row r="38" spans="1:4" x14ac:dyDescent="0.25">
      <c r="A38" s="109">
        <v>27</v>
      </c>
      <c r="B38" s="110">
        <v>5.37</v>
      </c>
      <c r="C38" s="110">
        <v>5.37</v>
      </c>
      <c r="D38" s="110">
        <v>5.81</v>
      </c>
    </row>
    <row r="39" spans="1:4" x14ac:dyDescent="0.25">
      <c r="A39" s="109">
        <v>28</v>
      </c>
      <c r="B39" s="110">
        <v>5.55</v>
      </c>
      <c r="C39" s="110">
        <v>5.55</v>
      </c>
      <c r="D39" s="110">
        <v>6.02</v>
      </c>
    </row>
    <row r="40" spans="1:4" x14ac:dyDescent="0.25">
      <c r="A40" s="109">
        <v>29</v>
      </c>
      <c r="B40" s="110">
        <v>5.74</v>
      </c>
      <c r="C40" s="110">
        <v>5.74</v>
      </c>
      <c r="D40" s="110">
        <v>6.22</v>
      </c>
    </row>
    <row r="41" spans="1:4" x14ac:dyDescent="0.25">
      <c r="A41" s="109">
        <v>30</v>
      </c>
      <c r="B41" s="110">
        <v>5.94</v>
      </c>
      <c r="C41" s="110">
        <v>5.94</v>
      </c>
      <c r="D41" s="110">
        <v>6.44</v>
      </c>
    </row>
    <row r="42" spans="1:4" x14ac:dyDescent="0.25">
      <c r="A42" s="109">
        <v>31</v>
      </c>
      <c r="B42" s="110">
        <v>6.14</v>
      </c>
      <c r="C42" s="110">
        <v>6.14</v>
      </c>
      <c r="D42" s="110">
        <v>6.65</v>
      </c>
    </row>
    <row r="43" spans="1:4" x14ac:dyDescent="0.25">
      <c r="A43" s="109">
        <v>32</v>
      </c>
      <c r="B43" s="110">
        <v>6.34</v>
      </c>
      <c r="C43" s="110">
        <v>6.34</v>
      </c>
      <c r="D43" s="110">
        <v>6.87</v>
      </c>
    </row>
    <row r="44" spans="1:4" x14ac:dyDescent="0.25">
      <c r="A44" s="109">
        <v>33</v>
      </c>
      <c r="B44" s="110">
        <v>6.56</v>
      </c>
      <c r="C44" s="110">
        <v>6.56</v>
      </c>
      <c r="D44" s="110">
        <v>7.11</v>
      </c>
    </row>
    <row r="45" spans="1:4" x14ac:dyDescent="0.25">
      <c r="A45" s="109">
        <v>34</v>
      </c>
      <c r="B45" s="110">
        <v>6.77</v>
      </c>
      <c r="C45" s="110">
        <v>6.77</v>
      </c>
      <c r="D45" s="110">
        <v>7.34</v>
      </c>
    </row>
    <row r="46" spans="1:4" x14ac:dyDescent="0.25">
      <c r="A46" s="109">
        <v>35</v>
      </c>
      <c r="B46" s="110">
        <v>7.01</v>
      </c>
      <c r="C46" s="110">
        <v>7.01</v>
      </c>
      <c r="D46" s="110">
        <v>7.59</v>
      </c>
    </row>
    <row r="47" spans="1:4" x14ac:dyDescent="0.25">
      <c r="A47" s="109">
        <v>36</v>
      </c>
      <c r="B47" s="110">
        <v>7.23</v>
      </c>
      <c r="C47" s="110">
        <v>7.23</v>
      </c>
      <c r="D47" s="110">
        <v>7.84</v>
      </c>
    </row>
    <row r="48" spans="1:4" x14ac:dyDescent="0.25">
      <c r="A48" s="109">
        <v>37</v>
      </c>
      <c r="B48" s="110">
        <v>7.48</v>
      </c>
      <c r="C48" s="110">
        <v>7.48</v>
      </c>
      <c r="D48" s="110">
        <v>8.11</v>
      </c>
    </row>
    <row r="49" spans="1:4" x14ac:dyDescent="0.25">
      <c r="A49" s="109">
        <v>38</v>
      </c>
      <c r="B49" s="110">
        <v>7.72</v>
      </c>
      <c r="C49" s="110">
        <v>7.72</v>
      </c>
      <c r="D49" s="110">
        <v>8.3699999999999992</v>
      </c>
    </row>
    <row r="50" spans="1:4" x14ac:dyDescent="0.25">
      <c r="A50" s="109">
        <v>39</v>
      </c>
      <c r="B50" s="110">
        <v>7.98</v>
      </c>
      <c r="C50" s="110">
        <v>7.98</v>
      </c>
      <c r="D50" s="110">
        <v>8.65</v>
      </c>
    </row>
    <row r="51" spans="1:4" x14ac:dyDescent="0.25">
      <c r="A51" s="109">
        <v>40</v>
      </c>
      <c r="B51" s="110">
        <v>8.24</v>
      </c>
      <c r="C51" s="110">
        <v>8.24</v>
      </c>
      <c r="D51" s="110">
        <v>8.94</v>
      </c>
    </row>
    <row r="52" spans="1:4" x14ac:dyDescent="0.25">
      <c r="A52" s="109">
        <v>41</v>
      </c>
      <c r="B52" s="110">
        <v>8.51</v>
      </c>
      <c r="C52" s="110">
        <v>8.51</v>
      </c>
      <c r="D52" s="110">
        <v>9.23</v>
      </c>
    </row>
    <row r="53" spans="1:4" x14ac:dyDescent="0.25">
      <c r="A53" s="109">
        <v>42</v>
      </c>
      <c r="B53" s="110">
        <v>8.7899999999999991</v>
      </c>
      <c r="C53" s="110">
        <v>8.7899999999999991</v>
      </c>
      <c r="D53" s="110">
        <v>9.5299999999999994</v>
      </c>
    </row>
    <row r="54" spans="1:4" x14ac:dyDescent="0.25">
      <c r="A54" s="109">
        <v>43</v>
      </c>
      <c r="B54" s="110">
        <v>9.08</v>
      </c>
      <c r="C54" s="110">
        <v>9.08</v>
      </c>
      <c r="D54" s="110">
        <v>9.84</v>
      </c>
    </row>
    <row r="55" spans="1:4" x14ac:dyDescent="0.25">
      <c r="A55" s="109">
        <v>44</v>
      </c>
      <c r="B55" s="110">
        <v>9.3699999999999992</v>
      </c>
      <c r="C55" s="110">
        <v>9.3699999999999992</v>
      </c>
      <c r="D55" s="110">
        <v>10.16</v>
      </c>
    </row>
    <row r="56" spans="1:4" x14ac:dyDescent="0.25">
      <c r="A56" s="109">
        <v>45</v>
      </c>
      <c r="B56" s="110">
        <v>9.68</v>
      </c>
      <c r="C56" s="110">
        <v>9.68</v>
      </c>
      <c r="D56" s="110">
        <v>10.5</v>
      </c>
    </row>
    <row r="57" spans="1:4" x14ac:dyDescent="0.25">
      <c r="A57" s="109">
        <v>46</v>
      </c>
      <c r="B57" s="110">
        <v>10</v>
      </c>
      <c r="C57" s="110">
        <v>10</v>
      </c>
      <c r="D57" s="110">
        <v>10.83</v>
      </c>
    </row>
    <row r="58" spans="1:4" x14ac:dyDescent="0.25">
      <c r="A58" s="109">
        <v>47</v>
      </c>
      <c r="B58" s="110">
        <v>10.32</v>
      </c>
      <c r="C58" s="110">
        <v>10.32</v>
      </c>
      <c r="D58" s="110">
        <v>11.19</v>
      </c>
    </row>
    <row r="59" spans="1:4" x14ac:dyDescent="0.25">
      <c r="A59" s="109">
        <v>48</v>
      </c>
      <c r="B59" s="110">
        <v>10.65</v>
      </c>
      <c r="C59" s="110">
        <v>10.65</v>
      </c>
      <c r="D59" s="110">
        <v>11.55</v>
      </c>
    </row>
    <row r="60" spans="1:4" x14ac:dyDescent="0.25">
      <c r="A60" s="109">
        <v>49</v>
      </c>
      <c r="B60" s="110">
        <v>11</v>
      </c>
      <c r="C60" s="110">
        <v>11</v>
      </c>
      <c r="D60" s="110">
        <v>11.91</v>
      </c>
    </row>
    <row r="61" spans="1:4" x14ac:dyDescent="0.25">
      <c r="A61" s="109">
        <v>50</v>
      </c>
      <c r="B61" s="110">
        <v>11.35</v>
      </c>
      <c r="C61" s="110">
        <v>11.35</v>
      </c>
      <c r="D61" s="110">
        <v>12.3</v>
      </c>
    </row>
    <row r="62" spans="1:4" x14ac:dyDescent="0.25">
      <c r="A62" s="109">
        <v>51</v>
      </c>
      <c r="B62" s="110">
        <v>11.72</v>
      </c>
      <c r="C62" s="110">
        <v>11.72</v>
      </c>
      <c r="D62" s="110">
        <v>12.69</v>
      </c>
    </row>
    <row r="63" spans="1:4" x14ac:dyDescent="0.25">
      <c r="A63" s="109">
        <v>52</v>
      </c>
      <c r="B63" s="110">
        <v>12.09</v>
      </c>
      <c r="C63" s="110">
        <v>12.09</v>
      </c>
      <c r="D63" s="110">
        <v>13.1</v>
      </c>
    </row>
    <row r="64" spans="1:4" x14ac:dyDescent="0.25">
      <c r="A64" s="109">
        <v>53</v>
      </c>
      <c r="B64" s="110">
        <v>12.47</v>
      </c>
      <c r="C64" s="110">
        <v>12.47</v>
      </c>
      <c r="D64" s="110">
        <v>13.5</v>
      </c>
    </row>
    <row r="65" spans="1:4" x14ac:dyDescent="0.25">
      <c r="A65" s="109">
        <v>54</v>
      </c>
      <c r="B65" s="110">
        <v>12.88</v>
      </c>
      <c r="C65" s="110">
        <v>12.88</v>
      </c>
      <c r="D65" s="110">
        <v>13.94</v>
      </c>
    </row>
    <row r="66" spans="1:4" x14ac:dyDescent="0.25">
      <c r="A66" s="109">
        <v>55</v>
      </c>
      <c r="B66" s="110">
        <v>13.3</v>
      </c>
      <c r="C66" s="110">
        <v>13.3</v>
      </c>
      <c r="D66" s="110">
        <v>14.38</v>
      </c>
    </row>
    <row r="67" spans="1:4" x14ac:dyDescent="0.25">
      <c r="A67" s="109">
        <v>56</v>
      </c>
      <c r="B67" s="110">
        <v>13.73</v>
      </c>
      <c r="C67" s="110">
        <v>13.73</v>
      </c>
      <c r="D67" s="110">
        <v>14.84</v>
      </c>
    </row>
    <row r="68" spans="1:4" x14ac:dyDescent="0.25">
      <c r="A68" s="109">
        <v>57</v>
      </c>
      <c r="B68" s="110">
        <v>14.18</v>
      </c>
      <c r="C68" s="110">
        <v>14.18</v>
      </c>
      <c r="D68" s="110">
        <v>15.32</v>
      </c>
    </row>
    <row r="69" spans="1:4" x14ac:dyDescent="0.25">
      <c r="A69" s="109">
        <v>58</v>
      </c>
      <c r="B69" s="110">
        <v>14.65</v>
      </c>
      <c r="C69" s="110">
        <v>14.65</v>
      </c>
      <c r="D69" s="110">
        <v>15.82</v>
      </c>
    </row>
    <row r="70" spans="1:4" x14ac:dyDescent="0.25">
      <c r="A70" s="109">
        <v>59</v>
      </c>
      <c r="B70" s="110">
        <v>15.13</v>
      </c>
      <c r="C70" s="110">
        <v>15.13</v>
      </c>
      <c r="D70" s="110">
        <v>16.329999999999998</v>
      </c>
    </row>
    <row r="71" spans="1:4" x14ac:dyDescent="0.25">
      <c r="A71" s="109">
        <v>60</v>
      </c>
      <c r="B71" s="110">
        <v>15.64</v>
      </c>
      <c r="C71" s="110">
        <v>15.64</v>
      </c>
      <c r="D71" s="110">
        <v>16.87</v>
      </c>
    </row>
    <row r="72" spans="1:4" x14ac:dyDescent="0.25">
      <c r="A72" s="109">
        <v>61</v>
      </c>
      <c r="B72" s="110">
        <v>16.18</v>
      </c>
      <c r="C72" s="110">
        <v>16.18</v>
      </c>
      <c r="D72" s="110">
        <v>17.440000000000001</v>
      </c>
    </row>
    <row r="73" spans="1:4" x14ac:dyDescent="0.25">
      <c r="A73" s="109">
        <v>62</v>
      </c>
      <c r="B73" s="110">
        <v>16.75</v>
      </c>
      <c r="C73" s="110">
        <v>16.75</v>
      </c>
      <c r="D73" s="110">
        <v>18.04</v>
      </c>
    </row>
    <row r="74" spans="1:4" x14ac:dyDescent="0.25">
      <c r="A74" s="109">
        <v>63</v>
      </c>
      <c r="B74" s="110">
        <v>17.350000000000001</v>
      </c>
      <c r="C74" s="110">
        <v>17.350000000000001</v>
      </c>
      <c r="D74" s="110">
        <v>18.68</v>
      </c>
    </row>
    <row r="75" spans="1:4" x14ac:dyDescent="0.25">
      <c r="A75" s="109">
        <v>64</v>
      </c>
      <c r="B75" s="110">
        <v>18</v>
      </c>
      <c r="C75" s="110">
        <v>18</v>
      </c>
      <c r="D75" s="110">
        <v>19.350000000000001</v>
      </c>
    </row>
    <row r="76" spans="1:4" x14ac:dyDescent="0.25">
      <c r="A76" s="109">
        <v>65</v>
      </c>
      <c r="B76" s="110">
        <v>18.02</v>
      </c>
      <c r="C76" s="110">
        <v>18.02</v>
      </c>
      <c r="D76" s="110">
        <v>19.38</v>
      </c>
    </row>
    <row r="77" spans="1:4" x14ac:dyDescent="0.25">
      <c r="A77" s="109">
        <v>66</v>
      </c>
      <c r="B77" s="110">
        <v>17.39</v>
      </c>
      <c r="C77" s="110">
        <v>17.39</v>
      </c>
      <c r="D77" s="110">
        <v>18.75</v>
      </c>
    </row>
    <row r="78" spans="1:4" x14ac:dyDescent="0.25">
      <c r="A78" s="109">
        <v>67</v>
      </c>
      <c r="B78" s="110">
        <v>16.760000000000002</v>
      </c>
      <c r="C78" s="110">
        <v>16.760000000000002</v>
      </c>
      <c r="D78" s="110">
        <v>18.12</v>
      </c>
    </row>
    <row r="79" spans="1:4" x14ac:dyDescent="0.25">
      <c r="A79" s="109">
        <v>68</v>
      </c>
      <c r="B79" s="110">
        <v>16.14</v>
      </c>
      <c r="C79" s="110">
        <v>16.14</v>
      </c>
      <c r="D79" s="110">
        <v>17.47</v>
      </c>
    </row>
    <row r="80" spans="1:4" x14ac:dyDescent="0.25">
      <c r="A80" s="109">
        <v>69</v>
      </c>
      <c r="B80" s="110">
        <v>15.51</v>
      </c>
      <c r="C80" s="110">
        <v>15.51</v>
      </c>
      <c r="D80" s="110">
        <v>16.84</v>
      </c>
    </row>
    <row r="81" spans="1:4" x14ac:dyDescent="0.25">
      <c r="A81" s="109">
        <v>70</v>
      </c>
      <c r="B81" s="110">
        <v>14.89</v>
      </c>
      <c r="C81" s="110">
        <v>14.89</v>
      </c>
      <c r="D81" s="110">
        <v>16.21</v>
      </c>
    </row>
    <row r="82" spans="1:4" x14ac:dyDescent="0.25">
      <c r="A82" s="109">
        <v>71</v>
      </c>
      <c r="B82" s="110">
        <v>14.28</v>
      </c>
      <c r="C82" s="110">
        <v>14.28</v>
      </c>
      <c r="D82" s="110">
        <v>15.59</v>
      </c>
    </row>
    <row r="83" spans="1:4" x14ac:dyDescent="0.25">
      <c r="A83" s="109">
        <v>72</v>
      </c>
      <c r="B83" s="110">
        <v>13.67</v>
      </c>
      <c r="C83" s="110">
        <v>13.67</v>
      </c>
      <c r="D83" s="110">
        <v>14.96</v>
      </c>
    </row>
    <row r="84" spans="1:4" x14ac:dyDescent="0.25">
      <c r="A84" s="109">
        <v>73</v>
      </c>
      <c r="B84" s="110">
        <v>13.08</v>
      </c>
      <c r="C84" s="110">
        <v>13.08</v>
      </c>
      <c r="D84" s="110">
        <v>14.34</v>
      </c>
    </row>
    <row r="85" spans="1:4" x14ac:dyDescent="0.25">
      <c r="A85" s="109">
        <v>74</v>
      </c>
      <c r="B85" s="110">
        <v>12.48</v>
      </c>
      <c r="C85" s="110">
        <v>12.48</v>
      </c>
      <c r="D85" s="110">
        <v>13.74</v>
      </c>
    </row>
    <row r="86" spans="1:4" x14ac:dyDescent="0.25">
      <c r="A86" s="109">
        <v>75</v>
      </c>
      <c r="B86" s="110">
        <v>12.2</v>
      </c>
      <c r="C86" s="110">
        <v>12.2</v>
      </c>
      <c r="D86" s="110">
        <v>13.43</v>
      </c>
    </row>
  </sheetData>
  <conditionalFormatting sqref="A6:A21">
    <cfRule type="expression" dxfId="349" priority="3" stopIfTrue="1">
      <formula>MOD(ROW(),2)=0</formula>
    </cfRule>
    <cfRule type="expression" dxfId="348" priority="4" stopIfTrue="1">
      <formula>MOD(ROW(),2)&lt;&gt;0</formula>
    </cfRule>
  </conditionalFormatting>
  <conditionalFormatting sqref="A26:A86">
    <cfRule type="expression" dxfId="347" priority="7" stopIfTrue="1">
      <formula>MOD(ROW(),2)=0</formula>
    </cfRule>
    <cfRule type="expression" dxfId="346" priority="8" stopIfTrue="1">
      <formula>MOD(ROW(),2)&lt;&gt;0</formula>
    </cfRule>
  </conditionalFormatting>
  <conditionalFormatting sqref="B18:B21">
    <cfRule type="expression" dxfId="345" priority="1" stopIfTrue="1">
      <formula>MOD(ROW(),2)=0</formula>
    </cfRule>
    <cfRule type="expression" dxfId="344" priority="2" stopIfTrue="1">
      <formula>MOD(ROW(),2)&lt;&gt;0</formula>
    </cfRule>
  </conditionalFormatting>
  <conditionalFormatting sqref="B6:D21">
    <cfRule type="expression" dxfId="343" priority="23" stopIfTrue="1">
      <formula>MOD(ROW(),2)=0</formula>
    </cfRule>
    <cfRule type="expression" dxfId="342" priority="24" stopIfTrue="1">
      <formula>MOD(ROW(),2)&lt;&gt;0</formula>
    </cfRule>
  </conditionalFormatting>
  <conditionalFormatting sqref="B26:D86">
    <cfRule type="expression" dxfId="341" priority="9" stopIfTrue="1">
      <formula>MOD(ROW(),2)=0</formula>
    </cfRule>
    <cfRule type="expression" dxfId="340" priority="10" stopIfTrue="1">
      <formula>MOD(ROW(),2)&lt;&gt;0</formula>
    </cfRule>
  </conditionalFormatting>
  <hyperlinks>
    <hyperlink ref="B24" location="Assumptions!A1" display="Assumptions" xr:uid="{EA8FF7F7-A227-4EAC-9BF4-C8CCDF6930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6"/>
  <dimension ref="A1:I86"/>
  <sheetViews>
    <sheetView workbookViewId="0"/>
  </sheetViews>
  <sheetFormatPr defaultColWidth="10" defaultRowHeight="12.5" x14ac:dyDescent="0.25"/>
  <cols>
    <col min="1" max="1" width="31.54296875" style="28" customWidth="1"/>
    <col min="2" max="4" width="22.54296875"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x-706</v>
      </c>
      <c r="B3" s="56"/>
      <c r="C3" s="56"/>
      <c r="D3" s="56"/>
      <c r="E3" s="56"/>
      <c r="F3" s="56"/>
      <c r="G3" s="56"/>
      <c r="H3" s="56"/>
      <c r="I3" s="56"/>
    </row>
    <row r="4" spans="1:9" x14ac:dyDescent="0.25">
      <c r="A4" s="58"/>
    </row>
    <row r="6" spans="1:9" ht="13" x14ac:dyDescent="0.3">
      <c r="A6" s="92" t="s">
        <v>716</v>
      </c>
      <c r="B6" s="181" t="s">
        <v>717</v>
      </c>
      <c r="C6" s="181"/>
      <c r="D6" s="181"/>
    </row>
    <row r="7" spans="1:9" x14ac:dyDescent="0.25">
      <c r="A7" s="94" t="s">
        <v>797</v>
      </c>
      <c r="B7" s="181" t="s">
        <v>316</v>
      </c>
      <c r="C7" s="181"/>
      <c r="D7" s="181"/>
    </row>
    <row r="8" spans="1:9" x14ac:dyDescent="0.25">
      <c r="A8" s="94" t="s">
        <v>798</v>
      </c>
      <c r="B8" s="181" t="s">
        <v>92</v>
      </c>
      <c r="C8" s="181"/>
      <c r="D8" s="181"/>
    </row>
    <row r="9" spans="1:9" x14ac:dyDescent="0.25">
      <c r="A9" s="94" t="s">
        <v>300</v>
      </c>
      <c r="B9" s="181" t="s">
        <v>601</v>
      </c>
      <c r="C9" s="181"/>
      <c r="D9" s="181"/>
    </row>
    <row r="10" spans="1:9" x14ac:dyDescent="0.25">
      <c r="A10" s="94" t="s">
        <v>6</v>
      </c>
      <c r="B10" s="181" t="s">
        <v>617</v>
      </c>
      <c r="C10" s="181"/>
      <c r="D10" s="181"/>
    </row>
    <row r="11" spans="1:9" x14ac:dyDescent="0.25">
      <c r="A11" s="94" t="s">
        <v>301</v>
      </c>
      <c r="B11" s="181" t="s">
        <v>334</v>
      </c>
      <c r="C11" s="181"/>
      <c r="D11" s="181"/>
    </row>
    <row r="12" spans="1:9" x14ac:dyDescent="0.25">
      <c r="A12" s="94" t="s">
        <v>302</v>
      </c>
      <c r="B12" s="181" t="s">
        <v>335</v>
      </c>
      <c r="C12" s="181"/>
      <c r="D12" s="181"/>
    </row>
    <row r="13" spans="1:9" x14ac:dyDescent="0.25">
      <c r="A13" s="94" t="s">
        <v>813</v>
      </c>
      <c r="B13" s="181">
        <v>0</v>
      </c>
      <c r="C13" s="181"/>
      <c r="D13" s="181"/>
    </row>
    <row r="14" spans="1:9" x14ac:dyDescent="0.25">
      <c r="A14" s="94" t="s">
        <v>304</v>
      </c>
      <c r="B14" s="181">
        <v>706</v>
      </c>
      <c r="C14" s="181"/>
      <c r="D14" s="181"/>
    </row>
    <row r="15" spans="1:9" x14ac:dyDescent="0.25">
      <c r="A15" s="94" t="s">
        <v>727</v>
      </c>
      <c r="B15" s="181" t="s">
        <v>618</v>
      </c>
      <c r="C15" s="181"/>
      <c r="D15" s="181"/>
    </row>
    <row r="16" spans="1:9" x14ac:dyDescent="0.25">
      <c r="A16" s="94" t="s">
        <v>306</v>
      </c>
      <c r="B16" s="181" t="s">
        <v>619</v>
      </c>
      <c r="C16" s="181"/>
      <c r="D16" s="181"/>
    </row>
    <row r="17" spans="1:4" x14ac:dyDescent="0.25">
      <c r="A17" s="94" t="s">
        <v>800</v>
      </c>
      <c r="B17" s="181"/>
      <c r="C17" s="181"/>
      <c r="D17" s="181"/>
    </row>
    <row r="18" spans="1:4" x14ac:dyDescent="0.25">
      <c r="A18" s="94" t="s">
        <v>308</v>
      </c>
      <c r="B18" s="185">
        <v>45184</v>
      </c>
      <c r="C18" s="181"/>
      <c r="D18" s="181"/>
    </row>
    <row r="19" spans="1:4" x14ac:dyDescent="0.25">
      <c r="A19" s="94" t="s">
        <v>309</v>
      </c>
      <c r="B19" s="185">
        <v>45383</v>
      </c>
      <c r="C19" s="181"/>
      <c r="D19" s="181"/>
    </row>
    <row r="20" spans="1:4" x14ac:dyDescent="0.25">
      <c r="A20" s="94" t="s">
        <v>310</v>
      </c>
      <c r="B20" s="181" t="s">
        <v>324</v>
      </c>
      <c r="C20" s="181"/>
      <c r="D20" s="181"/>
    </row>
    <row r="21" spans="1:4" x14ac:dyDescent="0.25">
      <c r="A21" s="87" t="s">
        <v>311</v>
      </c>
      <c r="B21" s="181" t="s">
        <v>325</v>
      </c>
      <c r="C21" s="181"/>
      <c r="D21" s="181"/>
    </row>
    <row r="23" spans="1:4" x14ac:dyDescent="0.25">
      <c r="B23" s="104" t="str">
        <f>HYPERLINK("#'Factor List'!A1","Back to Factor List")</f>
        <v>Back to Factor List</v>
      </c>
    </row>
    <row r="24" spans="1:4" x14ac:dyDescent="0.25">
      <c r="B24" s="104" t="s">
        <v>13</v>
      </c>
    </row>
    <row r="26" spans="1:4" ht="26" x14ac:dyDescent="0.25">
      <c r="A26" s="108" t="s">
        <v>534</v>
      </c>
      <c r="B26" s="108" t="s">
        <v>974</v>
      </c>
      <c r="C26" s="108" t="s">
        <v>975</v>
      </c>
      <c r="D26" s="108" t="s">
        <v>977</v>
      </c>
    </row>
    <row r="27" spans="1:4" x14ac:dyDescent="0.25">
      <c r="A27" s="109">
        <v>16</v>
      </c>
      <c r="B27" s="110">
        <v>3.5</v>
      </c>
      <c r="C27" s="110">
        <v>3.5</v>
      </c>
      <c r="D27" s="110">
        <v>3.76</v>
      </c>
    </row>
    <row r="28" spans="1:4" x14ac:dyDescent="0.25">
      <c r="A28" s="109">
        <v>17</v>
      </c>
      <c r="B28" s="110">
        <v>3.61</v>
      </c>
      <c r="C28" s="110">
        <v>3.61</v>
      </c>
      <c r="D28" s="110">
        <v>3.91</v>
      </c>
    </row>
    <row r="29" spans="1:4" x14ac:dyDescent="0.25">
      <c r="A29" s="109">
        <v>18</v>
      </c>
      <c r="B29" s="110">
        <v>3.74</v>
      </c>
      <c r="C29" s="110">
        <v>3.74</v>
      </c>
      <c r="D29" s="110">
        <v>4.05</v>
      </c>
    </row>
    <row r="30" spans="1:4" x14ac:dyDescent="0.25">
      <c r="A30" s="109">
        <v>19</v>
      </c>
      <c r="B30" s="110">
        <v>3.87</v>
      </c>
      <c r="C30" s="110">
        <v>3.87</v>
      </c>
      <c r="D30" s="110">
        <v>4.2</v>
      </c>
    </row>
    <row r="31" spans="1:4" x14ac:dyDescent="0.25">
      <c r="A31" s="109">
        <v>20</v>
      </c>
      <c r="B31" s="110">
        <v>4</v>
      </c>
      <c r="C31" s="110">
        <v>4</v>
      </c>
      <c r="D31" s="110">
        <v>4.3499999999999996</v>
      </c>
    </row>
    <row r="32" spans="1:4" x14ac:dyDescent="0.25">
      <c r="A32" s="109">
        <v>21</v>
      </c>
      <c r="B32" s="110">
        <v>4.13</v>
      </c>
      <c r="C32" s="110">
        <v>4.13</v>
      </c>
      <c r="D32" s="110">
        <v>4.5</v>
      </c>
    </row>
    <row r="33" spans="1:4" x14ac:dyDescent="0.25">
      <c r="A33" s="109">
        <v>22</v>
      </c>
      <c r="B33" s="110">
        <v>4.2699999999999996</v>
      </c>
      <c r="C33" s="110">
        <v>4.2699999999999996</v>
      </c>
      <c r="D33" s="110">
        <v>4.6500000000000004</v>
      </c>
    </row>
    <row r="34" spans="1:4" x14ac:dyDescent="0.25">
      <c r="A34" s="109">
        <v>23</v>
      </c>
      <c r="B34" s="110">
        <v>4.43</v>
      </c>
      <c r="C34" s="110">
        <v>4.43</v>
      </c>
      <c r="D34" s="110">
        <v>4.8</v>
      </c>
    </row>
    <row r="35" spans="1:4" x14ac:dyDescent="0.25">
      <c r="A35" s="109">
        <v>24</v>
      </c>
      <c r="B35" s="110">
        <v>4.58</v>
      </c>
      <c r="C35" s="110">
        <v>4.58</v>
      </c>
      <c r="D35" s="110">
        <v>4.9800000000000004</v>
      </c>
    </row>
    <row r="36" spans="1:4" x14ac:dyDescent="0.25">
      <c r="A36" s="109">
        <v>25</v>
      </c>
      <c r="B36" s="110">
        <v>4.7300000000000004</v>
      </c>
      <c r="C36" s="110">
        <v>4.7300000000000004</v>
      </c>
      <c r="D36" s="110">
        <v>5.14</v>
      </c>
    </row>
    <row r="37" spans="1:4" x14ac:dyDescent="0.25">
      <c r="A37" s="109">
        <v>26</v>
      </c>
      <c r="B37" s="110">
        <v>4.9000000000000004</v>
      </c>
      <c r="C37" s="110">
        <v>4.9000000000000004</v>
      </c>
      <c r="D37" s="110">
        <v>5.32</v>
      </c>
    </row>
    <row r="38" spans="1:4" x14ac:dyDescent="0.25">
      <c r="A38" s="109">
        <v>27</v>
      </c>
      <c r="B38" s="110">
        <v>5.0599999999999996</v>
      </c>
      <c r="C38" s="110">
        <v>5.0599999999999996</v>
      </c>
      <c r="D38" s="110">
        <v>5.51</v>
      </c>
    </row>
    <row r="39" spans="1:4" x14ac:dyDescent="0.25">
      <c r="A39" s="109">
        <v>28</v>
      </c>
      <c r="B39" s="110">
        <v>5.23</v>
      </c>
      <c r="C39" s="110">
        <v>5.23</v>
      </c>
      <c r="D39" s="110">
        <v>5.69</v>
      </c>
    </row>
    <row r="40" spans="1:4" x14ac:dyDescent="0.25">
      <c r="A40" s="109">
        <v>29</v>
      </c>
      <c r="B40" s="110">
        <v>5.42</v>
      </c>
      <c r="C40" s="110">
        <v>5.42</v>
      </c>
      <c r="D40" s="110">
        <v>5.89</v>
      </c>
    </row>
    <row r="41" spans="1:4" x14ac:dyDescent="0.25">
      <c r="A41" s="109">
        <v>30</v>
      </c>
      <c r="B41" s="110">
        <v>5.6</v>
      </c>
      <c r="C41" s="110">
        <v>5.6</v>
      </c>
      <c r="D41" s="110">
        <v>6.09</v>
      </c>
    </row>
    <row r="42" spans="1:4" x14ac:dyDescent="0.25">
      <c r="A42" s="109">
        <v>31</v>
      </c>
      <c r="B42" s="110">
        <v>5.78</v>
      </c>
      <c r="C42" s="110">
        <v>5.78</v>
      </c>
      <c r="D42" s="110">
        <v>6.29</v>
      </c>
    </row>
    <row r="43" spans="1:4" x14ac:dyDescent="0.25">
      <c r="A43" s="109">
        <v>32</v>
      </c>
      <c r="B43" s="110">
        <v>5.99</v>
      </c>
      <c r="C43" s="110">
        <v>5.99</v>
      </c>
      <c r="D43" s="110">
        <v>6.51</v>
      </c>
    </row>
    <row r="44" spans="1:4" x14ac:dyDescent="0.25">
      <c r="A44" s="109">
        <v>33</v>
      </c>
      <c r="B44" s="110">
        <v>6.18</v>
      </c>
      <c r="C44" s="110">
        <v>6.18</v>
      </c>
      <c r="D44" s="110">
        <v>6.72</v>
      </c>
    </row>
    <row r="45" spans="1:4" x14ac:dyDescent="0.25">
      <c r="A45" s="109">
        <v>34</v>
      </c>
      <c r="B45" s="110">
        <v>6.39</v>
      </c>
      <c r="C45" s="110">
        <v>6.39</v>
      </c>
      <c r="D45" s="110">
        <v>6.95</v>
      </c>
    </row>
    <row r="46" spans="1:4" x14ac:dyDescent="0.25">
      <c r="A46" s="109">
        <v>35</v>
      </c>
      <c r="B46" s="110">
        <v>6.6</v>
      </c>
      <c r="C46" s="110">
        <v>6.6</v>
      </c>
      <c r="D46" s="110">
        <v>7.18</v>
      </c>
    </row>
    <row r="47" spans="1:4" x14ac:dyDescent="0.25">
      <c r="A47" s="109">
        <v>36</v>
      </c>
      <c r="B47" s="110">
        <v>6.82</v>
      </c>
      <c r="C47" s="110">
        <v>6.82</v>
      </c>
      <c r="D47" s="110">
        <v>7.42</v>
      </c>
    </row>
    <row r="48" spans="1:4" x14ac:dyDescent="0.25">
      <c r="A48" s="109">
        <v>37</v>
      </c>
      <c r="B48" s="110">
        <v>7.05</v>
      </c>
      <c r="C48" s="110">
        <v>7.05</v>
      </c>
      <c r="D48" s="110">
        <v>7.66</v>
      </c>
    </row>
    <row r="49" spans="1:4" x14ac:dyDescent="0.25">
      <c r="A49" s="109">
        <v>38</v>
      </c>
      <c r="B49" s="110">
        <v>7.28</v>
      </c>
      <c r="C49" s="110">
        <v>7.28</v>
      </c>
      <c r="D49" s="110">
        <v>7.92</v>
      </c>
    </row>
    <row r="50" spans="1:4" x14ac:dyDescent="0.25">
      <c r="A50" s="109">
        <v>39</v>
      </c>
      <c r="B50" s="110">
        <v>7.52</v>
      </c>
      <c r="C50" s="110">
        <v>7.52</v>
      </c>
      <c r="D50" s="110">
        <v>8.18</v>
      </c>
    </row>
    <row r="51" spans="1:4" x14ac:dyDescent="0.25">
      <c r="A51" s="109">
        <v>40</v>
      </c>
      <c r="B51" s="110">
        <v>7.76</v>
      </c>
      <c r="C51" s="110">
        <v>7.76</v>
      </c>
      <c r="D51" s="110">
        <v>8.4499999999999993</v>
      </c>
    </row>
    <row r="52" spans="1:4" x14ac:dyDescent="0.25">
      <c r="A52" s="109">
        <v>41</v>
      </c>
      <c r="B52" s="110">
        <v>8.02</v>
      </c>
      <c r="C52" s="110">
        <v>8.02</v>
      </c>
      <c r="D52" s="110">
        <v>8.7200000000000006</v>
      </c>
    </row>
    <row r="53" spans="1:4" x14ac:dyDescent="0.25">
      <c r="A53" s="109">
        <v>42</v>
      </c>
      <c r="B53" s="110">
        <v>8.27</v>
      </c>
      <c r="C53" s="110">
        <v>8.27</v>
      </c>
      <c r="D53" s="110">
        <v>9.01</v>
      </c>
    </row>
    <row r="54" spans="1:4" x14ac:dyDescent="0.25">
      <c r="A54" s="109">
        <v>43</v>
      </c>
      <c r="B54" s="110">
        <v>8.5500000000000007</v>
      </c>
      <c r="C54" s="110">
        <v>8.5500000000000007</v>
      </c>
      <c r="D54" s="110">
        <v>9.2899999999999991</v>
      </c>
    </row>
    <row r="55" spans="1:4" x14ac:dyDescent="0.25">
      <c r="A55" s="109">
        <v>44</v>
      </c>
      <c r="B55" s="110">
        <v>8.82</v>
      </c>
      <c r="C55" s="110">
        <v>8.82</v>
      </c>
      <c r="D55" s="110">
        <v>9.6</v>
      </c>
    </row>
    <row r="56" spans="1:4" x14ac:dyDescent="0.25">
      <c r="A56" s="109">
        <v>45</v>
      </c>
      <c r="B56" s="110">
        <v>9.11</v>
      </c>
      <c r="C56" s="110">
        <v>9.11</v>
      </c>
      <c r="D56" s="110">
        <v>9.9</v>
      </c>
    </row>
    <row r="57" spans="1:4" x14ac:dyDescent="0.25">
      <c r="A57" s="109">
        <v>46</v>
      </c>
      <c r="B57" s="110">
        <v>9.4</v>
      </c>
      <c r="C57" s="110">
        <v>9.4</v>
      </c>
      <c r="D57" s="110">
        <v>10.220000000000001</v>
      </c>
    </row>
    <row r="58" spans="1:4" x14ac:dyDescent="0.25">
      <c r="A58" s="109">
        <v>47</v>
      </c>
      <c r="B58" s="110">
        <v>9.6999999999999993</v>
      </c>
      <c r="C58" s="110">
        <v>9.6999999999999993</v>
      </c>
      <c r="D58" s="110">
        <v>10.55</v>
      </c>
    </row>
    <row r="59" spans="1:4" x14ac:dyDescent="0.25">
      <c r="A59" s="109">
        <v>48</v>
      </c>
      <c r="B59" s="110">
        <v>10.02</v>
      </c>
      <c r="C59" s="110">
        <v>10.02</v>
      </c>
      <c r="D59" s="110">
        <v>10.88</v>
      </c>
    </row>
    <row r="60" spans="1:4" x14ac:dyDescent="0.25">
      <c r="A60" s="109">
        <v>49</v>
      </c>
      <c r="B60" s="110">
        <v>10.33</v>
      </c>
      <c r="C60" s="110">
        <v>10.33</v>
      </c>
      <c r="D60" s="110">
        <v>11.23</v>
      </c>
    </row>
    <row r="61" spans="1:4" x14ac:dyDescent="0.25">
      <c r="A61" s="109">
        <v>50</v>
      </c>
      <c r="B61" s="110">
        <v>10.66</v>
      </c>
      <c r="C61" s="110">
        <v>10.66</v>
      </c>
      <c r="D61" s="110">
        <v>11.59</v>
      </c>
    </row>
    <row r="62" spans="1:4" x14ac:dyDescent="0.25">
      <c r="A62" s="109">
        <v>51</v>
      </c>
      <c r="B62" s="110">
        <v>11.01</v>
      </c>
      <c r="C62" s="110">
        <v>11.01</v>
      </c>
      <c r="D62" s="110">
        <v>11.95</v>
      </c>
    </row>
    <row r="63" spans="1:4" x14ac:dyDescent="0.25">
      <c r="A63" s="109">
        <v>52</v>
      </c>
      <c r="B63" s="110">
        <v>11.35</v>
      </c>
      <c r="C63" s="110">
        <v>11.35</v>
      </c>
      <c r="D63" s="110">
        <v>12.33</v>
      </c>
    </row>
    <row r="64" spans="1:4" x14ac:dyDescent="0.25">
      <c r="A64" s="109">
        <v>53</v>
      </c>
      <c r="B64" s="110">
        <v>11.71</v>
      </c>
      <c r="C64" s="110">
        <v>11.71</v>
      </c>
      <c r="D64" s="110">
        <v>12.72</v>
      </c>
    </row>
    <row r="65" spans="1:4" x14ac:dyDescent="0.25">
      <c r="A65" s="109">
        <v>54</v>
      </c>
      <c r="B65" s="110">
        <v>12.08</v>
      </c>
      <c r="C65" s="110">
        <v>12.08</v>
      </c>
      <c r="D65" s="110">
        <v>13.12</v>
      </c>
    </row>
    <row r="66" spans="1:4" x14ac:dyDescent="0.25">
      <c r="A66" s="109">
        <v>55</v>
      </c>
      <c r="B66" s="110">
        <v>12.46</v>
      </c>
      <c r="C66" s="110">
        <v>12.46</v>
      </c>
      <c r="D66" s="110">
        <v>13.53</v>
      </c>
    </row>
    <row r="67" spans="1:4" x14ac:dyDescent="0.25">
      <c r="A67" s="109">
        <v>56</v>
      </c>
      <c r="B67" s="110">
        <v>12.86</v>
      </c>
      <c r="C67" s="110">
        <v>12.86</v>
      </c>
      <c r="D67" s="110">
        <v>13.95</v>
      </c>
    </row>
    <row r="68" spans="1:4" x14ac:dyDescent="0.25">
      <c r="A68" s="109">
        <v>57</v>
      </c>
      <c r="B68" s="110">
        <v>13.27</v>
      </c>
      <c r="C68" s="110">
        <v>13.27</v>
      </c>
      <c r="D68" s="110">
        <v>14.39</v>
      </c>
    </row>
    <row r="69" spans="1:4" x14ac:dyDescent="0.25">
      <c r="A69" s="109">
        <v>58</v>
      </c>
      <c r="B69" s="110">
        <v>13.7</v>
      </c>
      <c r="C69" s="110">
        <v>13.7</v>
      </c>
      <c r="D69" s="110">
        <v>14.85</v>
      </c>
    </row>
    <row r="70" spans="1:4" x14ac:dyDescent="0.25">
      <c r="A70" s="109">
        <v>59</v>
      </c>
      <c r="B70" s="110">
        <v>14.15</v>
      </c>
      <c r="C70" s="110">
        <v>14.15</v>
      </c>
      <c r="D70" s="110">
        <v>15.32</v>
      </c>
    </row>
    <row r="71" spans="1:4" x14ac:dyDescent="0.25">
      <c r="A71" s="109">
        <v>60</v>
      </c>
      <c r="B71" s="110">
        <v>14.61</v>
      </c>
      <c r="C71" s="110">
        <v>14.61</v>
      </c>
      <c r="D71" s="110">
        <v>15.82</v>
      </c>
    </row>
    <row r="72" spans="1:4" x14ac:dyDescent="0.25">
      <c r="A72" s="109">
        <v>61</v>
      </c>
      <c r="B72" s="110">
        <v>15.1</v>
      </c>
      <c r="C72" s="110">
        <v>15.1</v>
      </c>
      <c r="D72" s="110">
        <v>16.329999999999998</v>
      </c>
    </row>
    <row r="73" spans="1:4" x14ac:dyDescent="0.25">
      <c r="A73" s="109">
        <v>62</v>
      </c>
      <c r="B73" s="110">
        <v>15.62</v>
      </c>
      <c r="C73" s="110">
        <v>15.62</v>
      </c>
      <c r="D73" s="110">
        <v>16.88</v>
      </c>
    </row>
    <row r="74" spans="1:4" x14ac:dyDescent="0.25">
      <c r="A74" s="109">
        <v>63</v>
      </c>
      <c r="B74" s="110">
        <v>16.170000000000002</v>
      </c>
      <c r="C74" s="110">
        <v>16.170000000000002</v>
      </c>
      <c r="D74" s="110">
        <v>17.46</v>
      </c>
    </row>
    <row r="75" spans="1:4" x14ac:dyDescent="0.25">
      <c r="A75" s="109">
        <v>64</v>
      </c>
      <c r="B75" s="110">
        <v>16.75</v>
      </c>
      <c r="C75" s="110">
        <v>16.75</v>
      </c>
      <c r="D75" s="110">
        <v>18.07</v>
      </c>
    </row>
    <row r="76" spans="1:4" x14ac:dyDescent="0.25">
      <c r="A76" s="109">
        <v>65</v>
      </c>
      <c r="B76" s="110">
        <v>17.38</v>
      </c>
      <c r="C76" s="110">
        <v>17.38</v>
      </c>
      <c r="D76" s="110">
        <v>18.73</v>
      </c>
    </row>
    <row r="77" spans="1:4" x14ac:dyDescent="0.25">
      <c r="A77" s="109">
        <v>66</v>
      </c>
      <c r="B77" s="110">
        <v>17.39</v>
      </c>
      <c r="C77" s="110">
        <v>17.39</v>
      </c>
      <c r="D77" s="110">
        <v>18.75</v>
      </c>
    </row>
    <row r="78" spans="1:4" x14ac:dyDescent="0.25">
      <c r="A78" s="109">
        <v>67</v>
      </c>
      <c r="B78" s="110">
        <v>16.760000000000002</v>
      </c>
      <c r="C78" s="110">
        <v>16.760000000000002</v>
      </c>
      <c r="D78" s="110">
        <v>18.12</v>
      </c>
    </row>
    <row r="79" spans="1:4" x14ac:dyDescent="0.25">
      <c r="A79" s="109">
        <v>68</v>
      </c>
      <c r="B79" s="110">
        <v>16.14</v>
      </c>
      <c r="C79" s="110">
        <v>16.14</v>
      </c>
      <c r="D79" s="110">
        <v>17.47</v>
      </c>
    </row>
    <row r="80" spans="1:4" x14ac:dyDescent="0.25">
      <c r="A80" s="109">
        <v>69</v>
      </c>
      <c r="B80" s="110">
        <v>15.51</v>
      </c>
      <c r="C80" s="110">
        <v>15.51</v>
      </c>
      <c r="D80" s="110">
        <v>16.84</v>
      </c>
    </row>
    <row r="81" spans="1:4" x14ac:dyDescent="0.25">
      <c r="A81" s="109">
        <v>70</v>
      </c>
      <c r="B81" s="110">
        <v>14.89</v>
      </c>
      <c r="C81" s="110">
        <v>14.89</v>
      </c>
      <c r="D81" s="110">
        <v>16.21</v>
      </c>
    </row>
    <row r="82" spans="1:4" x14ac:dyDescent="0.25">
      <c r="A82" s="109">
        <v>71</v>
      </c>
      <c r="B82" s="110">
        <v>14.28</v>
      </c>
      <c r="C82" s="110">
        <v>14.28</v>
      </c>
      <c r="D82" s="110">
        <v>15.59</v>
      </c>
    </row>
    <row r="83" spans="1:4" x14ac:dyDescent="0.25">
      <c r="A83" s="109">
        <v>72</v>
      </c>
      <c r="B83" s="110">
        <v>13.67</v>
      </c>
      <c r="C83" s="110">
        <v>13.67</v>
      </c>
      <c r="D83" s="110">
        <v>14.96</v>
      </c>
    </row>
    <row r="84" spans="1:4" x14ac:dyDescent="0.25">
      <c r="A84" s="109">
        <v>73</v>
      </c>
      <c r="B84" s="110">
        <v>13.08</v>
      </c>
      <c r="C84" s="110">
        <v>13.08</v>
      </c>
      <c r="D84" s="110">
        <v>14.34</v>
      </c>
    </row>
    <row r="85" spans="1:4" x14ac:dyDescent="0.25">
      <c r="A85" s="109">
        <v>74</v>
      </c>
      <c r="B85" s="110">
        <v>12.48</v>
      </c>
      <c r="C85" s="110">
        <v>12.48</v>
      </c>
      <c r="D85" s="110">
        <v>13.74</v>
      </c>
    </row>
    <row r="86" spans="1:4" x14ac:dyDescent="0.25">
      <c r="A86" s="109">
        <v>75</v>
      </c>
      <c r="B86" s="110">
        <v>12.2</v>
      </c>
      <c r="C86" s="110">
        <v>12.2</v>
      </c>
      <c r="D86" s="110">
        <v>13.43</v>
      </c>
    </row>
  </sheetData>
  <conditionalFormatting sqref="A6:A21">
    <cfRule type="expression" dxfId="339" priority="3" stopIfTrue="1">
      <formula>MOD(ROW(),2)=0</formula>
    </cfRule>
    <cfRule type="expression" dxfId="338" priority="4" stopIfTrue="1">
      <formula>MOD(ROW(),2)&lt;&gt;0</formula>
    </cfRule>
  </conditionalFormatting>
  <conditionalFormatting sqref="A26:A86">
    <cfRule type="expression" dxfId="337" priority="7" stopIfTrue="1">
      <formula>MOD(ROW(),2)=0</formula>
    </cfRule>
    <cfRule type="expression" dxfId="336" priority="8" stopIfTrue="1">
      <formula>MOD(ROW(),2)&lt;&gt;0</formula>
    </cfRule>
  </conditionalFormatting>
  <conditionalFormatting sqref="B18:B21">
    <cfRule type="expression" dxfId="335" priority="1" stopIfTrue="1">
      <formula>MOD(ROW(),2)=0</formula>
    </cfRule>
    <cfRule type="expression" dxfId="334" priority="2" stopIfTrue="1">
      <formula>MOD(ROW(),2)&lt;&gt;0</formula>
    </cfRule>
  </conditionalFormatting>
  <conditionalFormatting sqref="B6:D21">
    <cfRule type="expression" dxfId="333" priority="23" stopIfTrue="1">
      <formula>MOD(ROW(),2)=0</formula>
    </cfRule>
    <cfRule type="expression" dxfId="332" priority="24" stopIfTrue="1">
      <formula>MOD(ROW(),2)&lt;&gt;0</formula>
    </cfRule>
  </conditionalFormatting>
  <conditionalFormatting sqref="B26:D86">
    <cfRule type="expression" dxfId="331" priority="9" stopIfTrue="1">
      <formula>MOD(ROW(),2)=0</formula>
    </cfRule>
    <cfRule type="expression" dxfId="330" priority="10" stopIfTrue="1">
      <formula>MOD(ROW(),2)&lt;&gt;0</formula>
    </cfRule>
  </conditionalFormatting>
  <hyperlinks>
    <hyperlink ref="B24" location="Assumptions!A1" display="Assumptions" xr:uid="{556BE114-0880-4203-A088-3D25A5775F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7"/>
  <dimension ref="A1:I86"/>
  <sheetViews>
    <sheetView workbookViewId="0"/>
  </sheetViews>
  <sheetFormatPr defaultColWidth="10" defaultRowHeight="12.5" x14ac:dyDescent="0.25"/>
  <cols>
    <col min="1" max="1" width="31.54296875" style="28" customWidth="1"/>
    <col min="2" max="4" width="22.54296875"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x-707</v>
      </c>
      <c r="B3" s="56"/>
      <c r="C3" s="56"/>
      <c r="D3" s="56"/>
      <c r="E3" s="56"/>
      <c r="F3" s="56"/>
      <c r="G3" s="56"/>
      <c r="H3" s="56"/>
      <c r="I3" s="56"/>
    </row>
    <row r="4" spans="1:9" x14ac:dyDescent="0.25">
      <c r="A4" s="58"/>
    </row>
    <row r="6" spans="1:9" ht="13" x14ac:dyDescent="0.3">
      <c r="A6" s="92" t="s">
        <v>716</v>
      </c>
      <c r="B6" s="181" t="s">
        <v>717</v>
      </c>
      <c r="C6" s="181"/>
      <c r="D6" s="181"/>
    </row>
    <row r="7" spans="1:9" x14ac:dyDescent="0.25">
      <c r="A7" s="94" t="s">
        <v>797</v>
      </c>
      <c r="B7" s="181" t="s">
        <v>316</v>
      </c>
      <c r="C7" s="181"/>
      <c r="D7" s="181"/>
    </row>
    <row r="8" spans="1:9" x14ac:dyDescent="0.25">
      <c r="A8" s="94" t="s">
        <v>798</v>
      </c>
      <c r="B8" s="181" t="s">
        <v>92</v>
      </c>
      <c r="C8" s="181"/>
      <c r="D8" s="181"/>
    </row>
    <row r="9" spans="1:9" x14ac:dyDescent="0.25">
      <c r="A9" s="94" t="s">
        <v>300</v>
      </c>
      <c r="B9" s="181" t="s">
        <v>601</v>
      </c>
      <c r="C9" s="181"/>
      <c r="D9" s="181"/>
    </row>
    <row r="10" spans="1:9" x14ac:dyDescent="0.25">
      <c r="A10" s="94" t="s">
        <v>6</v>
      </c>
      <c r="B10" s="181" t="s">
        <v>620</v>
      </c>
      <c r="C10" s="181"/>
      <c r="D10" s="181"/>
    </row>
    <row r="11" spans="1:9" x14ac:dyDescent="0.25">
      <c r="A11" s="94" t="s">
        <v>301</v>
      </c>
      <c r="B11" s="181" t="s">
        <v>334</v>
      </c>
      <c r="C11" s="181"/>
      <c r="D11" s="181"/>
    </row>
    <row r="12" spans="1:9" x14ac:dyDescent="0.25">
      <c r="A12" s="94" t="s">
        <v>302</v>
      </c>
      <c r="B12" s="181" t="s">
        <v>335</v>
      </c>
      <c r="C12" s="181"/>
      <c r="D12" s="181"/>
    </row>
    <row r="13" spans="1:9" x14ac:dyDescent="0.25">
      <c r="A13" s="94" t="s">
        <v>813</v>
      </c>
      <c r="B13" s="181">
        <v>0</v>
      </c>
      <c r="C13" s="181"/>
      <c r="D13" s="181"/>
    </row>
    <row r="14" spans="1:9" x14ac:dyDescent="0.25">
      <c r="A14" s="94" t="s">
        <v>304</v>
      </c>
      <c r="B14" s="181">
        <v>707</v>
      </c>
      <c r="C14" s="181"/>
      <c r="D14" s="181"/>
    </row>
    <row r="15" spans="1:9" x14ac:dyDescent="0.25">
      <c r="A15" s="94" t="s">
        <v>727</v>
      </c>
      <c r="B15" s="181" t="s">
        <v>621</v>
      </c>
      <c r="C15" s="181"/>
      <c r="D15" s="181"/>
    </row>
    <row r="16" spans="1:9" x14ac:dyDescent="0.25">
      <c r="A16" s="94" t="s">
        <v>306</v>
      </c>
      <c r="B16" s="181" t="s">
        <v>622</v>
      </c>
      <c r="C16" s="181"/>
      <c r="D16" s="181"/>
    </row>
    <row r="17" spans="1:4" x14ac:dyDescent="0.25">
      <c r="A17" s="94" t="s">
        <v>800</v>
      </c>
      <c r="B17" s="181"/>
      <c r="C17" s="181"/>
      <c r="D17" s="181"/>
    </row>
    <row r="18" spans="1:4" x14ac:dyDescent="0.25">
      <c r="A18" s="94" t="s">
        <v>308</v>
      </c>
      <c r="B18" s="185">
        <v>45184</v>
      </c>
      <c r="C18" s="181"/>
      <c r="D18" s="181"/>
    </row>
    <row r="19" spans="1:4" x14ac:dyDescent="0.25">
      <c r="A19" s="94" t="s">
        <v>309</v>
      </c>
      <c r="B19" s="185">
        <v>45383</v>
      </c>
      <c r="C19" s="181"/>
      <c r="D19" s="181"/>
    </row>
    <row r="20" spans="1:4" x14ac:dyDescent="0.25">
      <c r="A20" s="94" t="s">
        <v>310</v>
      </c>
      <c r="B20" s="181" t="s">
        <v>324</v>
      </c>
      <c r="C20" s="181"/>
      <c r="D20" s="181"/>
    </row>
    <row r="21" spans="1:4" x14ac:dyDescent="0.25">
      <c r="A21" s="87" t="s">
        <v>311</v>
      </c>
      <c r="B21" s="181" t="s">
        <v>325</v>
      </c>
      <c r="C21" s="181"/>
      <c r="D21" s="181"/>
    </row>
    <row r="23" spans="1:4" x14ac:dyDescent="0.25">
      <c r="B23" s="104" t="str">
        <f>HYPERLINK("#'Factor List'!A1","Back to Factor List")</f>
        <v>Back to Factor List</v>
      </c>
    </row>
    <row r="24" spans="1:4" x14ac:dyDescent="0.25">
      <c r="B24" s="104" t="s">
        <v>13</v>
      </c>
    </row>
    <row r="26" spans="1:4" ht="26" x14ac:dyDescent="0.25">
      <c r="A26" s="108" t="s">
        <v>534</v>
      </c>
      <c r="B26" s="108" t="s">
        <v>974</v>
      </c>
      <c r="C26" s="108" t="s">
        <v>975</v>
      </c>
      <c r="D26" s="108" t="s">
        <v>977</v>
      </c>
    </row>
    <row r="27" spans="1:4" x14ac:dyDescent="0.25">
      <c r="A27" s="109">
        <v>16</v>
      </c>
      <c r="B27" s="110">
        <v>3.3</v>
      </c>
      <c r="C27" s="110">
        <v>3.3</v>
      </c>
      <c r="D27" s="110">
        <v>3.57</v>
      </c>
    </row>
    <row r="28" spans="1:4" x14ac:dyDescent="0.25">
      <c r="A28" s="109">
        <v>17</v>
      </c>
      <c r="B28" s="110">
        <v>3.42</v>
      </c>
      <c r="C28" s="110">
        <v>3.42</v>
      </c>
      <c r="D28" s="110">
        <v>3.7</v>
      </c>
    </row>
    <row r="29" spans="1:4" x14ac:dyDescent="0.25">
      <c r="A29" s="109">
        <v>18</v>
      </c>
      <c r="B29" s="110">
        <v>3.53</v>
      </c>
      <c r="C29" s="110">
        <v>3.53</v>
      </c>
      <c r="D29" s="110">
        <v>3.84</v>
      </c>
    </row>
    <row r="30" spans="1:4" x14ac:dyDescent="0.25">
      <c r="A30" s="109">
        <v>19</v>
      </c>
      <c r="B30" s="110">
        <v>3.65</v>
      </c>
      <c r="C30" s="110">
        <v>3.65</v>
      </c>
      <c r="D30" s="110">
        <v>3.98</v>
      </c>
    </row>
    <row r="31" spans="1:4" x14ac:dyDescent="0.25">
      <c r="A31" s="109">
        <v>20</v>
      </c>
      <c r="B31" s="110">
        <v>3.77</v>
      </c>
      <c r="C31" s="110">
        <v>3.77</v>
      </c>
      <c r="D31" s="110">
        <v>4.12</v>
      </c>
    </row>
    <row r="32" spans="1:4" x14ac:dyDescent="0.25">
      <c r="A32" s="109">
        <v>21</v>
      </c>
      <c r="B32" s="110">
        <v>3.91</v>
      </c>
      <c r="C32" s="110">
        <v>3.91</v>
      </c>
      <c r="D32" s="110">
        <v>4.25</v>
      </c>
    </row>
    <row r="33" spans="1:4" x14ac:dyDescent="0.25">
      <c r="A33" s="109">
        <v>22</v>
      </c>
      <c r="B33" s="110">
        <v>4.04</v>
      </c>
      <c r="C33" s="110">
        <v>4.04</v>
      </c>
      <c r="D33" s="110">
        <v>4.41</v>
      </c>
    </row>
    <row r="34" spans="1:4" x14ac:dyDescent="0.25">
      <c r="A34" s="109">
        <v>23</v>
      </c>
      <c r="B34" s="110">
        <v>4.17</v>
      </c>
      <c r="C34" s="110">
        <v>4.17</v>
      </c>
      <c r="D34" s="110">
        <v>4.55</v>
      </c>
    </row>
    <row r="35" spans="1:4" x14ac:dyDescent="0.25">
      <c r="A35" s="109">
        <v>24</v>
      </c>
      <c r="B35" s="110">
        <v>4.3099999999999996</v>
      </c>
      <c r="C35" s="110">
        <v>4.3099999999999996</v>
      </c>
      <c r="D35" s="110">
        <v>4.71</v>
      </c>
    </row>
    <row r="36" spans="1:4" x14ac:dyDescent="0.25">
      <c r="A36" s="109">
        <v>25</v>
      </c>
      <c r="B36" s="110">
        <v>4.47</v>
      </c>
      <c r="C36" s="110">
        <v>4.47</v>
      </c>
      <c r="D36" s="110">
        <v>4.88</v>
      </c>
    </row>
    <row r="37" spans="1:4" x14ac:dyDescent="0.25">
      <c r="A37" s="109">
        <v>26</v>
      </c>
      <c r="B37" s="110">
        <v>4.62</v>
      </c>
      <c r="C37" s="110">
        <v>4.62</v>
      </c>
      <c r="D37" s="110">
        <v>5.04</v>
      </c>
    </row>
    <row r="38" spans="1:4" x14ac:dyDescent="0.25">
      <c r="A38" s="109">
        <v>27</v>
      </c>
      <c r="B38" s="110">
        <v>4.7699999999999996</v>
      </c>
      <c r="C38" s="110">
        <v>4.7699999999999996</v>
      </c>
      <c r="D38" s="110">
        <v>5.21</v>
      </c>
    </row>
    <row r="39" spans="1:4" x14ac:dyDescent="0.25">
      <c r="A39" s="109">
        <v>28</v>
      </c>
      <c r="B39" s="110">
        <v>4.9400000000000004</v>
      </c>
      <c r="C39" s="110">
        <v>4.9400000000000004</v>
      </c>
      <c r="D39" s="110">
        <v>5.39</v>
      </c>
    </row>
    <row r="40" spans="1:4" x14ac:dyDescent="0.25">
      <c r="A40" s="109">
        <v>29</v>
      </c>
      <c r="B40" s="110">
        <v>5.1100000000000003</v>
      </c>
      <c r="C40" s="110">
        <v>5.1100000000000003</v>
      </c>
      <c r="D40" s="110">
        <v>5.57</v>
      </c>
    </row>
    <row r="41" spans="1:4" x14ac:dyDescent="0.25">
      <c r="A41" s="109">
        <v>30</v>
      </c>
      <c r="B41" s="110">
        <v>5.28</v>
      </c>
      <c r="C41" s="110">
        <v>5.28</v>
      </c>
      <c r="D41" s="110">
        <v>5.76</v>
      </c>
    </row>
    <row r="42" spans="1:4" x14ac:dyDescent="0.25">
      <c r="A42" s="109">
        <v>31</v>
      </c>
      <c r="B42" s="110">
        <v>5.46</v>
      </c>
      <c r="C42" s="110">
        <v>5.46</v>
      </c>
      <c r="D42" s="110">
        <v>5.96</v>
      </c>
    </row>
    <row r="43" spans="1:4" x14ac:dyDescent="0.25">
      <c r="A43" s="109">
        <v>32</v>
      </c>
      <c r="B43" s="110">
        <v>5.64</v>
      </c>
      <c r="C43" s="110">
        <v>5.64</v>
      </c>
      <c r="D43" s="110">
        <v>6.16</v>
      </c>
    </row>
    <row r="44" spans="1:4" x14ac:dyDescent="0.25">
      <c r="A44" s="109">
        <v>33</v>
      </c>
      <c r="B44" s="110">
        <v>5.83</v>
      </c>
      <c r="C44" s="110">
        <v>5.83</v>
      </c>
      <c r="D44" s="110">
        <v>6.36</v>
      </c>
    </row>
    <row r="45" spans="1:4" x14ac:dyDescent="0.25">
      <c r="A45" s="109">
        <v>34</v>
      </c>
      <c r="B45" s="110">
        <v>6.03</v>
      </c>
      <c r="C45" s="110">
        <v>6.03</v>
      </c>
      <c r="D45" s="110">
        <v>6.58</v>
      </c>
    </row>
    <row r="46" spans="1:4" x14ac:dyDescent="0.25">
      <c r="A46" s="109">
        <v>35</v>
      </c>
      <c r="B46" s="110">
        <v>6.22</v>
      </c>
      <c r="C46" s="110">
        <v>6.22</v>
      </c>
      <c r="D46" s="110">
        <v>6.79</v>
      </c>
    </row>
    <row r="47" spans="1:4" x14ac:dyDescent="0.25">
      <c r="A47" s="109">
        <v>36</v>
      </c>
      <c r="B47" s="110">
        <v>6.43</v>
      </c>
      <c r="C47" s="110">
        <v>6.43</v>
      </c>
      <c r="D47" s="110">
        <v>7.02</v>
      </c>
    </row>
    <row r="48" spans="1:4" x14ac:dyDescent="0.25">
      <c r="A48" s="109">
        <v>37</v>
      </c>
      <c r="B48" s="110">
        <v>6.64</v>
      </c>
      <c r="C48" s="110">
        <v>6.64</v>
      </c>
      <c r="D48" s="110">
        <v>7.24</v>
      </c>
    </row>
    <row r="49" spans="1:4" x14ac:dyDescent="0.25">
      <c r="A49" s="109">
        <v>38</v>
      </c>
      <c r="B49" s="110">
        <v>6.85</v>
      </c>
      <c r="C49" s="110">
        <v>6.85</v>
      </c>
      <c r="D49" s="110">
        <v>7.49</v>
      </c>
    </row>
    <row r="50" spans="1:4" x14ac:dyDescent="0.25">
      <c r="A50" s="109">
        <v>39</v>
      </c>
      <c r="B50" s="110">
        <v>7.08</v>
      </c>
      <c r="C50" s="110">
        <v>7.08</v>
      </c>
      <c r="D50" s="110">
        <v>7.73</v>
      </c>
    </row>
    <row r="51" spans="1:4" x14ac:dyDescent="0.25">
      <c r="A51" s="109">
        <v>40</v>
      </c>
      <c r="B51" s="110">
        <v>7.31</v>
      </c>
      <c r="C51" s="110">
        <v>7.31</v>
      </c>
      <c r="D51" s="110">
        <v>7.98</v>
      </c>
    </row>
    <row r="52" spans="1:4" x14ac:dyDescent="0.25">
      <c r="A52" s="109">
        <v>41</v>
      </c>
      <c r="B52" s="110">
        <v>7.55</v>
      </c>
      <c r="C52" s="110">
        <v>7.55</v>
      </c>
      <c r="D52" s="110">
        <v>8.24</v>
      </c>
    </row>
    <row r="53" spans="1:4" x14ac:dyDescent="0.25">
      <c r="A53" s="109">
        <v>42</v>
      </c>
      <c r="B53" s="110">
        <v>7.79</v>
      </c>
      <c r="C53" s="110">
        <v>7.79</v>
      </c>
      <c r="D53" s="110">
        <v>8.51</v>
      </c>
    </row>
    <row r="54" spans="1:4" x14ac:dyDescent="0.25">
      <c r="A54" s="109">
        <v>43</v>
      </c>
      <c r="B54" s="110">
        <v>8.0500000000000007</v>
      </c>
      <c r="C54" s="110">
        <v>8.0500000000000007</v>
      </c>
      <c r="D54" s="110">
        <v>8.7799999999999994</v>
      </c>
    </row>
    <row r="55" spans="1:4" x14ac:dyDescent="0.25">
      <c r="A55" s="109">
        <v>44</v>
      </c>
      <c r="B55" s="110">
        <v>8.3000000000000007</v>
      </c>
      <c r="C55" s="110">
        <v>8.3000000000000007</v>
      </c>
      <c r="D55" s="110">
        <v>9.06</v>
      </c>
    </row>
    <row r="56" spans="1:4" x14ac:dyDescent="0.25">
      <c r="A56" s="109">
        <v>45</v>
      </c>
      <c r="B56" s="110">
        <v>8.57</v>
      </c>
      <c r="C56" s="110">
        <v>8.57</v>
      </c>
      <c r="D56" s="110">
        <v>9.35</v>
      </c>
    </row>
    <row r="57" spans="1:4" x14ac:dyDescent="0.25">
      <c r="A57" s="109">
        <v>46</v>
      </c>
      <c r="B57" s="110">
        <v>8.84</v>
      </c>
      <c r="C57" s="110">
        <v>8.84</v>
      </c>
      <c r="D57" s="110">
        <v>9.65</v>
      </c>
    </row>
    <row r="58" spans="1:4" x14ac:dyDescent="0.25">
      <c r="A58" s="109">
        <v>47</v>
      </c>
      <c r="B58" s="110">
        <v>9.1199999999999992</v>
      </c>
      <c r="C58" s="110">
        <v>9.1199999999999992</v>
      </c>
      <c r="D58" s="110">
        <v>9.9600000000000009</v>
      </c>
    </row>
    <row r="59" spans="1:4" x14ac:dyDescent="0.25">
      <c r="A59" s="109">
        <v>48</v>
      </c>
      <c r="B59" s="110">
        <v>9.41</v>
      </c>
      <c r="C59" s="110">
        <v>9.41</v>
      </c>
      <c r="D59" s="110">
        <v>10.27</v>
      </c>
    </row>
    <row r="60" spans="1:4" x14ac:dyDescent="0.25">
      <c r="A60" s="109">
        <v>49</v>
      </c>
      <c r="B60" s="110">
        <v>9.7100000000000009</v>
      </c>
      <c r="C60" s="110">
        <v>9.7100000000000009</v>
      </c>
      <c r="D60" s="110">
        <v>10.59</v>
      </c>
    </row>
    <row r="61" spans="1:4" x14ac:dyDescent="0.25">
      <c r="A61" s="109">
        <v>50</v>
      </c>
      <c r="B61" s="110">
        <v>10.02</v>
      </c>
      <c r="C61" s="110">
        <v>10.02</v>
      </c>
      <c r="D61" s="110">
        <v>10.92</v>
      </c>
    </row>
    <row r="62" spans="1:4" x14ac:dyDescent="0.25">
      <c r="A62" s="109">
        <v>51</v>
      </c>
      <c r="B62" s="110">
        <v>10.33</v>
      </c>
      <c r="C62" s="110">
        <v>10.33</v>
      </c>
      <c r="D62" s="110">
        <v>11.26</v>
      </c>
    </row>
    <row r="63" spans="1:4" x14ac:dyDescent="0.25">
      <c r="A63" s="109">
        <v>52</v>
      </c>
      <c r="B63" s="110">
        <v>10.65</v>
      </c>
      <c r="C63" s="110">
        <v>10.65</v>
      </c>
      <c r="D63" s="110">
        <v>11.61</v>
      </c>
    </row>
    <row r="64" spans="1:4" x14ac:dyDescent="0.25">
      <c r="A64" s="109">
        <v>53</v>
      </c>
      <c r="B64" s="110">
        <v>10.99</v>
      </c>
      <c r="C64" s="110">
        <v>10.99</v>
      </c>
      <c r="D64" s="110">
        <v>11.96</v>
      </c>
    </row>
    <row r="65" spans="1:4" x14ac:dyDescent="0.25">
      <c r="A65" s="109">
        <v>54</v>
      </c>
      <c r="B65" s="110">
        <v>11.32</v>
      </c>
      <c r="C65" s="110">
        <v>11.32</v>
      </c>
      <c r="D65" s="110">
        <v>12.34</v>
      </c>
    </row>
    <row r="66" spans="1:4" x14ac:dyDescent="0.25">
      <c r="A66" s="109">
        <v>55</v>
      </c>
      <c r="B66" s="110">
        <v>11.68</v>
      </c>
      <c r="C66" s="110">
        <v>11.68</v>
      </c>
      <c r="D66" s="110">
        <v>12.72</v>
      </c>
    </row>
    <row r="67" spans="1:4" x14ac:dyDescent="0.25">
      <c r="A67" s="109">
        <v>56</v>
      </c>
      <c r="B67" s="110">
        <v>12.05</v>
      </c>
      <c r="C67" s="110">
        <v>12.05</v>
      </c>
      <c r="D67" s="110">
        <v>13.11</v>
      </c>
    </row>
    <row r="68" spans="1:4" x14ac:dyDescent="0.25">
      <c r="A68" s="109">
        <v>57</v>
      </c>
      <c r="B68" s="110">
        <v>12.42</v>
      </c>
      <c r="C68" s="110">
        <v>12.42</v>
      </c>
      <c r="D68" s="110">
        <v>13.51</v>
      </c>
    </row>
    <row r="69" spans="1:4" x14ac:dyDescent="0.25">
      <c r="A69" s="109">
        <v>58</v>
      </c>
      <c r="B69" s="110">
        <v>12.81</v>
      </c>
      <c r="C69" s="110">
        <v>12.81</v>
      </c>
      <c r="D69" s="110">
        <v>13.93</v>
      </c>
    </row>
    <row r="70" spans="1:4" x14ac:dyDescent="0.25">
      <c r="A70" s="109">
        <v>59</v>
      </c>
      <c r="B70" s="110">
        <v>13.22</v>
      </c>
      <c r="C70" s="110">
        <v>13.22</v>
      </c>
      <c r="D70" s="110">
        <v>14.37</v>
      </c>
    </row>
    <row r="71" spans="1:4" x14ac:dyDescent="0.25">
      <c r="A71" s="109">
        <v>60</v>
      </c>
      <c r="B71" s="110">
        <v>13.64</v>
      </c>
      <c r="C71" s="110">
        <v>13.64</v>
      </c>
      <c r="D71" s="110">
        <v>14.82</v>
      </c>
    </row>
    <row r="72" spans="1:4" x14ac:dyDescent="0.25">
      <c r="A72" s="109">
        <v>61</v>
      </c>
      <c r="B72" s="110">
        <v>14.09</v>
      </c>
      <c r="C72" s="110">
        <v>14.09</v>
      </c>
      <c r="D72" s="110">
        <v>15.29</v>
      </c>
    </row>
    <row r="73" spans="1:4" x14ac:dyDescent="0.25">
      <c r="A73" s="109">
        <v>62</v>
      </c>
      <c r="B73" s="110">
        <v>14.56</v>
      </c>
      <c r="C73" s="110">
        <v>14.56</v>
      </c>
      <c r="D73" s="110">
        <v>15.79</v>
      </c>
    </row>
    <row r="74" spans="1:4" x14ac:dyDescent="0.25">
      <c r="A74" s="109">
        <v>63</v>
      </c>
      <c r="B74" s="110">
        <v>15.06</v>
      </c>
      <c r="C74" s="110">
        <v>15.06</v>
      </c>
      <c r="D74" s="110">
        <v>16.32</v>
      </c>
    </row>
    <row r="75" spans="1:4" x14ac:dyDescent="0.25">
      <c r="A75" s="109">
        <v>64</v>
      </c>
      <c r="B75" s="110">
        <v>15.59</v>
      </c>
      <c r="C75" s="110">
        <v>15.59</v>
      </c>
      <c r="D75" s="110">
        <v>16.87</v>
      </c>
    </row>
    <row r="76" spans="1:4" x14ac:dyDescent="0.25">
      <c r="A76" s="109">
        <v>65</v>
      </c>
      <c r="B76" s="110">
        <v>16.149999999999999</v>
      </c>
      <c r="C76" s="110">
        <v>16.149999999999999</v>
      </c>
      <c r="D76" s="110">
        <v>17.46</v>
      </c>
    </row>
    <row r="77" spans="1:4" x14ac:dyDescent="0.25">
      <c r="A77" s="109">
        <v>66</v>
      </c>
      <c r="B77" s="110">
        <v>16.760000000000002</v>
      </c>
      <c r="C77" s="110">
        <v>16.760000000000002</v>
      </c>
      <c r="D77" s="110">
        <v>18.100000000000001</v>
      </c>
    </row>
    <row r="78" spans="1:4" x14ac:dyDescent="0.25">
      <c r="A78" s="109">
        <v>67</v>
      </c>
      <c r="B78" s="110">
        <v>16.760000000000002</v>
      </c>
      <c r="C78" s="110">
        <v>16.760000000000002</v>
      </c>
      <c r="D78" s="110">
        <v>18.12</v>
      </c>
    </row>
    <row r="79" spans="1:4" x14ac:dyDescent="0.25">
      <c r="A79" s="109">
        <v>68</v>
      </c>
      <c r="B79" s="110">
        <v>16.14</v>
      </c>
      <c r="C79" s="110">
        <v>16.14</v>
      </c>
      <c r="D79" s="110">
        <v>17.47</v>
      </c>
    </row>
    <row r="80" spans="1:4" x14ac:dyDescent="0.25">
      <c r="A80" s="109">
        <v>69</v>
      </c>
      <c r="B80" s="110">
        <v>15.51</v>
      </c>
      <c r="C80" s="110">
        <v>15.51</v>
      </c>
      <c r="D80" s="110">
        <v>16.84</v>
      </c>
    </row>
    <row r="81" spans="1:4" x14ac:dyDescent="0.25">
      <c r="A81" s="109">
        <v>70</v>
      </c>
      <c r="B81" s="110">
        <v>14.89</v>
      </c>
      <c r="C81" s="110">
        <v>14.89</v>
      </c>
      <c r="D81" s="110">
        <v>16.21</v>
      </c>
    </row>
    <row r="82" spans="1:4" x14ac:dyDescent="0.25">
      <c r="A82" s="109">
        <v>71</v>
      </c>
      <c r="B82" s="110">
        <v>14.28</v>
      </c>
      <c r="C82" s="110">
        <v>14.28</v>
      </c>
      <c r="D82" s="110">
        <v>15.59</v>
      </c>
    </row>
    <row r="83" spans="1:4" x14ac:dyDescent="0.25">
      <c r="A83" s="109">
        <v>72</v>
      </c>
      <c r="B83" s="110">
        <v>13.67</v>
      </c>
      <c r="C83" s="110">
        <v>13.67</v>
      </c>
      <c r="D83" s="110">
        <v>14.96</v>
      </c>
    </row>
    <row r="84" spans="1:4" x14ac:dyDescent="0.25">
      <c r="A84" s="109">
        <v>73</v>
      </c>
      <c r="B84" s="110">
        <v>13.08</v>
      </c>
      <c r="C84" s="110">
        <v>13.08</v>
      </c>
      <c r="D84" s="110">
        <v>14.34</v>
      </c>
    </row>
    <row r="85" spans="1:4" x14ac:dyDescent="0.25">
      <c r="A85" s="109">
        <v>74</v>
      </c>
      <c r="B85" s="110">
        <v>12.48</v>
      </c>
      <c r="C85" s="110">
        <v>12.48</v>
      </c>
      <c r="D85" s="110">
        <v>13.74</v>
      </c>
    </row>
    <row r="86" spans="1:4" x14ac:dyDescent="0.25">
      <c r="A86" s="109">
        <v>75</v>
      </c>
      <c r="B86" s="110">
        <v>12.2</v>
      </c>
      <c r="C86" s="110">
        <v>12.2</v>
      </c>
      <c r="D86" s="110">
        <v>13.43</v>
      </c>
    </row>
  </sheetData>
  <conditionalFormatting sqref="A6:A21">
    <cfRule type="expression" dxfId="329" priority="3" stopIfTrue="1">
      <formula>MOD(ROW(),2)=0</formula>
    </cfRule>
    <cfRule type="expression" dxfId="328" priority="4" stopIfTrue="1">
      <formula>MOD(ROW(),2)&lt;&gt;0</formula>
    </cfRule>
  </conditionalFormatting>
  <conditionalFormatting sqref="A26:A86">
    <cfRule type="expression" dxfId="327" priority="7" stopIfTrue="1">
      <formula>MOD(ROW(),2)=0</formula>
    </cfRule>
    <cfRule type="expression" dxfId="326" priority="8" stopIfTrue="1">
      <formula>MOD(ROW(),2)&lt;&gt;0</formula>
    </cfRule>
  </conditionalFormatting>
  <conditionalFormatting sqref="B18:B21">
    <cfRule type="expression" dxfId="325" priority="1" stopIfTrue="1">
      <formula>MOD(ROW(),2)=0</formula>
    </cfRule>
    <cfRule type="expression" dxfId="324" priority="2" stopIfTrue="1">
      <formula>MOD(ROW(),2)&lt;&gt;0</formula>
    </cfRule>
  </conditionalFormatting>
  <conditionalFormatting sqref="B6:D21">
    <cfRule type="expression" dxfId="323" priority="23" stopIfTrue="1">
      <formula>MOD(ROW(),2)=0</formula>
    </cfRule>
    <cfRule type="expression" dxfId="322" priority="24" stopIfTrue="1">
      <formula>MOD(ROW(),2)&lt;&gt;0</formula>
    </cfRule>
  </conditionalFormatting>
  <conditionalFormatting sqref="B26:D86">
    <cfRule type="expression" dxfId="321" priority="9" stopIfTrue="1">
      <formula>MOD(ROW(),2)=0</formula>
    </cfRule>
    <cfRule type="expression" dxfId="320" priority="10" stopIfTrue="1">
      <formula>MOD(ROW(),2)&lt;&gt;0</formula>
    </cfRule>
  </conditionalFormatting>
  <hyperlinks>
    <hyperlink ref="B24" location="Assumptions!A1" display="Assumptions" xr:uid="{2F05EEC9-9A93-44DC-BC38-F43743FC582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78"/>
  <dimension ref="A1:I86"/>
  <sheetViews>
    <sheetView workbookViewId="0"/>
  </sheetViews>
  <sheetFormatPr defaultColWidth="10" defaultRowHeight="12.5" x14ac:dyDescent="0.25"/>
  <cols>
    <col min="1" max="1" width="31.54296875" style="28" customWidth="1"/>
    <col min="2" max="4" width="22.54296875"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x-708</v>
      </c>
      <c r="B3" s="56"/>
      <c r="C3" s="56"/>
      <c r="D3" s="56"/>
      <c r="E3" s="56"/>
      <c r="F3" s="56"/>
      <c r="G3" s="56"/>
      <c r="H3" s="56"/>
      <c r="I3" s="56"/>
    </row>
    <row r="4" spans="1:9" x14ac:dyDescent="0.25">
      <c r="A4" s="58"/>
    </row>
    <row r="6" spans="1:9" ht="13" x14ac:dyDescent="0.3">
      <c r="A6" s="92" t="s">
        <v>716</v>
      </c>
      <c r="B6" s="181" t="s">
        <v>717</v>
      </c>
      <c r="C6" s="181"/>
      <c r="D6" s="181"/>
    </row>
    <row r="7" spans="1:9" x14ac:dyDescent="0.25">
      <c r="A7" s="94" t="s">
        <v>797</v>
      </c>
      <c r="B7" s="181" t="s">
        <v>316</v>
      </c>
      <c r="C7" s="181"/>
      <c r="D7" s="181"/>
    </row>
    <row r="8" spans="1:9" x14ac:dyDescent="0.25">
      <c r="A8" s="94" t="s">
        <v>798</v>
      </c>
      <c r="B8" s="181" t="s">
        <v>92</v>
      </c>
      <c r="C8" s="181"/>
      <c r="D8" s="181"/>
    </row>
    <row r="9" spans="1:9" x14ac:dyDescent="0.25">
      <c r="A9" s="94" t="s">
        <v>300</v>
      </c>
      <c r="B9" s="181" t="s">
        <v>601</v>
      </c>
      <c r="C9" s="181"/>
      <c r="D9" s="181"/>
    </row>
    <row r="10" spans="1:9" x14ac:dyDescent="0.25">
      <c r="A10" s="94" t="s">
        <v>6</v>
      </c>
      <c r="B10" s="181" t="s">
        <v>623</v>
      </c>
      <c r="C10" s="181"/>
      <c r="D10" s="181"/>
    </row>
    <row r="11" spans="1:9" x14ac:dyDescent="0.25">
      <c r="A11" s="94" t="s">
        <v>301</v>
      </c>
      <c r="B11" s="181" t="s">
        <v>334</v>
      </c>
      <c r="C11" s="181"/>
      <c r="D11" s="181"/>
    </row>
    <row r="12" spans="1:9" x14ac:dyDescent="0.25">
      <c r="A12" s="94" t="s">
        <v>302</v>
      </c>
      <c r="B12" s="181" t="s">
        <v>335</v>
      </c>
      <c r="C12" s="181"/>
      <c r="D12" s="181"/>
    </row>
    <row r="13" spans="1:9" x14ac:dyDescent="0.25">
      <c r="A13" s="94" t="s">
        <v>813</v>
      </c>
      <c r="B13" s="181">
        <v>0</v>
      </c>
      <c r="C13" s="181"/>
      <c r="D13" s="181"/>
    </row>
    <row r="14" spans="1:9" x14ac:dyDescent="0.25">
      <c r="A14" s="94" t="s">
        <v>304</v>
      </c>
      <c r="B14" s="181">
        <v>708</v>
      </c>
      <c r="C14" s="181"/>
      <c r="D14" s="181"/>
    </row>
    <row r="15" spans="1:9" x14ac:dyDescent="0.25">
      <c r="A15" s="94" t="s">
        <v>727</v>
      </c>
      <c r="B15" s="181" t="s">
        <v>624</v>
      </c>
      <c r="C15" s="181"/>
      <c r="D15" s="181"/>
    </row>
    <row r="16" spans="1:9" x14ac:dyDescent="0.25">
      <c r="A16" s="94" t="s">
        <v>306</v>
      </c>
      <c r="B16" s="181" t="s">
        <v>625</v>
      </c>
      <c r="C16" s="181"/>
      <c r="D16" s="181"/>
    </row>
    <row r="17" spans="1:4" x14ac:dyDescent="0.25">
      <c r="A17" s="94" t="s">
        <v>800</v>
      </c>
      <c r="B17" s="181"/>
      <c r="C17" s="181"/>
      <c r="D17" s="181"/>
    </row>
    <row r="18" spans="1:4" x14ac:dyDescent="0.25">
      <c r="A18" s="94" t="s">
        <v>308</v>
      </c>
      <c r="B18" s="185">
        <v>45184</v>
      </c>
      <c r="C18" s="181"/>
      <c r="D18" s="181"/>
    </row>
    <row r="19" spans="1:4" x14ac:dyDescent="0.25">
      <c r="A19" s="94" t="s">
        <v>309</v>
      </c>
      <c r="B19" s="185">
        <v>45383</v>
      </c>
      <c r="C19" s="181"/>
      <c r="D19" s="181"/>
    </row>
    <row r="20" spans="1:4" x14ac:dyDescent="0.25">
      <c r="A20" s="94" t="s">
        <v>310</v>
      </c>
      <c r="B20" s="181" t="s">
        <v>324</v>
      </c>
      <c r="C20" s="181"/>
      <c r="D20" s="181"/>
    </row>
    <row r="21" spans="1:4" x14ac:dyDescent="0.25">
      <c r="A21" s="87" t="s">
        <v>311</v>
      </c>
      <c r="B21" s="181" t="s">
        <v>325</v>
      </c>
      <c r="C21" s="181"/>
      <c r="D21" s="181"/>
    </row>
    <row r="23" spans="1:4" x14ac:dyDescent="0.25">
      <c r="B23" s="104" t="str">
        <f>HYPERLINK("#'Factor List'!A1","Back to Factor List")</f>
        <v>Back to Factor List</v>
      </c>
    </row>
    <row r="24" spans="1:4" x14ac:dyDescent="0.25">
      <c r="B24" s="104" t="s">
        <v>13</v>
      </c>
    </row>
    <row r="26" spans="1:4" ht="26" x14ac:dyDescent="0.25">
      <c r="A26" s="108" t="s">
        <v>534</v>
      </c>
      <c r="B26" s="108" t="s">
        <v>974</v>
      </c>
      <c r="C26" s="108" t="s">
        <v>975</v>
      </c>
      <c r="D26" s="108" t="s">
        <v>977</v>
      </c>
    </row>
    <row r="27" spans="1:4" x14ac:dyDescent="0.25">
      <c r="A27" s="109">
        <v>16</v>
      </c>
      <c r="B27" s="110">
        <v>3.12</v>
      </c>
      <c r="C27" s="110">
        <v>3.12</v>
      </c>
      <c r="D27" s="110">
        <v>3.39</v>
      </c>
    </row>
    <row r="28" spans="1:4" x14ac:dyDescent="0.25">
      <c r="A28" s="109">
        <v>17</v>
      </c>
      <c r="B28" s="110">
        <v>3.22</v>
      </c>
      <c r="C28" s="110">
        <v>3.22</v>
      </c>
      <c r="D28" s="110">
        <v>3.51</v>
      </c>
    </row>
    <row r="29" spans="1:4" x14ac:dyDescent="0.25">
      <c r="A29" s="109">
        <v>18</v>
      </c>
      <c r="B29" s="110">
        <v>3.34</v>
      </c>
      <c r="C29" s="110">
        <v>3.34</v>
      </c>
      <c r="D29" s="110">
        <v>3.64</v>
      </c>
    </row>
    <row r="30" spans="1:4" x14ac:dyDescent="0.25">
      <c r="A30" s="109">
        <v>19</v>
      </c>
      <c r="B30" s="110">
        <v>3.45</v>
      </c>
      <c r="C30" s="110">
        <v>3.45</v>
      </c>
      <c r="D30" s="110">
        <v>3.77</v>
      </c>
    </row>
    <row r="31" spans="1:4" x14ac:dyDescent="0.25">
      <c r="A31" s="109">
        <v>20</v>
      </c>
      <c r="B31" s="110">
        <v>3.56</v>
      </c>
      <c r="C31" s="110">
        <v>3.56</v>
      </c>
      <c r="D31" s="110">
        <v>3.9</v>
      </c>
    </row>
    <row r="32" spans="1:4" x14ac:dyDescent="0.25">
      <c r="A32" s="109">
        <v>21</v>
      </c>
      <c r="B32" s="110">
        <v>3.68</v>
      </c>
      <c r="C32" s="110">
        <v>3.68</v>
      </c>
      <c r="D32" s="110">
        <v>4.03</v>
      </c>
    </row>
    <row r="33" spans="1:4" x14ac:dyDescent="0.25">
      <c r="A33" s="109">
        <v>22</v>
      </c>
      <c r="B33" s="110">
        <v>3.81</v>
      </c>
      <c r="C33" s="110">
        <v>3.81</v>
      </c>
      <c r="D33" s="110">
        <v>4.17</v>
      </c>
    </row>
    <row r="34" spans="1:4" x14ac:dyDescent="0.25">
      <c r="A34" s="109">
        <v>23</v>
      </c>
      <c r="B34" s="110">
        <v>3.94</v>
      </c>
      <c r="C34" s="110">
        <v>3.94</v>
      </c>
      <c r="D34" s="110">
        <v>4.3099999999999996</v>
      </c>
    </row>
    <row r="35" spans="1:4" x14ac:dyDescent="0.25">
      <c r="A35" s="109">
        <v>24</v>
      </c>
      <c r="B35" s="110">
        <v>4.08</v>
      </c>
      <c r="C35" s="110">
        <v>4.08</v>
      </c>
      <c r="D35" s="110">
        <v>4.46</v>
      </c>
    </row>
    <row r="36" spans="1:4" x14ac:dyDescent="0.25">
      <c r="A36" s="109">
        <v>25</v>
      </c>
      <c r="B36" s="110">
        <v>4.21</v>
      </c>
      <c r="C36" s="110">
        <v>4.21</v>
      </c>
      <c r="D36" s="110">
        <v>4.6100000000000003</v>
      </c>
    </row>
    <row r="37" spans="1:4" x14ac:dyDescent="0.25">
      <c r="A37" s="109">
        <v>26</v>
      </c>
      <c r="B37" s="110">
        <v>4.3600000000000003</v>
      </c>
      <c r="C37" s="110">
        <v>4.3600000000000003</v>
      </c>
      <c r="D37" s="110">
        <v>4.7699999999999996</v>
      </c>
    </row>
    <row r="38" spans="1:4" x14ac:dyDescent="0.25">
      <c r="A38" s="109">
        <v>27</v>
      </c>
      <c r="B38" s="110">
        <v>4.51</v>
      </c>
      <c r="C38" s="110">
        <v>4.51</v>
      </c>
      <c r="D38" s="110">
        <v>4.9400000000000004</v>
      </c>
    </row>
    <row r="39" spans="1:4" x14ac:dyDescent="0.25">
      <c r="A39" s="109">
        <v>28</v>
      </c>
      <c r="B39" s="110">
        <v>4.66</v>
      </c>
      <c r="C39" s="110">
        <v>4.66</v>
      </c>
      <c r="D39" s="110">
        <v>5.0999999999999996</v>
      </c>
    </row>
    <row r="40" spans="1:4" x14ac:dyDescent="0.25">
      <c r="A40" s="109">
        <v>29</v>
      </c>
      <c r="B40" s="110">
        <v>4.8099999999999996</v>
      </c>
      <c r="C40" s="110">
        <v>4.8099999999999996</v>
      </c>
      <c r="D40" s="110">
        <v>5.27</v>
      </c>
    </row>
    <row r="41" spans="1:4" x14ac:dyDescent="0.25">
      <c r="A41" s="109">
        <v>30</v>
      </c>
      <c r="B41" s="110">
        <v>4.9800000000000004</v>
      </c>
      <c r="C41" s="110">
        <v>4.9800000000000004</v>
      </c>
      <c r="D41" s="110">
        <v>5.46</v>
      </c>
    </row>
    <row r="42" spans="1:4" x14ac:dyDescent="0.25">
      <c r="A42" s="109">
        <v>31</v>
      </c>
      <c r="B42" s="110">
        <v>5.15</v>
      </c>
      <c r="C42" s="110">
        <v>5.15</v>
      </c>
      <c r="D42" s="110">
        <v>5.64</v>
      </c>
    </row>
    <row r="43" spans="1:4" x14ac:dyDescent="0.25">
      <c r="A43" s="109">
        <v>32</v>
      </c>
      <c r="B43" s="110">
        <v>5.32</v>
      </c>
      <c r="C43" s="110">
        <v>5.32</v>
      </c>
      <c r="D43" s="110">
        <v>5.82</v>
      </c>
    </row>
    <row r="44" spans="1:4" x14ac:dyDescent="0.25">
      <c r="A44" s="109">
        <v>33</v>
      </c>
      <c r="B44" s="110">
        <v>5.5</v>
      </c>
      <c r="C44" s="110">
        <v>5.5</v>
      </c>
      <c r="D44" s="110">
        <v>6.02</v>
      </c>
    </row>
    <row r="45" spans="1:4" x14ac:dyDescent="0.25">
      <c r="A45" s="109">
        <v>34</v>
      </c>
      <c r="B45" s="110">
        <v>5.68</v>
      </c>
      <c r="C45" s="110">
        <v>5.68</v>
      </c>
      <c r="D45" s="110">
        <v>6.22</v>
      </c>
    </row>
    <row r="46" spans="1:4" x14ac:dyDescent="0.25">
      <c r="A46" s="109">
        <v>35</v>
      </c>
      <c r="B46" s="110">
        <v>5.86</v>
      </c>
      <c r="C46" s="110">
        <v>5.86</v>
      </c>
      <c r="D46" s="110">
        <v>6.43</v>
      </c>
    </row>
    <row r="47" spans="1:4" x14ac:dyDescent="0.25">
      <c r="A47" s="109">
        <v>36</v>
      </c>
      <c r="B47" s="110">
        <v>6.06</v>
      </c>
      <c r="C47" s="110">
        <v>6.06</v>
      </c>
      <c r="D47" s="110">
        <v>6.64</v>
      </c>
    </row>
    <row r="48" spans="1:4" x14ac:dyDescent="0.25">
      <c r="A48" s="109">
        <v>37</v>
      </c>
      <c r="B48" s="110">
        <v>6.26</v>
      </c>
      <c r="C48" s="110">
        <v>6.26</v>
      </c>
      <c r="D48" s="110">
        <v>6.85</v>
      </c>
    </row>
    <row r="49" spans="1:4" x14ac:dyDescent="0.25">
      <c r="A49" s="109">
        <v>38</v>
      </c>
      <c r="B49" s="110">
        <v>6.47</v>
      </c>
      <c r="C49" s="110">
        <v>6.47</v>
      </c>
      <c r="D49" s="110">
        <v>7.08</v>
      </c>
    </row>
    <row r="50" spans="1:4" x14ac:dyDescent="0.25">
      <c r="A50" s="109">
        <v>39</v>
      </c>
      <c r="B50" s="110">
        <v>6.67</v>
      </c>
      <c r="C50" s="110">
        <v>6.67</v>
      </c>
      <c r="D50" s="110">
        <v>7.3</v>
      </c>
    </row>
    <row r="51" spans="1:4" x14ac:dyDescent="0.25">
      <c r="A51" s="109">
        <v>40</v>
      </c>
      <c r="B51" s="110">
        <v>6.88</v>
      </c>
      <c r="C51" s="110">
        <v>6.88</v>
      </c>
      <c r="D51" s="110">
        <v>7.54</v>
      </c>
    </row>
    <row r="52" spans="1:4" x14ac:dyDescent="0.25">
      <c r="A52" s="109">
        <v>41</v>
      </c>
      <c r="B52" s="110">
        <v>7.11</v>
      </c>
      <c r="C52" s="110">
        <v>7.11</v>
      </c>
      <c r="D52" s="110">
        <v>7.78</v>
      </c>
    </row>
    <row r="53" spans="1:4" x14ac:dyDescent="0.25">
      <c r="A53" s="109">
        <v>42</v>
      </c>
      <c r="B53" s="110">
        <v>7.33</v>
      </c>
      <c r="C53" s="110">
        <v>7.33</v>
      </c>
      <c r="D53" s="110">
        <v>8.0399999999999991</v>
      </c>
    </row>
    <row r="54" spans="1:4" x14ac:dyDescent="0.25">
      <c r="A54" s="109">
        <v>43</v>
      </c>
      <c r="B54" s="110">
        <v>7.57</v>
      </c>
      <c r="C54" s="110">
        <v>7.57</v>
      </c>
      <c r="D54" s="110">
        <v>8.2899999999999991</v>
      </c>
    </row>
    <row r="55" spans="1:4" x14ac:dyDescent="0.25">
      <c r="A55" s="109">
        <v>44</v>
      </c>
      <c r="B55" s="110">
        <v>7.81</v>
      </c>
      <c r="C55" s="110">
        <v>7.81</v>
      </c>
      <c r="D55" s="110">
        <v>8.56</v>
      </c>
    </row>
    <row r="56" spans="1:4" x14ac:dyDescent="0.25">
      <c r="A56" s="109">
        <v>45</v>
      </c>
      <c r="B56" s="110">
        <v>8.06</v>
      </c>
      <c r="C56" s="110">
        <v>8.06</v>
      </c>
      <c r="D56" s="110">
        <v>8.83</v>
      </c>
    </row>
    <row r="57" spans="1:4" x14ac:dyDescent="0.25">
      <c r="A57" s="109">
        <v>46</v>
      </c>
      <c r="B57" s="110">
        <v>8.31</v>
      </c>
      <c r="C57" s="110">
        <v>8.31</v>
      </c>
      <c r="D57" s="110">
        <v>9.11</v>
      </c>
    </row>
    <row r="58" spans="1:4" x14ac:dyDescent="0.25">
      <c r="A58" s="109">
        <v>47</v>
      </c>
      <c r="B58" s="110">
        <v>8.58</v>
      </c>
      <c r="C58" s="110">
        <v>8.58</v>
      </c>
      <c r="D58" s="110">
        <v>9.39</v>
      </c>
    </row>
    <row r="59" spans="1:4" x14ac:dyDescent="0.25">
      <c r="A59" s="109">
        <v>48</v>
      </c>
      <c r="B59" s="110">
        <v>8.84</v>
      </c>
      <c r="C59" s="110">
        <v>8.84</v>
      </c>
      <c r="D59" s="110">
        <v>9.69</v>
      </c>
    </row>
    <row r="60" spans="1:4" x14ac:dyDescent="0.25">
      <c r="A60" s="109">
        <v>49</v>
      </c>
      <c r="B60" s="110">
        <v>9.1199999999999992</v>
      </c>
      <c r="C60" s="110">
        <v>9.1199999999999992</v>
      </c>
      <c r="D60" s="110">
        <v>9.99</v>
      </c>
    </row>
    <row r="61" spans="1:4" x14ac:dyDescent="0.25">
      <c r="A61" s="109">
        <v>50</v>
      </c>
      <c r="B61" s="110">
        <v>9.4</v>
      </c>
      <c r="C61" s="110">
        <v>9.4</v>
      </c>
      <c r="D61" s="110">
        <v>10.29</v>
      </c>
    </row>
    <row r="62" spans="1:4" x14ac:dyDescent="0.25">
      <c r="A62" s="109">
        <v>51</v>
      </c>
      <c r="B62" s="110">
        <v>9.6999999999999993</v>
      </c>
      <c r="C62" s="110">
        <v>9.6999999999999993</v>
      </c>
      <c r="D62" s="110">
        <v>10.61</v>
      </c>
    </row>
    <row r="63" spans="1:4" x14ac:dyDescent="0.25">
      <c r="A63" s="109">
        <v>52</v>
      </c>
      <c r="B63" s="110">
        <v>10</v>
      </c>
      <c r="C63" s="110">
        <v>10</v>
      </c>
      <c r="D63" s="110">
        <v>10.93</v>
      </c>
    </row>
    <row r="64" spans="1:4" x14ac:dyDescent="0.25">
      <c r="A64" s="109">
        <v>53</v>
      </c>
      <c r="B64" s="110">
        <v>10.3</v>
      </c>
      <c r="C64" s="110">
        <v>10.3</v>
      </c>
      <c r="D64" s="110">
        <v>11.27</v>
      </c>
    </row>
    <row r="65" spans="1:4" x14ac:dyDescent="0.25">
      <c r="A65" s="109">
        <v>54</v>
      </c>
      <c r="B65" s="110">
        <v>10.62</v>
      </c>
      <c r="C65" s="110">
        <v>10.62</v>
      </c>
      <c r="D65" s="110">
        <v>11.61</v>
      </c>
    </row>
    <row r="66" spans="1:4" x14ac:dyDescent="0.25">
      <c r="A66" s="109">
        <v>55</v>
      </c>
      <c r="B66" s="110">
        <v>10.93</v>
      </c>
      <c r="C66" s="110">
        <v>10.93</v>
      </c>
      <c r="D66" s="110">
        <v>11.96</v>
      </c>
    </row>
    <row r="67" spans="1:4" x14ac:dyDescent="0.25">
      <c r="A67" s="109">
        <v>56</v>
      </c>
      <c r="B67" s="110">
        <v>11.27</v>
      </c>
      <c r="C67" s="110">
        <v>11.27</v>
      </c>
      <c r="D67" s="110">
        <v>12.32</v>
      </c>
    </row>
    <row r="68" spans="1:4" x14ac:dyDescent="0.25">
      <c r="A68" s="109">
        <v>57</v>
      </c>
      <c r="B68" s="110">
        <v>11.62</v>
      </c>
      <c r="C68" s="110">
        <v>11.62</v>
      </c>
      <c r="D68" s="110">
        <v>12.7</v>
      </c>
    </row>
    <row r="69" spans="1:4" x14ac:dyDescent="0.25">
      <c r="A69" s="109">
        <v>58</v>
      </c>
      <c r="B69" s="110">
        <v>11.97</v>
      </c>
      <c r="C69" s="110">
        <v>11.97</v>
      </c>
      <c r="D69" s="110">
        <v>13.08</v>
      </c>
    </row>
    <row r="70" spans="1:4" x14ac:dyDescent="0.25">
      <c r="A70" s="109">
        <v>59</v>
      </c>
      <c r="B70" s="110">
        <v>12.34</v>
      </c>
      <c r="C70" s="110">
        <v>12.34</v>
      </c>
      <c r="D70" s="110">
        <v>13.47</v>
      </c>
    </row>
    <row r="71" spans="1:4" x14ac:dyDescent="0.25">
      <c r="A71" s="109">
        <v>60</v>
      </c>
      <c r="B71" s="110">
        <v>12.73</v>
      </c>
      <c r="C71" s="110">
        <v>12.73</v>
      </c>
      <c r="D71" s="110">
        <v>13.88</v>
      </c>
    </row>
    <row r="72" spans="1:4" x14ac:dyDescent="0.25">
      <c r="A72" s="109">
        <v>61</v>
      </c>
      <c r="B72" s="110">
        <v>13.14</v>
      </c>
      <c r="C72" s="110">
        <v>13.14</v>
      </c>
      <c r="D72" s="110">
        <v>14.32</v>
      </c>
    </row>
    <row r="73" spans="1:4" x14ac:dyDescent="0.25">
      <c r="A73" s="109">
        <v>62</v>
      </c>
      <c r="B73" s="110">
        <v>13.56</v>
      </c>
      <c r="C73" s="110">
        <v>13.56</v>
      </c>
      <c r="D73" s="110">
        <v>14.77</v>
      </c>
    </row>
    <row r="74" spans="1:4" x14ac:dyDescent="0.25">
      <c r="A74" s="109">
        <v>63</v>
      </c>
      <c r="B74" s="110">
        <v>14.01</v>
      </c>
      <c r="C74" s="110">
        <v>14.01</v>
      </c>
      <c r="D74" s="110">
        <v>15.25</v>
      </c>
    </row>
    <row r="75" spans="1:4" x14ac:dyDescent="0.25">
      <c r="A75" s="109">
        <v>64</v>
      </c>
      <c r="B75" s="110">
        <v>14.49</v>
      </c>
      <c r="C75" s="110">
        <v>14.49</v>
      </c>
      <c r="D75" s="110">
        <v>15.75</v>
      </c>
    </row>
    <row r="76" spans="1:4" x14ac:dyDescent="0.25">
      <c r="A76" s="109">
        <v>65</v>
      </c>
      <c r="B76" s="110">
        <v>15</v>
      </c>
      <c r="C76" s="110">
        <v>15</v>
      </c>
      <c r="D76" s="110">
        <v>16.29</v>
      </c>
    </row>
    <row r="77" spans="1:4" x14ac:dyDescent="0.25">
      <c r="A77" s="109">
        <v>66</v>
      </c>
      <c r="B77" s="110">
        <v>15.54</v>
      </c>
      <c r="C77" s="110">
        <v>15.54</v>
      </c>
      <c r="D77" s="110">
        <v>16.86</v>
      </c>
    </row>
    <row r="78" spans="1:4" x14ac:dyDescent="0.25">
      <c r="A78" s="109">
        <v>67</v>
      </c>
      <c r="B78" s="110">
        <v>16.14</v>
      </c>
      <c r="C78" s="110">
        <v>16.14</v>
      </c>
      <c r="D78" s="110">
        <v>17.47</v>
      </c>
    </row>
    <row r="79" spans="1:4" x14ac:dyDescent="0.25">
      <c r="A79" s="109">
        <v>68</v>
      </c>
      <c r="B79" s="110">
        <v>16.14</v>
      </c>
      <c r="C79" s="110">
        <v>16.14</v>
      </c>
      <c r="D79" s="110">
        <v>17.47</v>
      </c>
    </row>
    <row r="80" spans="1:4" x14ac:dyDescent="0.25">
      <c r="A80" s="109">
        <v>69</v>
      </c>
      <c r="B80" s="110">
        <v>15.51</v>
      </c>
      <c r="C80" s="110">
        <v>15.51</v>
      </c>
      <c r="D80" s="110">
        <v>16.84</v>
      </c>
    </row>
    <row r="81" spans="1:4" x14ac:dyDescent="0.25">
      <c r="A81" s="109">
        <v>70</v>
      </c>
      <c r="B81" s="110">
        <v>14.89</v>
      </c>
      <c r="C81" s="110">
        <v>14.89</v>
      </c>
      <c r="D81" s="110">
        <v>16.21</v>
      </c>
    </row>
    <row r="82" spans="1:4" x14ac:dyDescent="0.25">
      <c r="A82" s="109">
        <v>71</v>
      </c>
      <c r="B82" s="110">
        <v>14.28</v>
      </c>
      <c r="C82" s="110">
        <v>14.28</v>
      </c>
      <c r="D82" s="110">
        <v>15.59</v>
      </c>
    </row>
    <row r="83" spans="1:4" x14ac:dyDescent="0.25">
      <c r="A83" s="109">
        <v>72</v>
      </c>
      <c r="B83" s="110">
        <v>13.67</v>
      </c>
      <c r="C83" s="110">
        <v>13.67</v>
      </c>
      <c r="D83" s="110">
        <v>14.96</v>
      </c>
    </row>
    <row r="84" spans="1:4" x14ac:dyDescent="0.25">
      <c r="A84" s="109">
        <v>73</v>
      </c>
      <c r="B84" s="110">
        <v>13.08</v>
      </c>
      <c r="C84" s="110">
        <v>13.08</v>
      </c>
      <c r="D84" s="110">
        <v>14.34</v>
      </c>
    </row>
    <row r="85" spans="1:4" x14ac:dyDescent="0.25">
      <c r="A85" s="109">
        <v>74</v>
      </c>
      <c r="B85" s="110">
        <v>12.48</v>
      </c>
      <c r="C85" s="110">
        <v>12.48</v>
      </c>
      <c r="D85" s="110">
        <v>13.74</v>
      </c>
    </row>
    <row r="86" spans="1:4" x14ac:dyDescent="0.25">
      <c r="A86" s="109">
        <v>75</v>
      </c>
      <c r="B86" s="110">
        <v>12.2</v>
      </c>
      <c r="C86" s="110">
        <v>12.2</v>
      </c>
      <c r="D86" s="110">
        <v>13.43</v>
      </c>
    </row>
  </sheetData>
  <conditionalFormatting sqref="A6:A21">
    <cfRule type="expression" dxfId="319" priority="3" stopIfTrue="1">
      <formula>MOD(ROW(),2)=0</formula>
    </cfRule>
    <cfRule type="expression" dxfId="318" priority="4" stopIfTrue="1">
      <formula>MOD(ROW(),2)&lt;&gt;0</formula>
    </cfRule>
  </conditionalFormatting>
  <conditionalFormatting sqref="A26:A86">
    <cfRule type="expression" dxfId="317" priority="7" stopIfTrue="1">
      <formula>MOD(ROW(),2)=0</formula>
    </cfRule>
    <cfRule type="expression" dxfId="316" priority="8" stopIfTrue="1">
      <formula>MOD(ROW(),2)&lt;&gt;0</formula>
    </cfRule>
  </conditionalFormatting>
  <conditionalFormatting sqref="B18:B21">
    <cfRule type="expression" dxfId="315" priority="1" stopIfTrue="1">
      <formula>MOD(ROW(),2)=0</formula>
    </cfRule>
    <cfRule type="expression" dxfId="314" priority="2" stopIfTrue="1">
      <formula>MOD(ROW(),2)&lt;&gt;0</formula>
    </cfRule>
  </conditionalFormatting>
  <conditionalFormatting sqref="B6:D21">
    <cfRule type="expression" dxfId="313" priority="23" stopIfTrue="1">
      <formula>MOD(ROW(),2)=0</formula>
    </cfRule>
    <cfRule type="expression" dxfId="312" priority="24" stopIfTrue="1">
      <formula>MOD(ROW(),2)&lt;&gt;0</formula>
    </cfRule>
  </conditionalFormatting>
  <conditionalFormatting sqref="B26:D86">
    <cfRule type="expression" dxfId="311" priority="9" stopIfTrue="1">
      <formula>MOD(ROW(),2)=0</formula>
    </cfRule>
    <cfRule type="expression" dxfId="310" priority="10" stopIfTrue="1">
      <formula>MOD(ROW(),2)&lt;&gt;0</formula>
    </cfRule>
  </conditionalFormatting>
  <hyperlinks>
    <hyperlink ref="B24" location="Assumptions!A1" display="Assumptions" xr:uid="{79958FBD-1050-4497-B65D-557209A8AD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79"/>
  <dimension ref="A1:I86"/>
  <sheetViews>
    <sheetView workbookViewId="0"/>
  </sheetViews>
  <sheetFormatPr defaultColWidth="10" defaultRowHeight="12.5" x14ac:dyDescent="0.25"/>
  <cols>
    <col min="1" max="1" width="31.54296875" style="28" customWidth="1"/>
    <col min="2" max="2" width="22.54296875" style="28" customWidth="1"/>
    <col min="3" max="3" width="10.17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x-709</v>
      </c>
      <c r="B3" s="56"/>
      <c r="C3" s="56"/>
      <c r="D3" s="56"/>
      <c r="E3" s="56"/>
      <c r="F3" s="56"/>
      <c r="G3" s="56"/>
      <c r="H3" s="56"/>
      <c r="I3" s="56"/>
    </row>
    <row r="4" spans="1:9" x14ac:dyDescent="0.25">
      <c r="A4" s="58"/>
    </row>
    <row r="6" spans="1:9" ht="13" x14ac:dyDescent="0.3">
      <c r="A6" s="92" t="s">
        <v>716</v>
      </c>
      <c r="B6" s="181" t="s">
        <v>717</v>
      </c>
    </row>
    <row r="7" spans="1:9" ht="48" customHeight="1" x14ac:dyDescent="0.25">
      <c r="A7" s="94" t="s">
        <v>797</v>
      </c>
      <c r="B7" s="181" t="s">
        <v>326</v>
      </c>
    </row>
    <row r="8" spans="1:9" x14ac:dyDescent="0.25">
      <c r="A8" s="94" t="s">
        <v>798</v>
      </c>
      <c r="B8" s="181" t="s">
        <v>93</v>
      </c>
    </row>
    <row r="9" spans="1:9" x14ac:dyDescent="0.25">
      <c r="A9" s="94" t="s">
        <v>300</v>
      </c>
      <c r="B9" s="181" t="s">
        <v>601</v>
      </c>
    </row>
    <row r="10" spans="1:9" x14ac:dyDescent="0.25">
      <c r="A10" s="94" t="s">
        <v>6</v>
      </c>
      <c r="B10" s="181" t="s">
        <v>626</v>
      </c>
    </row>
    <row r="11" spans="1:9" x14ac:dyDescent="0.25">
      <c r="A11" s="94" t="s">
        <v>301</v>
      </c>
      <c r="B11" s="181" t="s">
        <v>319</v>
      </c>
    </row>
    <row r="12" spans="1:9" x14ac:dyDescent="0.25">
      <c r="A12" s="94" t="s">
        <v>302</v>
      </c>
      <c r="B12" s="181" t="s">
        <v>335</v>
      </c>
    </row>
    <row r="13" spans="1:9" x14ac:dyDescent="0.25">
      <c r="A13" s="94" t="s">
        <v>813</v>
      </c>
      <c r="B13" s="181">
        <v>1</v>
      </c>
    </row>
    <row r="14" spans="1:9" x14ac:dyDescent="0.25">
      <c r="A14" s="94" t="s">
        <v>304</v>
      </c>
      <c r="B14" s="181">
        <v>709</v>
      </c>
    </row>
    <row r="15" spans="1:9" x14ac:dyDescent="0.25">
      <c r="A15" s="94" t="s">
        <v>727</v>
      </c>
      <c r="B15" s="181" t="s">
        <v>627</v>
      </c>
    </row>
    <row r="16" spans="1:9" x14ac:dyDescent="0.25">
      <c r="A16" s="94" t="s">
        <v>306</v>
      </c>
      <c r="B16" s="181" t="s">
        <v>628</v>
      </c>
    </row>
    <row r="17" spans="1:2" ht="112.5" customHeight="1" x14ac:dyDescent="0.25">
      <c r="A17" s="94" t="s">
        <v>800</v>
      </c>
      <c r="B17" s="181"/>
    </row>
    <row r="18" spans="1:2" x14ac:dyDescent="0.25">
      <c r="A18" s="94" t="s">
        <v>308</v>
      </c>
      <c r="B18" s="185">
        <v>45184</v>
      </c>
    </row>
    <row r="19" spans="1:2" x14ac:dyDescent="0.25">
      <c r="A19" s="94" t="s">
        <v>309</v>
      </c>
      <c r="B19" s="185">
        <v>45383</v>
      </c>
    </row>
    <row r="20" spans="1:2" x14ac:dyDescent="0.25">
      <c r="A20" s="94" t="s">
        <v>310</v>
      </c>
      <c r="B20" s="181" t="s">
        <v>324</v>
      </c>
    </row>
    <row r="21" spans="1:2" x14ac:dyDescent="0.25">
      <c r="A21" s="87" t="s">
        <v>311</v>
      </c>
      <c r="B21" s="181" t="s">
        <v>325</v>
      </c>
    </row>
    <row r="23" spans="1:2" x14ac:dyDescent="0.25">
      <c r="B23" s="104" t="str">
        <f>HYPERLINK("#'Factor List'!A1","Back to Factor List")</f>
        <v>Back to Factor List</v>
      </c>
    </row>
    <row r="24" spans="1:2" x14ac:dyDescent="0.25">
      <c r="B24" s="104" t="s">
        <v>13</v>
      </c>
    </row>
    <row r="26" spans="1:2" ht="13" x14ac:dyDescent="0.25">
      <c r="A26" s="108" t="s">
        <v>534</v>
      </c>
      <c r="B26" s="108" t="s">
        <v>978</v>
      </c>
    </row>
    <row r="27" spans="1:2" x14ac:dyDescent="0.25">
      <c r="A27" s="109">
        <v>16</v>
      </c>
      <c r="B27" s="110">
        <v>5.83</v>
      </c>
    </row>
    <row r="28" spans="1:2" x14ac:dyDescent="0.25">
      <c r="A28" s="109">
        <v>17</v>
      </c>
      <c r="B28" s="110">
        <v>6.05</v>
      </c>
    </row>
    <row r="29" spans="1:2" x14ac:dyDescent="0.25">
      <c r="A29" s="109">
        <v>18</v>
      </c>
      <c r="B29" s="110">
        <v>6.27</v>
      </c>
    </row>
    <row r="30" spans="1:2" x14ac:dyDescent="0.25">
      <c r="A30" s="109">
        <v>19</v>
      </c>
      <c r="B30" s="110">
        <v>6.5</v>
      </c>
    </row>
    <row r="31" spans="1:2" x14ac:dyDescent="0.25">
      <c r="A31" s="109">
        <v>20</v>
      </c>
      <c r="B31" s="110">
        <v>6.72</v>
      </c>
    </row>
    <row r="32" spans="1:2" x14ac:dyDescent="0.25">
      <c r="A32" s="109">
        <v>21</v>
      </c>
      <c r="B32" s="110">
        <v>6.96</v>
      </c>
    </row>
    <row r="33" spans="1:2" x14ac:dyDescent="0.25">
      <c r="A33" s="109">
        <v>22</v>
      </c>
      <c r="B33" s="110">
        <v>7.2</v>
      </c>
    </row>
    <row r="34" spans="1:2" x14ac:dyDescent="0.25">
      <c r="A34" s="109">
        <v>23</v>
      </c>
      <c r="B34" s="110">
        <v>7.45</v>
      </c>
    </row>
    <row r="35" spans="1:2" x14ac:dyDescent="0.25">
      <c r="A35" s="109">
        <v>24</v>
      </c>
      <c r="B35" s="110">
        <v>7.71</v>
      </c>
    </row>
    <row r="36" spans="1:2" x14ac:dyDescent="0.25">
      <c r="A36" s="109">
        <v>25</v>
      </c>
      <c r="B36" s="110">
        <v>7.98</v>
      </c>
    </row>
    <row r="37" spans="1:2" x14ac:dyDescent="0.25">
      <c r="A37" s="109">
        <v>26</v>
      </c>
      <c r="B37" s="110">
        <v>8.25</v>
      </c>
    </row>
    <row r="38" spans="1:2" x14ac:dyDescent="0.25">
      <c r="A38" s="109">
        <v>27</v>
      </c>
      <c r="B38" s="110">
        <v>8.5399999999999991</v>
      </c>
    </row>
    <row r="39" spans="1:2" x14ac:dyDescent="0.25">
      <c r="A39" s="109">
        <v>28</v>
      </c>
      <c r="B39" s="110">
        <v>8.83</v>
      </c>
    </row>
    <row r="40" spans="1:2" x14ac:dyDescent="0.25">
      <c r="A40" s="109">
        <v>29</v>
      </c>
      <c r="B40" s="110">
        <v>9.15</v>
      </c>
    </row>
    <row r="41" spans="1:2" x14ac:dyDescent="0.25">
      <c r="A41" s="109">
        <v>30</v>
      </c>
      <c r="B41" s="110">
        <v>9.4700000000000006</v>
      </c>
    </row>
    <row r="42" spans="1:2" x14ac:dyDescent="0.25">
      <c r="A42" s="109">
        <v>31</v>
      </c>
      <c r="B42" s="110">
        <v>9.7899999999999991</v>
      </c>
    </row>
    <row r="43" spans="1:2" x14ac:dyDescent="0.25">
      <c r="A43" s="109">
        <v>32</v>
      </c>
      <c r="B43" s="110">
        <v>10.130000000000001</v>
      </c>
    </row>
    <row r="44" spans="1:2" x14ac:dyDescent="0.25">
      <c r="A44" s="109">
        <v>33</v>
      </c>
      <c r="B44" s="110">
        <v>10.48</v>
      </c>
    </row>
    <row r="45" spans="1:2" x14ac:dyDescent="0.25">
      <c r="A45" s="109">
        <v>34</v>
      </c>
      <c r="B45" s="110">
        <v>10.83</v>
      </c>
    </row>
    <row r="46" spans="1:2" x14ac:dyDescent="0.25">
      <c r="A46" s="109">
        <v>35</v>
      </c>
      <c r="B46" s="110">
        <v>11.2</v>
      </c>
    </row>
    <row r="47" spans="1:2" x14ac:dyDescent="0.25">
      <c r="A47" s="109">
        <v>36</v>
      </c>
      <c r="B47" s="110">
        <v>11.59</v>
      </c>
    </row>
    <row r="48" spans="1:2" x14ac:dyDescent="0.25">
      <c r="A48" s="109">
        <v>37</v>
      </c>
      <c r="B48" s="110">
        <v>11.98</v>
      </c>
    </row>
    <row r="49" spans="1:2" x14ac:dyDescent="0.25">
      <c r="A49" s="109">
        <v>38</v>
      </c>
      <c r="B49" s="110">
        <v>12.39</v>
      </c>
    </row>
    <row r="50" spans="1:2" x14ac:dyDescent="0.25">
      <c r="A50" s="109">
        <v>39</v>
      </c>
      <c r="B50" s="110">
        <v>12.81</v>
      </c>
    </row>
    <row r="51" spans="1:2" x14ac:dyDescent="0.25">
      <c r="A51" s="109">
        <v>40</v>
      </c>
      <c r="B51" s="110">
        <v>13.25</v>
      </c>
    </row>
    <row r="52" spans="1:2" x14ac:dyDescent="0.25">
      <c r="A52" s="109">
        <v>41</v>
      </c>
      <c r="B52" s="110">
        <v>13.7</v>
      </c>
    </row>
    <row r="53" spans="1:2" x14ac:dyDescent="0.25">
      <c r="A53" s="109">
        <v>42</v>
      </c>
      <c r="B53" s="110">
        <v>14.16</v>
      </c>
    </row>
    <row r="54" spans="1:2" x14ac:dyDescent="0.25">
      <c r="A54" s="109">
        <v>43</v>
      </c>
      <c r="B54" s="110">
        <v>14.64</v>
      </c>
    </row>
    <row r="55" spans="1:2" x14ac:dyDescent="0.25">
      <c r="A55" s="109">
        <v>44</v>
      </c>
      <c r="B55" s="110">
        <v>15.14</v>
      </c>
    </row>
    <row r="56" spans="1:2" x14ac:dyDescent="0.25">
      <c r="A56" s="109">
        <v>45</v>
      </c>
      <c r="B56" s="110">
        <v>15.66</v>
      </c>
    </row>
    <row r="57" spans="1:2" x14ac:dyDescent="0.25">
      <c r="A57" s="109">
        <v>46</v>
      </c>
      <c r="B57" s="110">
        <v>16.190000000000001</v>
      </c>
    </row>
    <row r="58" spans="1:2" x14ac:dyDescent="0.25">
      <c r="A58" s="109">
        <v>47</v>
      </c>
      <c r="B58" s="110">
        <v>16.73</v>
      </c>
    </row>
    <row r="59" spans="1:2" x14ac:dyDescent="0.25">
      <c r="A59" s="109">
        <v>48</v>
      </c>
      <c r="B59" s="110">
        <v>17.3</v>
      </c>
    </row>
    <row r="60" spans="1:2" x14ac:dyDescent="0.25">
      <c r="A60" s="109">
        <v>49</v>
      </c>
      <c r="B60" s="110">
        <v>17.89</v>
      </c>
    </row>
    <row r="61" spans="1:2" x14ac:dyDescent="0.25">
      <c r="A61" s="109">
        <v>50</v>
      </c>
      <c r="B61" s="110">
        <v>18.489999999999998</v>
      </c>
    </row>
    <row r="62" spans="1:2" x14ac:dyDescent="0.25">
      <c r="A62" s="109">
        <v>51</v>
      </c>
      <c r="B62" s="110">
        <v>19.12</v>
      </c>
    </row>
    <row r="63" spans="1:2" x14ac:dyDescent="0.25">
      <c r="A63" s="109">
        <v>52</v>
      </c>
      <c r="B63" s="110">
        <v>19.78</v>
      </c>
    </row>
    <row r="64" spans="1:2" x14ac:dyDescent="0.25">
      <c r="A64" s="109">
        <v>53</v>
      </c>
      <c r="B64" s="110">
        <v>20.46</v>
      </c>
    </row>
    <row r="65" spans="1:2" x14ac:dyDescent="0.25">
      <c r="A65" s="109">
        <v>54</v>
      </c>
      <c r="B65" s="110">
        <v>21.16</v>
      </c>
    </row>
    <row r="66" spans="1:2" x14ac:dyDescent="0.25">
      <c r="A66" s="109">
        <v>55</v>
      </c>
      <c r="B66" s="110">
        <v>21.9</v>
      </c>
    </row>
    <row r="67" spans="1:2" x14ac:dyDescent="0.25">
      <c r="A67" s="109">
        <v>56</v>
      </c>
      <c r="B67" s="110">
        <v>22.67</v>
      </c>
    </row>
    <row r="68" spans="1:2" x14ac:dyDescent="0.25">
      <c r="A68" s="109">
        <v>57</v>
      </c>
      <c r="B68" s="110">
        <v>23.48</v>
      </c>
    </row>
    <row r="69" spans="1:2" x14ac:dyDescent="0.25">
      <c r="A69" s="109">
        <v>58</v>
      </c>
      <c r="B69" s="110">
        <v>24.32</v>
      </c>
    </row>
    <row r="70" spans="1:2" x14ac:dyDescent="0.25">
      <c r="A70" s="109">
        <v>59</v>
      </c>
      <c r="B70" s="110">
        <v>25.2</v>
      </c>
    </row>
    <row r="71" spans="1:2" x14ac:dyDescent="0.25">
      <c r="A71" s="109">
        <v>60</v>
      </c>
      <c r="B71" s="110">
        <v>25.36</v>
      </c>
    </row>
    <row r="72" spans="1:2" x14ac:dyDescent="0.25">
      <c r="A72" s="109">
        <v>61</v>
      </c>
      <c r="B72" s="110">
        <v>24.73</v>
      </c>
    </row>
    <row r="73" spans="1:2" x14ac:dyDescent="0.25">
      <c r="A73" s="109">
        <v>62</v>
      </c>
      <c r="B73" s="110">
        <v>24.11</v>
      </c>
    </row>
    <row r="74" spans="1:2" x14ac:dyDescent="0.25">
      <c r="A74" s="109">
        <v>63</v>
      </c>
      <c r="B74" s="110">
        <v>23.48</v>
      </c>
    </row>
    <row r="75" spans="1:2" x14ac:dyDescent="0.25">
      <c r="A75" s="109">
        <v>64</v>
      </c>
      <c r="B75" s="110">
        <v>22.85</v>
      </c>
    </row>
    <row r="76" spans="1:2" x14ac:dyDescent="0.25">
      <c r="A76" s="109">
        <v>65</v>
      </c>
      <c r="B76" s="110">
        <v>22.22</v>
      </c>
    </row>
    <row r="77" spans="1:2" x14ac:dyDescent="0.25">
      <c r="A77" s="109">
        <v>66</v>
      </c>
      <c r="B77" s="110">
        <v>21.58</v>
      </c>
    </row>
    <row r="78" spans="1:2" x14ac:dyDescent="0.25">
      <c r="A78" s="109">
        <v>67</v>
      </c>
      <c r="B78" s="110">
        <v>20.95</v>
      </c>
    </row>
    <row r="79" spans="1:2" x14ac:dyDescent="0.25">
      <c r="A79" s="109">
        <v>68</v>
      </c>
      <c r="B79" s="110">
        <v>20.32</v>
      </c>
    </row>
    <row r="80" spans="1:2" x14ac:dyDescent="0.25">
      <c r="A80" s="109">
        <v>69</v>
      </c>
      <c r="B80" s="110">
        <v>19.690000000000001</v>
      </c>
    </row>
    <row r="81" spans="1:2" x14ac:dyDescent="0.25">
      <c r="A81" s="109">
        <v>70</v>
      </c>
      <c r="B81" s="110">
        <v>19.05</v>
      </c>
    </row>
    <row r="82" spans="1:2" x14ac:dyDescent="0.25">
      <c r="A82" s="109">
        <v>71</v>
      </c>
      <c r="B82" s="110">
        <v>18.43</v>
      </c>
    </row>
    <row r="83" spans="1:2" x14ac:dyDescent="0.25">
      <c r="A83" s="109">
        <v>72</v>
      </c>
      <c r="B83" s="110">
        <v>17.809999999999999</v>
      </c>
    </row>
    <row r="84" spans="1:2" x14ac:dyDescent="0.25">
      <c r="A84" s="109">
        <v>73</v>
      </c>
      <c r="B84" s="110">
        <v>17.2</v>
      </c>
    </row>
    <row r="85" spans="1:2" x14ac:dyDescent="0.25">
      <c r="A85" s="109">
        <v>74</v>
      </c>
      <c r="B85" s="110">
        <v>16.600000000000001</v>
      </c>
    </row>
    <row r="86" spans="1:2" x14ac:dyDescent="0.25">
      <c r="A86" s="109">
        <v>75</v>
      </c>
      <c r="B86" s="110">
        <v>16.29</v>
      </c>
    </row>
  </sheetData>
  <conditionalFormatting sqref="A6:A21">
    <cfRule type="expression" dxfId="309" priority="3" stopIfTrue="1">
      <formula>MOD(ROW(),2)=0</formula>
    </cfRule>
    <cfRule type="expression" dxfId="308" priority="4" stopIfTrue="1">
      <formula>MOD(ROW(),2)&lt;&gt;0</formula>
    </cfRule>
  </conditionalFormatting>
  <conditionalFormatting sqref="A26:A86">
    <cfRule type="expression" dxfId="307" priority="7" stopIfTrue="1">
      <formula>MOD(ROW(),2)=0</formula>
    </cfRule>
    <cfRule type="expression" dxfId="306" priority="8" stopIfTrue="1">
      <formula>MOD(ROW(),2)&lt;&gt;0</formula>
    </cfRule>
  </conditionalFormatting>
  <conditionalFormatting sqref="B6:B21">
    <cfRule type="expression" dxfId="305" priority="21" stopIfTrue="1">
      <formula>MOD(ROW(),2)=0</formula>
    </cfRule>
    <cfRule type="expression" dxfId="304" priority="22" stopIfTrue="1">
      <formula>MOD(ROW(),2)&lt;&gt;0</formula>
    </cfRule>
  </conditionalFormatting>
  <conditionalFormatting sqref="B18:B21">
    <cfRule type="expression" dxfId="303" priority="1" stopIfTrue="1">
      <formula>MOD(ROW(),2)=0</formula>
    </cfRule>
    <cfRule type="expression" dxfId="302" priority="2" stopIfTrue="1">
      <formula>MOD(ROW(),2)&lt;&gt;0</formula>
    </cfRule>
  </conditionalFormatting>
  <conditionalFormatting sqref="B26:B86">
    <cfRule type="expression" dxfId="301" priority="9" stopIfTrue="1">
      <formula>MOD(ROW(),2)=0</formula>
    </cfRule>
    <cfRule type="expression" dxfId="300" priority="10" stopIfTrue="1">
      <formula>MOD(ROW(),2)&lt;&gt;0</formula>
    </cfRule>
  </conditionalFormatting>
  <hyperlinks>
    <hyperlink ref="B24" location="Assumptions!A1" display="Assumptions" xr:uid="{C9B1CC49-4EE9-4825-B043-53C95D226E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0"/>
  <dimension ref="A1:I86"/>
  <sheetViews>
    <sheetView workbookViewId="0"/>
  </sheetViews>
  <sheetFormatPr defaultColWidth="10" defaultRowHeight="12.5" x14ac:dyDescent="0.25"/>
  <cols>
    <col min="1" max="1" width="31.54296875" style="28" customWidth="1"/>
    <col min="2" max="2" width="22.54296875" style="28" customWidth="1"/>
    <col min="3" max="3" width="10.17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x-710</v>
      </c>
      <c r="B3" s="56"/>
      <c r="C3" s="56"/>
      <c r="D3" s="56"/>
      <c r="E3" s="56"/>
      <c r="F3" s="56"/>
      <c r="G3" s="56"/>
      <c r="H3" s="56"/>
      <c r="I3" s="56"/>
    </row>
    <row r="4" spans="1:9" x14ac:dyDescent="0.25">
      <c r="A4" s="58"/>
    </row>
    <row r="6" spans="1:9" ht="13" x14ac:dyDescent="0.3">
      <c r="A6" s="92" t="s">
        <v>716</v>
      </c>
      <c r="B6" s="181" t="s">
        <v>717</v>
      </c>
    </row>
    <row r="7" spans="1:9" ht="43.5" customHeight="1" x14ac:dyDescent="0.25">
      <c r="A7" s="94" t="s">
        <v>797</v>
      </c>
      <c r="B7" s="181" t="s">
        <v>326</v>
      </c>
    </row>
    <row r="8" spans="1:9" x14ac:dyDescent="0.25">
      <c r="A8" s="94" t="s">
        <v>798</v>
      </c>
      <c r="B8" s="181" t="s">
        <v>629</v>
      </c>
    </row>
    <row r="9" spans="1:9" x14ac:dyDescent="0.25">
      <c r="A9" s="94" t="s">
        <v>300</v>
      </c>
      <c r="B9" s="181" t="s">
        <v>601</v>
      </c>
    </row>
    <row r="10" spans="1:9" x14ac:dyDescent="0.25">
      <c r="A10" s="94" t="s">
        <v>6</v>
      </c>
      <c r="B10" s="181" t="s">
        <v>630</v>
      </c>
    </row>
    <row r="11" spans="1:9" x14ac:dyDescent="0.25">
      <c r="A11" s="94" t="s">
        <v>301</v>
      </c>
      <c r="B11" s="181" t="s">
        <v>319</v>
      </c>
    </row>
    <row r="12" spans="1:9" x14ac:dyDescent="0.25">
      <c r="A12" s="94" t="s">
        <v>302</v>
      </c>
      <c r="B12" s="181" t="s">
        <v>335</v>
      </c>
    </row>
    <row r="13" spans="1:9" x14ac:dyDescent="0.25">
      <c r="A13" s="94" t="s">
        <v>813</v>
      </c>
      <c r="B13" s="181">
        <v>1</v>
      </c>
    </row>
    <row r="14" spans="1:9" x14ac:dyDescent="0.25">
      <c r="A14" s="94" t="s">
        <v>304</v>
      </c>
      <c r="B14" s="181">
        <v>710</v>
      </c>
    </row>
    <row r="15" spans="1:9" x14ac:dyDescent="0.25">
      <c r="A15" s="94" t="s">
        <v>727</v>
      </c>
      <c r="B15" s="181" t="s">
        <v>631</v>
      </c>
    </row>
    <row r="16" spans="1:9" x14ac:dyDescent="0.25">
      <c r="A16" s="94" t="s">
        <v>306</v>
      </c>
      <c r="B16" s="181" t="s">
        <v>632</v>
      </c>
    </row>
    <row r="17" spans="1:2" ht="101.15" customHeight="1" x14ac:dyDescent="0.25">
      <c r="A17" s="94" t="s">
        <v>800</v>
      </c>
      <c r="B17" s="181"/>
    </row>
    <row r="18" spans="1:2" x14ac:dyDescent="0.25">
      <c r="A18" s="94" t="s">
        <v>308</v>
      </c>
      <c r="B18" s="185">
        <v>45184</v>
      </c>
    </row>
    <row r="19" spans="1:2" x14ac:dyDescent="0.25">
      <c r="A19" s="94" t="s">
        <v>309</v>
      </c>
      <c r="B19" s="185">
        <v>45383</v>
      </c>
    </row>
    <row r="20" spans="1:2" x14ac:dyDescent="0.25">
      <c r="A20" s="94" t="s">
        <v>310</v>
      </c>
      <c r="B20" s="181" t="s">
        <v>324</v>
      </c>
    </row>
    <row r="21" spans="1:2" x14ac:dyDescent="0.25">
      <c r="A21" s="87" t="s">
        <v>311</v>
      </c>
      <c r="B21" s="181" t="s">
        <v>325</v>
      </c>
    </row>
    <row r="23" spans="1:2" x14ac:dyDescent="0.25">
      <c r="B23" s="104" t="str">
        <f>HYPERLINK("#'Factor List'!A1","Back to Factor List")</f>
        <v>Back to Factor List</v>
      </c>
    </row>
    <row r="24" spans="1:2" x14ac:dyDescent="0.25">
      <c r="B24" s="104" t="s">
        <v>13</v>
      </c>
    </row>
    <row r="26" spans="1:2" ht="13" x14ac:dyDescent="0.25">
      <c r="A26" s="108" t="s">
        <v>534</v>
      </c>
      <c r="B26" s="108" t="s">
        <v>978</v>
      </c>
    </row>
    <row r="27" spans="1:2" x14ac:dyDescent="0.25">
      <c r="A27" s="109">
        <v>16</v>
      </c>
      <c r="B27" s="110">
        <v>5.0999999999999996</v>
      </c>
    </row>
    <row r="28" spans="1:2" x14ac:dyDescent="0.25">
      <c r="A28" s="109">
        <v>17</v>
      </c>
      <c r="B28" s="110">
        <v>5.3</v>
      </c>
    </row>
    <row r="29" spans="1:2" x14ac:dyDescent="0.25">
      <c r="A29" s="109">
        <v>18</v>
      </c>
      <c r="B29" s="110">
        <v>5.5</v>
      </c>
    </row>
    <row r="30" spans="1:2" x14ac:dyDescent="0.25">
      <c r="A30" s="109">
        <v>19</v>
      </c>
      <c r="B30" s="110">
        <v>5.69</v>
      </c>
    </row>
    <row r="31" spans="1:2" x14ac:dyDescent="0.25">
      <c r="A31" s="109">
        <v>20</v>
      </c>
      <c r="B31" s="110">
        <v>5.9</v>
      </c>
    </row>
    <row r="32" spans="1:2" x14ac:dyDescent="0.25">
      <c r="A32" s="109">
        <v>21</v>
      </c>
      <c r="B32" s="110">
        <v>6.1</v>
      </c>
    </row>
    <row r="33" spans="1:2" x14ac:dyDescent="0.25">
      <c r="A33" s="109">
        <v>22</v>
      </c>
      <c r="B33" s="110">
        <v>6.31</v>
      </c>
    </row>
    <row r="34" spans="1:2" x14ac:dyDescent="0.25">
      <c r="A34" s="109">
        <v>23</v>
      </c>
      <c r="B34" s="110">
        <v>6.53</v>
      </c>
    </row>
    <row r="35" spans="1:2" x14ac:dyDescent="0.25">
      <c r="A35" s="109">
        <v>24</v>
      </c>
      <c r="B35" s="110">
        <v>6.75</v>
      </c>
    </row>
    <row r="36" spans="1:2" x14ac:dyDescent="0.25">
      <c r="A36" s="109">
        <v>25</v>
      </c>
      <c r="B36" s="110">
        <v>6.99</v>
      </c>
    </row>
    <row r="37" spans="1:2" x14ac:dyDescent="0.25">
      <c r="A37" s="109">
        <v>26</v>
      </c>
      <c r="B37" s="110">
        <v>7.23</v>
      </c>
    </row>
    <row r="38" spans="1:2" x14ac:dyDescent="0.25">
      <c r="A38" s="109">
        <v>27</v>
      </c>
      <c r="B38" s="110">
        <v>7.49</v>
      </c>
    </row>
    <row r="39" spans="1:2" x14ac:dyDescent="0.25">
      <c r="A39" s="109">
        <v>28</v>
      </c>
      <c r="B39" s="110">
        <v>7.74</v>
      </c>
    </row>
    <row r="40" spans="1:2" x14ac:dyDescent="0.25">
      <c r="A40" s="109">
        <v>29</v>
      </c>
      <c r="B40" s="110">
        <v>8.02</v>
      </c>
    </row>
    <row r="41" spans="1:2" x14ac:dyDescent="0.25">
      <c r="A41" s="109">
        <v>30</v>
      </c>
      <c r="B41" s="110">
        <v>8.2899999999999991</v>
      </c>
    </row>
    <row r="42" spans="1:2" x14ac:dyDescent="0.25">
      <c r="A42" s="109">
        <v>31</v>
      </c>
      <c r="B42" s="110">
        <v>8.58</v>
      </c>
    </row>
    <row r="43" spans="1:2" x14ac:dyDescent="0.25">
      <c r="A43" s="109">
        <v>32</v>
      </c>
      <c r="B43" s="110">
        <v>8.8699999999999992</v>
      </c>
    </row>
    <row r="44" spans="1:2" x14ac:dyDescent="0.25">
      <c r="A44" s="109">
        <v>33</v>
      </c>
      <c r="B44" s="110">
        <v>9.18</v>
      </c>
    </row>
    <row r="45" spans="1:2" x14ac:dyDescent="0.25">
      <c r="A45" s="109">
        <v>34</v>
      </c>
      <c r="B45" s="110">
        <v>9.5</v>
      </c>
    </row>
    <row r="46" spans="1:2" x14ac:dyDescent="0.25">
      <c r="A46" s="109">
        <v>35</v>
      </c>
      <c r="B46" s="110">
        <v>9.81</v>
      </c>
    </row>
    <row r="47" spans="1:2" x14ac:dyDescent="0.25">
      <c r="A47" s="109">
        <v>36</v>
      </c>
      <c r="B47" s="110">
        <v>10.15</v>
      </c>
    </row>
    <row r="48" spans="1:2" x14ac:dyDescent="0.25">
      <c r="A48" s="109">
        <v>37</v>
      </c>
      <c r="B48" s="110">
        <v>10.5</v>
      </c>
    </row>
    <row r="49" spans="1:2" x14ac:dyDescent="0.25">
      <c r="A49" s="109">
        <v>38</v>
      </c>
      <c r="B49" s="110">
        <v>10.85</v>
      </c>
    </row>
    <row r="50" spans="1:2" x14ac:dyDescent="0.25">
      <c r="A50" s="109">
        <v>39</v>
      </c>
      <c r="B50" s="110">
        <v>11.22</v>
      </c>
    </row>
    <row r="51" spans="1:2" x14ac:dyDescent="0.25">
      <c r="A51" s="109">
        <v>40</v>
      </c>
      <c r="B51" s="110">
        <v>11.6</v>
      </c>
    </row>
    <row r="52" spans="1:2" x14ac:dyDescent="0.25">
      <c r="A52" s="109">
        <v>41</v>
      </c>
      <c r="B52" s="110">
        <v>12</v>
      </c>
    </row>
    <row r="53" spans="1:2" x14ac:dyDescent="0.25">
      <c r="A53" s="109">
        <v>42</v>
      </c>
      <c r="B53" s="110">
        <v>12.39</v>
      </c>
    </row>
    <row r="54" spans="1:2" x14ac:dyDescent="0.25">
      <c r="A54" s="109">
        <v>43</v>
      </c>
      <c r="B54" s="110">
        <v>12.81</v>
      </c>
    </row>
    <row r="55" spans="1:2" x14ac:dyDescent="0.25">
      <c r="A55" s="109">
        <v>44</v>
      </c>
      <c r="B55" s="110">
        <v>13.25</v>
      </c>
    </row>
    <row r="56" spans="1:2" x14ac:dyDescent="0.25">
      <c r="A56" s="109">
        <v>45</v>
      </c>
      <c r="B56" s="110">
        <v>13.7</v>
      </c>
    </row>
    <row r="57" spans="1:2" x14ac:dyDescent="0.25">
      <c r="A57" s="109">
        <v>46</v>
      </c>
      <c r="B57" s="110">
        <v>14.16</v>
      </c>
    </row>
    <row r="58" spans="1:2" x14ac:dyDescent="0.25">
      <c r="A58" s="109">
        <v>47</v>
      </c>
      <c r="B58" s="110">
        <v>14.64</v>
      </c>
    </row>
    <row r="59" spans="1:2" x14ac:dyDescent="0.25">
      <c r="A59" s="109">
        <v>48</v>
      </c>
      <c r="B59" s="110">
        <v>15.13</v>
      </c>
    </row>
    <row r="60" spans="1:2" x14ac:dyDescent="0.25">
      <c r="A60" s="109">
        <v>49</v>
      </c>
      <c r="B60" s="110">
        <v>15.64</v>
      </c>
    </row>
    <row r="61" spans="1:2" x14ac:dyDescent="0.25">
      <c r="A61" s="109">
        <v>50</v>
      </c>
      <c r="B61" s="110">
        <v>16.170000000000002</v>
      </c>
    </row>
    <row r="62" spans="1:2" x14ac:dyDescent="0.25">
      <c r="A62" s="109">
        <v>51</v>
      </c>
      <c r="B62" s="110">
        <v>16.71</v>
      </c>
    </row>
    <row r="63" spans="1:2" x14ac:dyDescent="0.25">
      <c r="A63" s="109">
        <v>52</v>
      </c>
      <c r="B63" s="110">
        <v>17.28</v>
      </c>
    </row>
    <row r="64" spans="1:2" x14ac:dyDescent="0.25">
      <c r="A64" s="109">
        <v>53</v>
      </c>
      <c r="B64" s="110">
        <v>17.86</v>
      </c>
    </row>
    <row r="65" spans="1:2" x14ac:dyDescent="0.25">
      <c r="A65" s="109">
        <v>54</v>
      </c>
      <c r="B65" s="110">
        <v>18.47</v>
      </c>
    </row>
    <row r="66" spans="1:2" x14ac:dyDescent="0.25">
      <c r="A66" s="109">
        <v>55</v>
      </c>
      <c r="B66" s="110">
        <v>19.11</v>
      </c>
    </row>
    <row r="67" spans="1:2" x14ac:dyDescent="0.25">
      <c r="A67" s="109">
        <v>56</v>
      </c>
      <c r="B67" s="110">
        <v>19.78</v>
      </c>
    </row>
    <row r="68" spans="1:2" x14ac:dyDescent="0.25">
      <c r="A68" s="109">
        <v>57</v>
      </c>
      <c r="B68" s="110">
        <v>20.47</v>
      </c>
    </row>
    <row r="69" spans="1:2" x14ac:dyDescent="0.25">
      <c r="A69" s="109">
        <v>58</v>
      </c>
      <c r="B69" s="110">
        <v>21.21</v>
      </c>
    </row>
    <row r="70" spans="1:2" x14ac:dyDescent="0.25">
      <c r="A70" s="109">
        <v>59</v>
      </c>
      <c r="B70" s="110">
        <v>21.97</v>
      </c>
    </row>
    <row r="71" spans="1:2" x14ac:dyDescent="0.25">
      <c r="A71" s="109">
        <v>60</v>
      </c>
      <c r="B71" s="110">
        <v>22.05</v>
      </c>
    </row>
    <row r="72" spans="1:2" x14ac:dyDescent="0.25">
      <c r="A72" s="109">
        <v>61</v>
      </c>
      <c r="B72" s="110">
        <v>21.43</v>
      </c>
    </row>
    <row r="73" spans="1:2" x14ac:dyDescent="0.25">
      <c r="A73" s="109">
        <v>62</v>
      </c>
      <c r="B73" s="110">
        <v>20.81</v>
      </c>
    </row>
    <row r="74" spans="1:2" x14ac:dyDescent="0.25">
      <c r="A74" s="109">
        <v>63</v>
      </c>
      <c r="B74" s="110">
        <v>20.190000000000001</v>
      </c>
    </row>
    <row r="75" spans="1:2" x14ac:dyDescent="0.25">
      <c r="A75" s="109">
        <v>64</v>
      </c>
      <c r="B75" s="110">
        <v>19.55</v>
      </c>
    </row>
    <row r="76" spans="1:2" x14ac:dyDescent="0.25">
      <c r="A76" s="109">
        <v>65</v>
      </c>
      <c r="B76" s="110">
        <v>18.920000000000002</v>
      </c>
    </row>
    <row r="77" spans="1:2" x14ac:dyDescent="0.25">
      <c r="A77" s="109">
        <v>66</v>
      </c>
      <c r="B77" s="110">
        <v>18.29</v>
      </c>
    </row>
    <row r="78" spans="1:2" x14ac:dyDescent="0.25">
      <c r="A78" s="109">
        <v>67</v>
      </c>
      <c r="B78" s="110">
        <v>17.66</v>
      </c>
    </row>
    <row r="79" spans="1:2" x14ac:dyDescent="0.25">
      <c r="A79" s="109">
        <v>68</v>
      </c>
      <c r="B79" s="110">
        <v>17.02</v>
      </c>
    </row>
    <row r="80" spans="1:2" x14ac:dyDescent="0.25">
      <c r="A80" s="109">
        <v>69</v>
      </c>
      <c r="B80" s="110">
        <v>16.39</v>
      </c>
    </row>
    <row r="81" spans="1:2" x14ac:dyDescent="0.25">
      <c r="A81" s="109">
        <v>70</v>
      </c>
      <c r="B81" s="110">
        <v>15.76</v>
      </c>
    </row>
    <row r="82" spans="1:2" x14ac:dyDescent="0.25">
      <c r="A82" s="109">
        <v>71</v>
      </c>
      <c r="B82" s="110">
        <v>15.14</v>
      </c>
    </row>
    <row r="83" spans="1:2" x14ac:dyDescent="0.25">
      <c r="A83" s="109">
        <v>72</v>
      </c>
      <c r="B83" s="110">
        <v>14.52</v>
      </c>
    </row>
    <row r="84" spans="1:2" x14ac:dyDescent="0.25">
      <c r="A84" s="109">
        <v>73</v>
      </c>
      <c r="B84" s="110">
        <v>13.91</v>
      </c>
    </row>
    <row r="85" spans="1:2" x14ac:dyDescent="0.25">
      <c r="A85" s="109">
        <v>74</v>
      </c>
      <c r="B85" s="110">
        <v>13.31</v>
      </c>
    </row>
    <row r="86" spans="1:2" x14ac:dyDescent="0.25">
      <c r="A86" s="109">
        <v>75</v>
      </c>
      <c r="B86" s="110">
        <v>13.02</v>
      </c>
    </row>
  </sheetData>
  <conditionalFormatting sqref="A6:A21">
    <cfRule type="expression" dxfId="299" priority="3" stopIfTrue="1">
      <formula>MOD(ROW(),2)=0</formula>
    </cfRule>
    <cfRule type="expression" dxfId="298" priority="4" stopIfTrue="1">
      <formula>MOD(ROW(),2)&lt;&gt;0</formula>
    </cfRule>
  </conditionalFormatting>
  <conditionalFormatting sqref="A26:A86">
    <cfRule type="expression" dxfId="297" priority="7" stopIfTrue="1">
      <formula>MOD(ROW(),2)=0</formula>
    </cfRule>
    <cfRule type="expression" dxfId="296" priority="8" stopIfTrue="1">
      <formula>MOD(ROW(),2)&lt;&gt;0</formula>
    </cfRule>
  </conditionalFormatting>
  <conditionalFormatting sqref="B6:B21">
    <cfRule type="expression" dxfId="295" priority="21" stopIfTrue="1">
      <formula>MOD(ROW(),2)=0</formula>
    </cfRule>
    <cfRule type="expression" dxfId="294" priority="22" stopIfTrue="1">
      <formula>MOD(ROW(),2)&lt;&gt;0</formula>
    </cfRule>
  </conditionalFormatting>
  <conditionalFormatting sqref="B18:B21">
    <cfRule type="expression" dxfId="293" priority="1" stopIfTrue="1">
      <formula>MOD(ROW(),2)=0</formula>
    </cfRule>
    <cfRule type="expression" dxfId="292" priority="2" stopIfTrue="1">
      <formula>MOD(ROW(),2)&lt;&gt;0</formula>
    </cfRule>
  </conditionalFormatting>
  <conditionalFormatting sqref="B26:B86">
    <cfRule type="expression" dxfId="291" priority="9" stopIfTrue="1">
      <formula>MOD(ROW(),2)=0</formula>
    </cfRule>
    <cfRule type="expression" dxfId="290" priority="10" stopIfTrue="1">
      <formula>MOD(ROW(),2)&lt;&gt;0</formula>
    </cfRule>
  </conditionalFormatting>
  <hyperlinks>
    <hyperlink ref="B24" location="Assumptions!A1" display="Assumptions" xr:uid="{6BF57887-4F76-4C5E-B4F5-5314E0DBE4B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1"/>
  <dimension ref="A1:I86"/>
  <sheetViews>
    <sheetView workbookViewId="0"/>
  </sheetViews>
  <sheetFormatPr defaultColWidth="10" defaultRowHeight="12.5" x14ac:dyDescent="0.25"/>
  <cols>
    <col min="1" max="1" width="31.54296875" style="28" customWidth="1"/>
    <col min="2" max="4" width="22.54296875" style="28" customWidth="1"/>
    <col min="5"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Added pension - x-711</v>
      </c>
      <c r="B3" s="56"/>
      <c r="C3" s="56"/>
      <c r="D3" s="56"/>
      <c r="E3" s="56"/>
      <c r="F3" s="56"/>
      <c r="G3" s="56"/>
      <c r="H3" s="56"/>
      <c r="I3" s="56"/>
    </row>
    <row r="4" spans="1:9" x14ac:dyDescent="0.25">
      <c r="A4" s="58"/>
    </row>
    <row r="6" spans="1:9" ht="13" x14ac:dyDescent="0.3">
      <c r="A6" s="92" t="s">
        <v>716</v>
      </c>
      <c r="B6" s="181" t="s">
        <v>717</v>
      </c>
      <c r="C6" s="181"/>
      <c r="D6" s="181"/>
    </row>
    <row r="7" spans="1:9" x14ac:dyDescent="0.25">
      <c r="A7" s="94" t="s">
        <v>797</v>
      </c>
      <c r="B7" s="181" t="s">
        <v>326</v>
      </c>
      <c r="C7" s="181"/>
      <c r="D7" s="181"/>
    </row>
    <row r="8" spans="1:9" x14ac:dyDescent="0.25">
      <c r="A8" s="94" t="s">
        <v>798</v>
      </c>
      <c r="B8" s="181" t="s">
        <v>96</v>
      </c>
      <c r="C8" s="181"/>
      <c r="D8" s="181"/>
    </row>
    <row r="9" spans="1:9" x14ac:dyDescent="0.25">
      <c r="A9" s="94" t="s">
        <v>300</v>
      </c>
      <c r="B9" s="181" t="s">
        <v>601</v>
      </c>
      <c r="C9" s="181"/>
      <c r="D9" s="181"/>
    </row>
    <row r="10" spans="1:9" x14ac:dyDescent="0.25">
      <c r="A10" s="94" t="s">
        <v>6</v>
      </c>
      <c r="B10" s="181" t="s">
        <v>633</v>
      </c>
      <c r="C10" s="181"/>
      <c r="D10" s="181"/>
    </row>
    <row r="11" spans="1:9" x14ac:dyDescent="0.25">
      <c r="A11" s="94" t="s">
        <v>301</v>
      </c>
      <c r="B11" s="181" t="s">
        <v>334</v>
      </c>
      <c r="C11" s="181"/>
      <c r="D11" s="181"/>
    </row>
    <row r="12" spans="1:9" x14ac:dyDescent="0.25">
      <c r="A12" s="94" t="s">
        <v>302</v>
      </c>
      <c r="B12" s="181" t="s">
        <v>335</v>
      </c>
      <c r="C12" s="181"/>
      <c r="D12" s="181"/>
    </row>
    <row r="13" spans="1:9" x14ac:dyDescent="0.25">
      <c r="A13" s="94" t="s">
        <v>813</v>
      </c>
      <c r="B13" s="181">
        <v>1</v>
      </c>
      <c r="C13" s="181"/>
      <c r="D13" s="181"/>
    </row>
    <row r="14" spans="1:9" x14ac:dyDescent="0.25">
      <c r="A14" s="94" t="s">
        <v>304</v>
      </c>
      <c r="B14" s="181">
        <v>711</v>
      </c>
      <c r="C14" s="181"/>
      <c r="D14" s="181"/>
    </row>
    <row r="15" spans="1:9" x14ac:dyDescent="0.25">
      <c r="A15" s="94" t="s">
        <v>727</v>
      </c>
      <c r="B15" s="181" t="s">
        <v>634</v>
      </c>
      <c r="C15" s="181"/>
      <c r="D15" s="181"/>
    </row>
    <row r="16" spans="1:9" x14ac:dyDescent="0.25">
      <c r="A16" s="94" t="s">
        <v>306</v>
      </c>
      <c r="B16" s="181" t="s">
        <v>635</v>
      </c>
      <c r="C16" s="181"/>
      <c r="D16" s="181"/>
    </row>
    <row r="17" spans="1:4" x14ac:dyDescent="0.25">
      <c r="A17" s="94" t="s">
        <v>800</v>
      </c>
      <c r="B17" s="181"/>
      <c r="C17" s="181"/>
      <c r="D17" s="181"/>
    </row>
    <row r="18" spans="1:4" x14ac:dyDescent="0.25">
      <c r="A18" s="94" t="s">
        <v>308</v>
      </c>
      <c r="B18" s="185">
        <v>45184</v>
      </c>
      <c r="C18" s="181"/>
      <c r="D18" s="181"/>
    </row>
    <row r="19" spans="1:4" x14ac:dyDescent="0.25">
      <c r="A19" s="94" t="s">
        <v>309</v>
      </c>
      <c r="B19" s="185">
        <v>45383</v>
      </c>
      <c r="C19" s="181"/>
      <c r="D19" s="181"/>
    </row>
    <row r="20" spans="1:4" x14ac:dyDescent="0.25">
      <c r="A20" s="94" t="s">
        <v>310</v>
      </c>
      <c r="B20" s="181" t="s">
        <v>324</v>
      </c>
      <c r="C20" s="181"/>
      <c r="D20" s="181"/>
    </row>
    <row r="21" spans="1:4" x14ac:dyDescent="0.25">
      <c r="A21" s="87" t="s">
        <v>311</v>
      </c>
      <c r="B21" s="181" t="s">
        <v>325</v>
      </c>
      <c r="C21" s="181"/>
      <c r="D21" s="181"/>
    </row>
    <row r="23" spans="1:4" x14ac:dyDescent="0.25">
      <c r="B23" s="104" t="str">
        <f>HYPERLINK("#'Factor List'!A1","Back to Factor List")</f>
        <v>Back to Factor List</v>
      </c>
    </row>
    <row r="24" spans="1:4" x14ac:dyDescent="0.25">
      <c r="B24" s="104" t="s">
        <v>13</v>
      </c>
    </row>
    <row r="26" spans="1:4" ht="26" x14ac:dyDescent="0.25">
      <c r="A26" s="108" t="s">
        <v>534</v>
      </c>
      <c r="B26" s="108" t="s">
        <v>974</v>
      </c>
      <c r="C26" s="108" t="s">
        <v>975</v>
      </c>
      <c r="D26" s="108" t="s">
        <v>977</v>
      </c>
    </row>
    <row r="27" spans="1:4" x14ac:dyDescent="0.25">
      <c r="A27" s="109">
        <v>16</v>
      </c>
      <c r="B27" s="110">
        <v>3.68</v>
      </c>
      <c r="C27" s="110">
        <v>3.68</v>
      </c>
      <c r="D27" s="110">
        <v>3.96</v>
      </c>
    </row>
    <row r="28" spans="1:4" x14ac:dyDescent="0.25">
      <c r="A28" s="109">
        <v>17</v>
      </c>
      <c r="B28" s="110">
        <v>3.82</v>
      </c>
      <c r="C28" s="110">
        <v>3.82</v>
      </c>
      <c r="D28" s="110">
        <v>4.12</v>
      </c>
    </row>
    <row r="29" spans="1:4" x14ac:dyDescent="0.25">
      <c r="A29" s="109">
        <v>18</v>
      </c>
      <c r="B29" s="110">
        <v>3.96</v>
      </c>
      <c r="C29" s="110">
        <v>3.96</v>
      </c>
      <c r="D29" s="110">
        <v>4.28</v>
      </c>
    </row>
    <row r="30" spans="1:4" x14ac:dyDescent="0.25">
      <c r="A30" s="109">
        <v>19</v>
      </c>
      <c r="B30" s="110">
        <v>4.09</v>
      </c>
      <c r="C30" s="110">
        <v>4.09</v>
      </c>
      <c r="D30" s="110">
        <v>4.4400000000000004</v>
      </c>
    </row>
    <row r="31" spans="1:4" x14ac:dyDescent="0.25">
      <c r="A31" s="109">
        <v>20</v>
      </c>
      <c r="B31" s="110">
        <v>4.2300000000000004</v>
      </c>
      <c r="C31" s="110">
        <v>4.2300000000000004</v>
      </c>
      <c r="D31" s="110">
        <v>4.59</v>
      </c>
    </row>
    <row r="32" spans="1:4" x14ac:dyDescent="0.25">
      <c r="A32" s="109">
        <v>21</v>
      </c>
      <c r="B32" s="110">
        <v>4.38</v>
      </c>
      <c r="C32" s="110">
        <v>4.38</v>
      </c>
      <c r="D32" s="110">
        <v>4.74</v>
      </c>
    </row>
    <row r="33" spans="1:4" x14ac:dyDescent="0.25">
      <c r="A33" s="109">
        <v>22</v>
      </c>
      <c r="B33" s="110">
        <v>4.53</v>
      </c>
      <c r="C33" s="110">
        <v>4.53</v>
      </c>
      <c r="D33" s="110">
        <v>4.91</v>
      </c>
    </row>
    <row r="34" spans="1:4" x14ac:dyDescent="0.25">
      <c r="A34" s="109">
        <v>23</v>
      </c>
      <c r="B34" s="110">
        <v>4.68</v>
      </c>
      <c r="C34" s="110">
        <v>4.68</v>
      </c>
      <c r="D34" s="110">
        <v>5.08</v>
      </c>
    </row>
    <row r="35" spans="1:4" x14ac:dyDescent="0.25">
      <c r="A35" s="109">
        <v>24</v>
      </c>
      <c r="B35" s="110">
        <v>4.84</v>
      </c>
      <c r="C35" s="110">
        <v>4.84</v>
      </c>
      <c r="D35" s="110">
        <v>5.25</v>
      </c>
    </row>
    <row r="36" spans="1:4" x14ac:dyDescent="0.25">
      <c r="A36" s="109">
        <v>25</v>
      </c>
      <c r="B36" s="110">
        <v>5.0199999999999996</v>
      </c>
      <c r="C36" s="110">
        <v>5.0199999999999996</v>
      </c>
      <c r="D36" s="110">
        <v>5.44</v>
      </c>
    </row>
    <row r="37" spans="1:4" x14ac:dyDescent="0.25">
      <c r="A37" s="109">
        <v>26</v>
      </c>
      <c r="B37" s="110">
        <v>5.18</v>
      </c>
      <c r="C37" s="110">
        <v>5.18</v>
      </c>
      <c r="D37" s="110">
        <v>5.62</v>
      </c>
    </row>
    <row r="38" spans="1:4" x14ac:dyDescent="0.25">
      <c r="A38" s="109">
        <v>27</v>
      </c>
      <c r="B38" s="110">
        <v>5.37</v>
      </c>
      <c r="C38" s="110">
        <v>5.37</v>
      </c>
      <c r="D38" s="110">
        <v>5.81</v>
      </c>
    </row>
    <row r="39" spans="1:4" x14ac:dyDescent="0.25">
      <c r="A39" s="109">
        <v>28</v>
      </c>
      <c r="B39" s="110">
        <v>5.55</v>
      </c>
      <c r="C39" s="110">
        <v>5.55</v>
      </c>
      <c r="D39" s="110">
        <v>6.02</v>
      </c>
    </row>
    <row r="40" spans="1:4" x14ac:dyDescent="0.25">
      <c r="A40" s="109">
        <v>29</v>
      </c>
      <c r="B40" s="110">
        <v>5.74</v>
      </c>
      <c r="C40" s="110">
        <v>5.74</v>
      </c>
      <c r="D40" s="110">
        <v>6.22</v>
      </c>
    </row>
    <row r="41" spans="1:4" x14ac:dyDescent="0.25">
      <c r="A41" s="109">
        <v>30</v>
      </c>
      <c r="B41" s="110">
        <v>5.94</v>
      </c>
      <c r="C41" s="110">
        <v>5.94</v>
      </c>
      <c r="D41" s="110">
        <v>6.44</v>
      </c>
    </row>
    <row r="42" spans="1:4" x14ac:dyDescent="0.25">
      <c r="A42" s="109">
        <v>31</v>
      </c>
      <c r="B42" s="110">
        <v>6.14</v>
      </c>
      <c r="C42" s="110">
        <v>6.14</v>
      </c>
      <c r="D42" s="110">
        <v>6.65</v>
      </c>
    </row>
    <row r="43" spans="1:4" x14ac:dyDescent="0.25">
      <c r="A43" s="109">
        <v>32</v>
      </c>
      <c r="B43" s="110">
        <v>6.34</v>
      </c>
      <c r="C43" s="110">
        <v>6.34</v>
      </c>
      <c r="D43" s="110">
        <v>6.87</v>
      </c>
    </row>
    <row r="44" spans="1:4" x14ac:dyDescent="0.25">
      <c r="A44" s="109">
        <v>33</v>
      </c>
      <c r="B44" s="110">
        <v>6.56</v>
      </c>
      <c r="C44" s="110">
        <v>6.56</v>
      </c>
      <c r="D44" s="110">
        <v>7.11</v>
      </c>
    </row>
    <row r="45" spans="1:4" x14ac:dyDescent="0.25">
      <c r="A45" s="109">
        <v>34</v>
      </c>
      <c r="B45" s="110">
        <v>6.77</v>
      </c>
      <c r="C45" s="110">
        <v>6.77</v>
      </c>
      <c r="D45" s="110">
        <v>7.34</v>
      </c>
    </row>
    <row r="46" spans="1:4" x14ac:dyDescent="0.25">
      <c r="A46" s="109">
        <v>35</v>
      </c>
      <c r="B46" s="110">
        <v>7.01</v>
      </c>
      <c r="C46" s="110">
        <v>7.01</v>
      </c>
      <c r="D46" s="110">
        <v>7.59</v>
      </c>
    </row>
    <row r="47" spans="1:4" x14ac:dyDescent="0.25">
      <c r="A47" s="109">
        <v>36</v>
      </c>
      <c r="B47" s="110">
        <v>7.23</v>
      </c>
      <c r="C47" s="110">
        <v>7.23</v>
      </c>
      <c r="D47" s="110">
        <v>7.84</v>
      </c>
    </row>
    <row r="48" spans="1:4" x14ac:dyDescent="0.25">
      <c r="A48" s="109">
        <v>37</v>
      </c>
      <c r="B48" s="110">
        <v>7.48</v>
      </c>
      <c r="C48" s="110">
        <v>7.48</v>
      </c>
      <c r="D48" s="110">
        <v>8.11</v>
      </c>
    </row>
    <row r="49" spans="1:4" x14ac:dyDescent="0.25">
      <c r="A49" s="109">
        <v>38</v>
      </c>
      <c r="B49" s="110">
        <v>7.72</v>
      </c>
      <c r="C49" s="110">
        <v>7.72</v>
      </c>
      <c r="D49" s="110">
        <v>8.3699999999999992</v>
      </c>
    </row>
    <row r="50" spans="1:4" x14ac:dyDescent="0.25">
      <c r="A50" s="109">
        <v>39</v>
      </c>
      <c r="B50" s="110">
        <v>7.98</v>
      </c>
      <c r="C50" s="110">
        <v>7.98</v>
      </c>
      <c r="D50" s="110">
        <v>8.65</v>
      </c>
    </row>
    <row r="51" spans="1:4" x14ac:dyDescent="0.25">
      <c r="A51" s="109">
        <v>40</v>
      </c>
      <c r="B51" s="110">
        <v>8.24</v>
      </c>
      <c r="C51" s="110">
        <v>8.24</v>
      </c>
      <c r="D51" s="110">
        <v>8.94</v>
      </c>
    </row>
    <row r="52" spans="1:4" x14ac:dyDescent="0.25">
      <c r="A52" s="109">
        <v>41</v>
      </c>
      <c r="B52" s="110">
        <v>8.51</v>
      </c>
      <c r="C52" s="110">
        <v>8.51</v>
      </c>
      <c r="D52" s="110">
        <v>9.23</v>
      </c>
    </row>
    <row r="53" spans="1:4" x14ac:dyDescent="0.25">
      <c r="A53" s="109">
        <v>42</v>
      </c>
      <c r="B53" s="110">
        <v>8.7899999999999991</v>
      </c>
      <c r="C53" s="110">
        <v>8.7899999999999991</v>
      </c>
      <c r="D53" s="110">
        <v>9.5299999999999994</v>
      </c>
    </row>
    <row r="54" spans="1:4" x14ac:dyDescent="0.25">
      <c r="A54" s="109">
        <v>43</v>
      </c>
      <c r="B54" s="110">
        <v>9.08</v>
      </c>
      <c r="C54" s="110">
        <v>9.08</v>
      </c>
      <c r="D54" s="110">
        <v>9.84</v>
      </c>
    </row>
    <row r="55" spans="1:4" x14ac:dyDescent="0.25">
      <c r="A55" s="109">
        <v>44</v>
      </c>
      <c r="B55" s="110">
        <v>9.3699999999999992</v>
      </c>
      <c r="C55" s="110">
        <v>9.3699999999999992</v>
      </c>
      <c r="D55" s="110">
        <v>10.16</v>
      </c>
    </row>
    <row r="56" spans="1:4" x14ac:dyDescent="0.25">
      <c r="A56" s="109">
        <v>45</v>
      </c>
      <c r="B56" s="110">
        <v>9.68</v>
      </c>
      <c r="C56" s="110">
        <v>9.68</v>
      </c>
      <c r="D56" s="110">
        <v>10.5</v>
      </c>
    </row>
    <row r="57" spans="1:4" x14ac:dyDescent="0.25">
      <c r="A57" s="109">
        <v>46</v>
      </c>
      <c r="B57" s="110">
        <v>10</v>
      </c>
      <c r="C57" s="110">
        <v>10</v>
      </c>
      <c r="D57" s="110">
        <v>10.83</v>
      </c>
    </row>
    <row r="58" spans="1:4" x14ac:dyDescent="0.25">
      <c r="A58" s="109">
        <v>47</v>
      </c>
      <c r="B58" s="110">
        <v>10.32</v>
      </c>
      <c r="C58" s="110">
        <v>10.32</v>
      </c>
      <c r="D58" s="110">
        <v>11.19</v>
      </c>
    </row>
    <row r="59" spans="1:4" x14ac:dyDescent="0.25">
      <c r="A59" s="109">
        <v>48</v>
      </c>
      <c r="B59" s="110">
        <v>10.65</v>
      </c>
      <c r="C59" s="110">
        <v>10.65</v>
      </c>
      <c r="D59" s="110">
        <v>11.55</v>
      </c>
    </row>
    <row r="60" spans="1:4" x14ac:dyDescent="0.25">
      <c r="A60" s="109">
        <v>49</v>
      </c>
      <c r="B60" s="110">
        <v>11</v>
      </c>
      <c r="C60" s="110">
        <v>11</v>
      </c>
      <c r="D60" s="110">
        <v>11.91</v>
      </c>
    </row>
    <row r="61" spans="1:4" x14ac:dyDescent="0.25">
      <c r="A61" s="109">
        <v>50</v>
      </c>
      <c r="B61" s="110">
        <v>11.35</v>
      </c>
      <c r="C61" s="110">
        <v>11.35</v>
      </c>
      <c r="D61" s="110">
        <v>12.3</v>
      </c>
    </row>
    <row r="62" spans="1:4" x14ac:dyDescent="0.25">
      <c r="A62" s="109">
        <v>51</v>
      </c>
      <c r="B62" s="110">
        <v>11.72</v>
      </c>
      <c r="C62" s="110">
        <v>11.72</v>
      </c>
      <c r="D62" s="110">
        <v>12.69</v>
      </c>
    </row>
    <row r="63" spans="1:4" x14ac:dyDescent="0.25">
      <c r="A63" s="109">
        <v>52</v>
      </c>
      <c r="B63" s="110">
        <v>12.09</v>
      </c>
      <c r="C63" s="110">
        <v>12.09</v>
      </c>
      <c r="D63" s="110">
        <v>13.1</v>
      </c>
    </row>
    <row r="64" spans="1:4" x14ac:dyDescent="0.25">
      <c r="A64" s="109">
        <v>53</v>
      </c>
      <c r="B64" s="110">
        <v>12.47</v>
      </c>
      <c r="C64" s="110">
        <v>12.47</v>
      </c>
      <c r="D64" s="110">
        <v>13.5</v>
      </c>
    </row>
    <row r="65" spans="1:4" x14ac:dyDescent="0.25">
      <c r="A65" s="109">
        <v>54</v>
      </c>
      <c r="B65" s="110">
        <v>12.88</v>
      </c>
      <c r="C65" s="110">
        <v>12.88</v>
      </c>
      <c r="D65" s="110">
        <v>13.94</v>
      </c>
    </row>
    <row r="66" spans="1:4" x14ac:dyDescent="0.25">
      <c r="A66" s="109">
        <v>55</v>
      </c>
      <c r="B66" s="110">
        <v>13.3</v>
      </c>
      <c r="C66" s="110">
        <v>13.3</v>
      </c>
      <c r="D66" s="110">
        <v>14.38</v>
      </c>
    </row>
    <row r="67" spans="1:4" x14ac:dyDescent="0.25">
      <c r="A67" s="109">
        <v>56</v>
      </c>
      <c r="B67" s="110">
        <v>13.73</v>
      </c>
      <c r="C67" s="110">
        <v>13.73</v>
      </c>
      <c r="D67" s="110">
        <v>14.84</v>
      </c>
    </row>
    <row r="68" spans="1:4" x14ac:dyDescent="0.25">
      <c r="A68" s="109">
        <v>57</v>
      </c>
      <c r="B68" s="110">
        <v>14.18</v>
      </c>
      <c r="C68" s="110">
        <v>14.18</v>
      </c>
      <c r="D68" s="110">
        <v>15.32</v>
      </c>
    </row>
    <row r="69" spans="1:4" x14ac:dyDescent="0.25">
      <c r="A69" s="109">
        <v>58</v>
      </c>
      <c r="B69" s="110">
        <v>14.65</v>
      </c>
      <c r="C69" s="110">
        <v>14.65</v>
      </c>
      <c r="D69" s="110">
        <v>15.82</v>
      </c>
    </row>
    <row r="70" spans="1:4" x14ac:dyDescent="0.25">
      <c r="A70" s="109">
        <v>59</v>
      </c>
      <c r="B70" s="110">
        <v>15.13</v>
      </c>
      <c r="C70" s="110">
        <v>15.13</v>
      </c>
      <c r="D70" s="110">
        <v>16.329999999999998</v>
      </c>
    </row>
    <row r="71" spans="1:4" x14ac:dyDescent="0.25">
      <c r="A71" s="109">
        <v>60</v>
      </c>
      <c r="B71" s="110">
        <v>15.64</v>
      </c>
      <c r="C71" s="110">
        <v>15.64</v>
      </c>
      <c r="D71" s="110">
        <v>16.87</v>
      </c>
    </row>
    <row r="72" spans="1:4" x14ac:dyDescent="0.25">
      <c r="A72" s="109">
        <v>61</v>
      </c>
      <c r="B72" s="110">
        <v>16.18</v>
      </c>
      <c r="C72" s="110">
        <v>16.18</v>
      </c>
      <c r="D72" s="110">
        <v>17.440000000000001</v>
      </c>
    </row>
    <row r="73" spans="1:4" x14ac:dyDescent="0.25">
      <c r="A73" s="109">
        <v>62</v>
      </c>
      <c r="B73" s="110">
        <v>16.75</v>
      </c>
      <c r="C73" s="110">
        <v>16.75</v>
      </c>
      <c r="D73" s="110">
        <v>18.04</v>
      </c>
    </row>
    <row r="74" spans="1:4" x14ac:dyDescent="0.25">
      <c r="A74" s="109">
        <v>63</v>
      </c>
      <c r="B74" s="110">
        <v>17.350000000000001</v>
      </c>
      <c r="C74" s="110">
        <v>17.350000000000001</v>
      </c>
      <c r="D74" s="110">
        <v>18.68</v>
      </c>
    </row>
    <row r="75" spans="1:4" x14ac:dyDescent="0.25">
      <c r="A75" s="109">
        <v>64</v>
      </c>
      <c r="B75" s="110">
        <v>18</v>
      </c>
      <c r="C75" s="110">
        <v>18</v>
      </c>
      <c r="D75" s="110">
        <v>19.350000000000001</v>
      </c>
    </row>
    <row r="76" spans="1:4" x14ac:dyDescent="0.25">
      <c r="A76" s="109">
        <v>65</v>
      </c>
      <c r="B76" s="110">
        <v>18.02</v>
      </c>
      <c r="C76" s="110">
        <v>18.02</v>
      </c>
      <c r="D76" s="110">
        <v>19.38</v>
      </c>
    </row>
    <row r="77" spans="1:4" x14ac:dyDescent="0.25">
      <c r="A77" s="109">
        <v>66</v>
      </c>
      <c r="B77" s="110">
        <v>17.39</v>
      </c>
      <c r="C77" s="110">
        <v>17.39</v>
      </c>
      <c r="D77" s="110">
        <v>18.75</v>
      </c>
    </row>
    <row r="78" spans="1:4" x14ac:dyDescent="0.25">
      <c r="A78" s="109">
        <v>67</v>
      </c>
      <c r="B78" s="110">
        <v>16.760000000000002</v>
      </c>
      <c r="C78" s="110">
        <v>16.760000000000002</v>
      </c>
      <c r="D78" s="110">
        <v>18.12</v>
      </c>
    </row>
    <row r="79" spans="1:4" x14ac:dyDescent="0.25">
      <c r="A79" s="109">
        <v>68</v>
      </c>
      <c r="B79" s="110">
        <v>16.14</v>
      </c>
      <c r="C79" s="110">
        <v>16.14</v>
      </c>
      <c r="D79" s="110">
        <v>17.47</v>
      </c>
    </row>
    <row r="80" spans="1:4" x14ac:dyDescent="0.25">
      <c r="A80" s="109">
        <v>69</v>
      </c>
      <c r="B80" s="110">
        <v>15.51</v>
      </c>
      <c r="C80" s="110">
        <v>15.51</v>
      </c>
      <c r="D80" s="110">
        <v>16.84</v>
      </c>
    </row>
    <row r="81" spans="1:4" x14ac:dyDescent="0.25">
      <c r="A81" s="109">
        <v>70</v>
      </c>
      <c r="B81" s="110">
        <v>14.89</v>
      </c>
      <c r="C81" s="110">
        <v>14.89</v>
      </c>
      <c r="D81" s="110">
        <v>16.21</v>
      </c>
    </row>
    <row r="82" spans="1:4" x14ac:dyDescent="0.25">
      <c r="A82" s="109">
        <v>71</v>
      </c>
      <c r="B82" s="110">
        <v>14.28</v>
      </c>
      <c r="C82" s="110">
        <v>14.28</v>
      </c>
      <c r="D82" s="110">
        <v>15.59</v>
      </c>
    </row>
    <row r="83" spans="1:4" x14ac:dyDescent="0.25">
      <c r="A83" s="109">
        <v>72</v>
      </c>
      <c r="B83" s="110">
        <v>13.67</v>
      </c>
      <c r="C83" s="110">
        <v>13.67</v>
      </c>
      <c r="D83" s="110">
        <v>14.96</v>
      </c>
    </row>
    <row r="84" spans="1:4" x14ac:dyDescent="0.25">
      <c r="A84" s="109">
        <v>73</v>
      </c>
      <c r="B84" s="110">
        <v>13.08</v>
      </c>
      <c r="C84" s="110">
        <v>13.08</v>
      </c>
      <c r="D84" s="110">
        <v>14.34</v>
      </c>
    </row>
    <row r="85" spans="1:4" x14ac:dyDescent="0.25">
      <c r="A85" s="109">
        <v>74</v>
      </c>
      <c r="B85" s="110">
        <v>12.48</v>
      </c>
      <c r="C85" s="110">
        <v>12.48</v>
      </c>
      <c r="D85" s="110">
        <v>13.74</v>
      </c>
    </row>
    <row r="86" spans="1:4" x14ac:dyDescent="0.25">
      <c r="A86" s="109">
        <v>75</v>
      </c>
      <c r="B86" s="110">
        <v>12.2</v>
      </c>
      <c r="C86" s="110">
        <v>12.2</v>
      </c>
      <c r="D86" s="110">
        <v>13.43</v>
      </c>
    </row>
  </sheetData>
  <conditionalFormatting sqref="A6:A21">
    <cfRule type="expression" dxfId="289" priority="3" stopIfTrue="1">
      <formula>MOD(ROW(),2)=0</formula>
    </cfRule>
    <cfRule type="expression" dxfId="288" priority="4" stopIfTrue="1">
      <formula>MOD(ROW(),2)&lt;&gt;0</formula>
    </cfRule>
  </conditionalFormatting>
  <conditionalFormatting sqref="A26:A86">
    <cfRule type="expression" dxfId="287" priority="7" stopIfTrue="1">
      <formula>MOD(ROW(),2)=0</formula>
    </cfRule>
    <cfRule type="expression" dxfId="286" priority="8" stopIfTrue="1">
      <formula>MOD(ROW(),2)&lt;&gt;0</formula>
    </cfRule>
  </conditionalFormatting>
  <conditionalFormatting sqref="B18:B21">
    <cfRule type="expression" dxfId="285" priority="1" stopIfTrue="1">
      <formula>MOD(ROW(),2)=0</formula>
    </cfRule>
    <cfRule type="expression" dxfId="284" priority="2" stopIfTrue="1">
      <formula>MOD(ROW(),2)&lt;&gt;0</formula>
    </cfRule>
  </conditionalFormatting>
  <conditionalFormatting sqref="B6:D21">
    <cfRule type="expression" dxfId="283" priority="23" stopIfTrue="1">
      <formula>MOD(ROW(),2)=0</formula>
    </cfRule>
    <cfRule type="expression" dxfId="282" priority="24" stopIfTrue="1">
      <formula>MOD(ROW(),2)&lt;&gt;0</formula>
    </cfRule>
  </conditionalFormatting>
  <conditionalFormatting sqref="B26:D86">
    <cfRule type="expression" dxfId="281" priority="9" stopIfTrue="1">
      <formula>MOD(ROW(),2)=0</formula>
    </cfRule>
    <cfRule type="expression" dxfId="280" priority="10" stopIfTrue="1">
      <formula>MOD(ROW(),2)&lt;&gt;0</formula>
    </cfRule>
  </conditionalFormatting>
  <hyperlinks>
    <hyperlink ref="B24" location="Assumptions!A1" display="Assumptions" xr:uid="{70A3459A-9F2B-452A-9086-86E38013E7C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8"/>
  <dimension ref="A1:AU73"/>
  <sheetViews>
    <sheetView zoomScale="80" zoomScaleNormal="80" workbookViewId="0"/>
  </sheetViews>
  <sheetFormatPr defaultColWidth="10" defaultRowHeight="12.5" x14ac:dyDescent="0.25"/>
  <cols>
    <col min="1" max="1" width="31.54296875" style="28" customWidth="1"/>
    <col min="2" max="13" width="22.54296875" style="28" customWidth="1"/>
    <col min="14" max="15" width="10" style="28"/>
    <col min="16" max="16" width="31.54296875" style="28" customWidth="1"/>
    <col min="17" max="28" width="22.54296875" style="28" customWidth="1"/>
    <col min="29" max="30" width="10" style="28"/>
    <col min="31" max="31" width="31.54296875" style="28" customWidth="1"/>
    <col min="32" max="43" width="22.54296875" style="28" customWidth="1"/>
    <col min="44" max="45" width="10" style="28"/>
    <col min="46" max="46" width="31.54296875" style="28" customWidth="1"/>
    <col min="47" max="47" width="55.54296875" style="28" customWidth="1"/>
    <col min="48" max="16384" width="10" style="28"/>
  </cols>
  <sheetData>
    <row r="1" spans="1:47" ht="20" x14ac:dyDescent="0.4">
      <c r="A1" s="53" t="s">
        <v>0</v>
      </c>
      <c r="B1" s="54"/>
      <c r="C1" s="54"/>
      <c r="D1" s="54"/>
      <c r="E1" s="54"/>
      <c r="F1" s="54"/>
      <c r="G1" s="54"/>
      <c r="H1" s="54"/>
      <c r="I1" s="54"/>
    </row>
    <row r="2" spans="1:4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47" ht="15.5" x14ac:dyDescent="0.35">
      <c r="A3" s="57" t="str">
        <f>TABLE_FACTOR_TYPE_1&amp;" - x-"&amp;TABLE_SERIES_NUMBER_1</f>
        <v>EPA - x-717</v>
      </c>
      <c r="B3" s="56"/>
      <c r="C3" s="56"/>
      <c r="D3" s="56"/>
      <c r="E3" s="56"/>
      <c r="F3" s="56"/>
      <c r="G3" s="56"/>
      <c r="H3" s="56"/>
      <c r="I3" s="56"/>
    </row>
    <row r="4" spans="1:47" x14ac:dyDescent="0.25">
      <c r="A4" s="58"/>
    </row>
    <row r="6" spans="1:47" ht="13" x14ac:dyDescent="0.3">
      <c r="A6" s="86" t="s">
        <v>716</v>
      </c>
      <c r="B6" s="111" t="s">
        <v>717</v>
      </c>
      <c r="C6" s="111"/>
      <c r="D6" s="111"/>
      <c r="E6" s="111"/>
      <c r="F6" s="111"/>
      <c r="G6" s="111"/>
      <c r="H6" s="111"/>
      <c r="I6" s="111"/>
      <c r="J6" s="111"/>
      <c r="K6" s="111"/>
      <c r="L6" s="111"/>
      <c r="M6" s="111"/>
      <c r="P6" s="86" t="s">
        <v>716</v>
      </c>
      <c r="Q6" s="184" t="s">
        <v>717</v>
      </c>
      <c r="R6" s="88"/>
      <c r="S6" s="88"/>
      <c r="T6" s="88"/>
      <c r="U6" s="88"/>
      <c r="V6" s="88"/>
      <c r="W6" s="88"/>
      <c r="X6" s="88"/>
      <c r="Y6" s="88"/>
      <c r="Z6" s="88"/>
      <c r="AA6" s="88"/>
      <c r="AB6" s="88"/>
      <c r="AE6" s="86" t="s">
        <v>716</v>
      </c>
      <c r="AF6" s="88" t="s">
        <v>717</v>
      </c>
      <c r="AG6" s="88"/>
      <c r="AH6" s="88"/>
      <c r="AI6" s="88"/>
      <c r="AJ6" s="88"/>
      <c r="AK6" s="88"/>
      <c r="AL6" s="88"/>
      <c r="AM6" s="88"/>
      <c r="AN6" s="88"/>
      <c r="AO6" s="88"/>
      <c r="AP6" s="88"/>
      <c r="AQ6" s="88"/>
      <c r="AT6" s="86" t="s">
        <v>716</v>
      </c>
      <c r="AU6" s="88" t="s">
        <v>717</v>
      </c>
    </row>
    <row r="7" spans="1:47" ht="31.75" customHeight="1" x14ac:dyDescent="0.25">
      <c r="A7" s="87" t="s">
        <v>797</v>
      </c>
      <c r="B7" s="111" t="s">
        <v>316</v>
      </c>
      <c r="C7" s="111"/>
      <c r="D7" s="111"/>
      <c r="E7" s="111"/>
      <c r="F7" s="111"/>
      <c r="G7" s="111"/>
      <c r="H7" s="111"/>
      <c r="I7" s="111"/>
      <c r="J7" s="111"/>
      <c r="K7" s="111"/>
      <c r="L7" s="111"/>
      <c r="M7" s="111"/>
      <c r="P7" s="87" t="s">
        <v>797</v>
      </c>
      <c r="Q7" s="111" t="s">
        <v>316</v>
      </c>
      <c r="R7" s="89"/>
      <c r="S7" s="89"/>
      <c r="T7" s="89"/>
      <c r="U7" s="89"/>
      <c r="V7" s="89"/>
      <c r="W7" s="89"/>
      <c r="X7" s="89"/>
      <c r="Y7" s="89"/>
      <c r="Z7" s="89"/>
      <c r="AA7" s="89"/>
      <c r="AB7" s="89"/>
      <c r="AE7" s="87" t="s">
        <v>797</v>
      </c>
      <c r="AF7" s="89" t="s">
        <v>316</v>
      </c>
      <c r="AG7" s="89"/>
      <c r="AH7" s="89"/>
      <c r="AI7" s="89"/>
      <c r="AJ7" s="89"/>
      <c r="AK7" s="89"/>
      <c r="AL7" s="89"/>
      <c r="AM7" s="89"/>
      <c r="AN7" s="89"/>
      <c r="AO7" s="89"/>
      <c r="AP7" s="89"/>
      <c r="AQ7" s="89"/>
      <c r="AT7" s="87" t="s">
        <v>797</v>
      </c>
      <c r="AU7" s="89" t="s">
        <v>316</v>
      </c>
    </row>
    <row r="8" spans="1:47" x14ac:dyDescent="0.25">
      <c r="A8" s="87" t="s">
        <v>798</v>
      </c>
      <c r="B8" s="111" t="s">
        <v>92</v>
      </c>
      <c r="C8" s="111"/>
      <c r="D8" s="111"/>
      <c r="E8" s="111"/>
      <c r="F8" s="111"/>
      <c r="G8" s="111"/>
      <c r="H8" s="111"/>
      <c r="I8" s="111"/>
      <c r="J8" s="111"/>
      <c r="K8" s="111"/>
      <c r="L8" s="111"/>
      <c r="M8" s="111"/>
      <c r="P8" s="87" t="s">
        <v>798</v>
      </c>
      <c r="Q8" s="111" t="s">
        <v>92</v>
      </c>
      <c r="R8" s="89"/>
      <c r="S8" s="89"/>
      <c r="T8" s="89"/>
      <c r="U8" s="89"/>
      <c r="V8" s="89"/>
      <c r="W8" s="89"/>
      <c r="X8" s="89"/>
      <c r="Y8" s="89"/>
      <c r="Z8" s="89"/>
      <c r="AA8" s="89"/>
      <c r="AB8" s="89"/>
      <c r="AE8" s="87" t="s">
        <v>798</v>
      </c>
      <c r="AF8" s="89" t="s">
        <v>92</v>
      </c>
      <c r="AG8" s="89"/>
      <c r="AH8" s="89"/>
      <c r="AI8" s="89"/>
      <c r="AJ8" s="89"/>
      <c r="AK8" s="89"/>
      <c r="AL8" s="89"/>
      <c r="AM8" s="89"/>
      <c r="AN8" s="89"/>
      <c r="AO8" s="89"/>
      <c r="AP8" s="89"/>
      <c r="AQ8" s="89"/>
      <c r="AT8" s="87" t="s">
        <v>798</v>
      </c>
      <c r="AU8" s="89" t="s">
        <v>92</v>
      </c>
    </row>
    <row r="9" spans="1:47" x14ac:dyDescent="0.25">
      <c r="A9" s="87" t="s">
        <v>300</v>
      </c>
      <c r="B9" s="111" t="s">
        <v>636</v>
      </c>
      <c r="C9" s="111"/>
      <c r="D9" s="111"/>
      <c r="E9" s="111"/>
      <c r="F9" s="111"/>
      <c r="G9" s="111"/>
      <c r="H9" s="111"/>
      <c r="I9" s="111"/>
      <c r="J9" s="111"/>
      <c r="K9" s="111"/>
      <c r="L9" s="111"/>
      <c r="M9" s="111"/>
      <c r="P9" s="87" t="s">
        <v>300</v>
      </c>
      <c r="Q9" s="111" t="s">
        <v>636</v>
      </c>
      <c r="R9" s="89"/>
      <c r="S9" s="89"/>
      <c r="T9" s="89"/>
      <c r="U9" s="89"/>
      <c r="V9" s="89"/>
      <c r="W9" s="89"/>
      <c r="X9" s="89"/>
      <c r="Y9" s="89"/>
      <c r="Z9" s="89"/>
      <c r="AA9" s="89"/>
      <c r="AB9" s="89"/>
      <c r="AE9" s="87" t="s">
        <v>300</v>
      </c>
      <c r="AF9" s="89" t="s">
        <v>636</v>
      </c>
      <c r="AG9" s="89"/>
      <c r="AH9" s="89"/>
      <c r="AI9" s="89"/>
      <c r="AJ9" s="89"/>
      <c r="AK9" s="89"/>
      <c r="AL9" s="89"/>
      <c r="AM9" s="89"/>
      <c r="AN9" s="89"/>
      <c r="AO9" s="89"/>
      <c r="AP9" s="89"/>
      <c r="AQ9" s="89"/>
      <c r="AT9" s="87" t="s">
        <v>300</v>
      </c>
      <c r="AU9" s="89" t="s">
        <v>636</v>
      </c>
    </row>
    <row r="10" spans="1:47" ht="25" x14ac:dyDescent="0.25">
      <c r="A10" s="87" t="s">
        <v>6</v>
      </c>
      <c r="B10" s="111" t="s">
        <v>637</v>
      </c>
      <c r="C10" s="111"/>
      <c r="D10" s="111"/>
      <c r="E10" s="111"/>
      <c r="F10" s="111"/>
      <c r="G10" s="111"/>
      <c r="H10" s="111"/>
      <c r="I10" s="111"/>
      <c r="J10" s="111"/>
      <c r="K10" s="111"/>
      <c r="L10" s="111"/>
      <c r="M10" s="111"/>
      <c r="P10" s="87" t="s">
        <v>6</v>
      </c>
      <c r="Q10" s="111" t="s">
        <v>979</v>
      </c>
      <c r="R10" s="89"/>
      <c r="S10" s="89"/>
      <c r="T10" s="89"/>
      <c r="U10" s="89"/>
      <c r="V10" s="89"/>
      <c r="W10" s="89"/>
      <c r="X10" s="89"/>
      <c r="Y10" s="89"/>
      <c r="Z10" s="89"/>
      <c r="AA10" s="89"/>
      <c r="AB10" s="89"/>
      <c r="AE10" s="87" t="s">
        <v>6</v>
      </c>
      <c r="AF10" s="89" t="s">
        <v>980</v>
      </c>
      <c r="AG10" s="89"/>
      <c r="AH10" s="89"/>
      <c r="AI10" s="89"/>
      <c r="AJ10" s="89"/>
      <c r="AK10" s="89"/>
      <c r="AL10" s="89"/>
      <c r="AM10" s="89"/>
      <c r="AN10" s="89"/>
      <c r="AO10" s="89"/>
      <c r="AP10" s="89"/>
      <c r="AQ10" s="89"/>
      <c r="AT10" s="87" t="s">
        <v>6</v>
      </c>
      <c r="AU10" s="89" t="s">
        <v>981</v>
      </c>
    </row>
    <row r="11" spans="1:47" x14ac:dyDescent="0.25">
      <c r="A11" s="87" t="s">
        <v>301</v>
      </c>
      <c r="B11" s="111" t="s">
        <v>319</v>
      </c>
      <c r="C11" s="111"/>
      <c r="D11" s="111"/>
      <c r="E11" s="111"/>
      <c r="F11" s="111"/>
      <c r="G11" s="111"/>
      <c r="H11" s="111"/>
      <c r="I11" s="111"/>
      <c r="J11" s="111"/>
      <c r="K11" s="111"/>
      <c r="L11" s="111"/>
      <c r="M11" s="111"/>
      <c r="P11" s="87" t="s">
        <v>301</v>
      </c>
      <c r="Q11" s="111" t="s">
        <v>319</v>
      </c>
      <c r="R11" s="89"/>
      <c r="S11" s="89"/>
      <c r="T11" s="89"/>
      <c r="U11" s="89"/>
      <c r="V11" s="89"/>
      <c r="W11" s="89"/>
      <c r="X11" s="89"/>
      <c r="Y11" s="89"/>
      <c r="Z11" s="89"/>
      <c r="AA11" s="89"/>
      <c r="AB11" s="89"/>
      <c r="AE11" s="87" t="s">
        <v>301</v>
      </c>
      <c r="AF11" s="89" t="s">
        <v>319</v>
      </c>
      <c r="AG11" s="89"/>
      <c r="AH11" s="89"/>
      <c r="AI11" s="89"/>
      <c r="AJ11" s="89"/>
      <c r="AK11" s="89"/>
      <c r="AL11" s="89"/>
      <c r="AM11" s="89"/>
      <c r="AN11" s="89"/>
      <c r="AO11" s="89"/>
      <c r="AP11" s="89"/>
      <c r="AQ11" s="89"/>
      <c r="AT11" s="87" t="s">
        <v>301</v>
      </c>
      <c r="AU11" s="89" t="s">
        <v>319</v>
      </c>
    </row>
    <row r="12" spans="1:47" ht="25" x14ac:dyDescent="0.25">
      <c r="A12" s="87" t="s">
        <v>302</v>
      </c>
      <c r="B12" s="111" t="s">
        <v>638</v>
      </c>
      <c r="C12" s="111"/>
      <c r="D12" s="111"/>
      <c r="E12" s="111"/>
      <c r="F12" s="111"/>
      <c r="G12" s="111"/>
      <c r="H12" s="111"/>
      <c r="I12" s="111"/>
      <c r="J12" s="111"/>
      <c r="K12" s="111"/>
      <c r="L12" s="111"/>
      <c r="M12" s="111"/>
      <c r="P12" s="87" t="s">
        <v>302</v>
      </c>
      <c r="Q12" s="111" t="s">
        <v>638</v>
      </c>
      <c r="R12" s="89"/>
      <c r="S12" s="89"/>
      <c r="T12" s="89"/>
      <c r="U12" s="89"/>
      <c r="V12" s="89"/>
      <c r="W12" s="89"/>
      <c r="X12" s="89"/>
      <c r="Y12" s="89"/>
      <c r="Z12" s="89"/>
      <c r="AA12" s="89"/>
      <c r="AB12" s="89"/>
      <c r="AE12" s="87" t="s">
        <v>302</v>
      </c>
      <c r="AF12" s="89" t="s">
        <v>638</v>
      </c>
      <c r="AG12" s="89"/>
      <c r="AH12" s="89"/>
      <c r="AI12" s="89"/>
      <c r="AJ12" s="89"/>
      <c r="AK12" s="89"/>
      <c r="AL12" s="89"/>
      <c r="AM12" s="89"/>
      <c r="AN12" s="89"/>
      <c r="AO12" s="89"/>
      <c r="AP12" s="89"/>
      <c r="AQ12" s="89"/>
      <c r="AT12" s="87" t="s">
        <v>302</v>
      </c>
      <c r="AU12" s="89" t="s">
        <v>650</v>
      </c>
    </row>
    <row r="13" spans="1:47" x14ac:dyDescent="0.25">
      <c r="A13" s="87" t="s">
        <v>813</v>
      </c>
      <c r="B13" s="111">
        <v>0</v>
      </c>
      <c r="C13" s="111"/>
      <c r="D13" s="111"/>
      <c r="E13" s="111"/>
      <c r="F13" s="111"/>
      <c r="G13" s="111"/>
      <c r="H13" s="111"/>
      <c r="I13" s="111"/>
      <c r="J13" s="111"/>
      <c r="K13" s="111"/>
      <c r="L13" s="111"/>
      <c r="M13" s="111"/>
      <c r="P13" s="87" t="s">
        <v>813</v>
      </c>
      <c r="Q13" s="111">
        <v>0</v>
      </c>
      <c r="R13" s="89"/>
      <c r="S13" s="89"/>
      <c r="T13" s="89"/>
      <c r="U13" s="89"/>
      <c r="V13" s="89"/>
      <c r="W13" s="89"/>
      <c r="X13" s="89"/>
      <c r="Y13" s="89"/>
      <c r="Z13" s="89"/>
      <c r="AA13" s="89"/>
      <c r="AB13" s="89"/>
      <c r="AE13" s="87" t="s">
        <v>813</v>
      </c>
      <c r="AF13" s="89">
        <v>0</v>
      </c>
      <c r="AG13" s="89"/>
      <c r="AH13" s="89"/>
      <c r="AI13" s="89"/>
      <c r="AJ13" s="89"/>
      <c r="AK13" s="89"/>
      <c r="AL13" s="89"/>
      <c r="AM13" s="89"/>
      <c r="AN13" s="89"/>
      <c r="AO13" s="89"/>
      <c r="AP13" s="89"/>
      <c r="AQ13" s="89"/>
      <c r="AT13" s="87" t="s">
        <v>813</v>
      </c>
      <c r="AU13" s="89">
        <v>0</v>
      </c>
    </row>
    <row r="14" spans="1:47" x14ac:dyDescent="0.25">
      <c r="A14" s="87" t="s">
        <v>304</v>
      </c>
      <c r="B14" s="111">
        <v>717</v>
      </c>
      <c r="C14" s="111"/>
      <c r="D14" s="111"/>
      <c r="E14" s="111"/>
      <c r="F14" s="111"/>
      <c r="G14" s="111"/>
      <c r="H14" s="111"/>
      <c r="I14" s="111"/>
      <c r="J14" s="111"/>
      <c r="K14" s="111"/>
      <c r="L14" s="111"/>
      <c r="M14" s="111"/>
      <c r="P14" s="87" t="s">
        <v>304</v>
      </c>
      <c r="Q14" s="111">
        <v>717</v>
      </c>
      <c r="R14" s="89"/>
      <c r="S14" s="89"/>
      <c r="T14" s="89"/>
      <c r="U14" s="89"/>
      <c r="V14" s="89"/>
      <c r="W14" s="89"/>
      <c r="X14" s="89"/>
      <c r="Y14" s="89"/>
      <c r="Z14" s="89"/>
      <c r="AA14" s="89"/>
      <c r="AB14" s="89"/>
      <c r="AE14" s="87" t="s">
        <v>304</v>
      </c>
      <c r="AF14" s="89">
        <v>717</v>
      </c>
      <c r="AG14" s="89"/>
      <c r="AH14" s="89"/>
      <c r="AI14" s="89"/>
      <c r="AJ14" s="89"/>
      <c r="AK14" s="89"/>
      <c r="AL14" s="89"/>
      <c r="AM14" s="89"/>
      <c r="AN14" s="89"/>
      <c r="AO14" s="89"/>
      <c r="AP14" s="89"/>
      <c r="AQ14" s="89"/>
      <c r="AT14" s="87" t="s">
        <v>304</v>
      </c>
      <c r="AU14" s="89">
        <v>717</v>
      </c>
    </row>
    <row r="15" spans="1:47" x14ac:dyDescent="0.25">
      <c r="A15" s="87" t="s">
        <v>727</v>
      </c>
      <c r="B15" s="111" t="s">
        <v>639</v>
      </c>
      <c r="C15" s="111"/>
      <c r="D15" s="111"/>
      <c r="E15" s="111"/>
      <c r="F15" s="111"/>
      <c r="G15" s="111"/>
      <c r="H15" s="111"/>
      <c r="I15" s="111"/>
      <c r="J15" s="111"/>
      <c r="K15" s="111"/>
      <c r="L15" s="111"/>
      <c r="M15" s="111"/>
      <c r="P15" s="87" t="s">
        <v>727</v>
      </c>
      <c r="Q15" s="111" t="s">
        <v>982</v>
      </c>
      <c r="R15" s="89"/>
      <c r="S15" s="89"/>
      <c r="T15" s="89"/>
      <c r="U15" s="89"/>
      <c r="V15" s="89"/>
      <c r="W15" s="89"/>
      <c r="X15" s="89"/>
      <c r="Y15" s="89"/>
      <c r="Z15" s="89"/>
      <c r="AA15" s="89"/>
      <c r="AB15" s="89"/>
      <c r="AE15" s="87" t="s">
        <v>727</v>
      </c>
      <c r="AF15" s="89" t="s">
        <v>983</v>
      </c>
      <c r="AG15" s="89"/>
      <c r="AH15" s="89"/>
      <c r="AI15" s="89"/>
      <c r="AJ15" s="89"/>
      <c r="AK15" s="89"/>
      <c r="AL15" s="89"/>
      <c r="AM15" s="89"/>
      <c r="AN15" s="89"/>
      <c r="AO15" s="89"/>
      <c r="AP15" s="89"/>
      <c r="AQ15" s="89"/>
      <c r="AT15" s="87" t="s">
        <v>727</v>
      </c>
      <c r="AU15" s="89" t="s">
        <v>984</v>
      </c>
    </row>
    <row r="16" spans="1:47" x14ac:dyDescent="0.25">
      <c r="A16" s="87" t="s">
        <v>306</v>
      </c>
      <c r="B16" s="111" t="s">
        <v>640</v>
      </c>
      <c r="C16" s="111"/>
      <c r="D16" s="111"/>
      <c r="E16" s="111"/>
      <c r="F16" s="111"/>
      <c r="G16" s="111"/>
      <c r="H16" s="111"/>
      <c r="I16" s="111"/>
      <c r="J16" s="111"/>
      <c r="K16" s="111"/>
      <c r="L16" s="111"/>
      <c r="M16" s="111"/>
      <c r="P16" s="87" t="s">
        <v>306</v>
      </c>
      <c r="Q16" s="111" t="s">
        <v>640</v>
      </c>
      <c r="R16" s="89"/>
      <c r="S16" s="89"/>
      <c r="T16" s="89"/>
      <c r="U16" s="89"/>
      <c r="V16" s="89"/>
      <c r="W16" s="89"/>
      <c r="X16" s="89"/>
      <c r="Y16" s="89"/>
      <c r="Z16" s="89"/>
      <c r="AA16" s="89"/>
      <c r="AB16" s="89"/>
      <c r="AE16" s="87" t="s">
        <v>306</v>
      </c>
      <c r="AF16" s="89" t="s">
        <v>640</v>
      </c>
      <c r="AG16" s="89"/>
      <c r="AH16" s="89"/>
      <c r="AI16" s="89"/>
      <c r="AJ16" s="89"/>
      <c r="AK16" s="89"/>
      <c r="AL16" s="89"/>
      <c r="AM16" s="89"/>
      <c r="AN16" s="89"/>
      <c r="AO16" s="89"/>
      <c r="AP16" s="89"/>
      <c r="AQ16" s="89"/>
      <c r="AT16" s="87" t="s">
        <v>306</v>
      </c>
      <c r="AU16" s="89" t="s">
        <v>640</v>
      </c>
    </row>
    <row r="17" spans="1:47" x14ac:dyDescent="0.25">
      <c r="A17" s="87" t="s">
        <v>800</v>
      </c>
      <c r="B17" s="111"/>
      <c r="C17" s="111"/>
      <c r="D17" s="111"/>
      <c r="E17" s="111"/>
      <c r="F17" s="111"/>
      <c r="G17" s="111"/>
      <c r="H17" s="111"/>
      <c r="I17" s="111"/>
      <c r="J17" s="111"/>
      <c r="K17" s="111"/>
      <c r="L17" s="111"/>
      <c r="M17" s="111"/>
      <c r="P17" s="87" t="s">
        <v>800</v>
      </c>
      <c r="Q17" s="111"/>
      <c r="R17" s="89"/>
      <c r="S17" s="89"/>
      <c r="T17" s="89"/>
      <c r="U17" s="89"/>
      <c r="V17" s="89"/>
      <c r="W17" s="89"/>
      <c r="X17" s="89"/>
      <c r="Y17" s="89"/>
      <c r="Z17" s="89"/>
      <c r="AA17" s="89"/>
      <c r="AB17" s="89"/>
      <c r="AE17" s="87" t="s">
        <v>800</v>
      </c>
      <c r="AF17" s="89"/>
      <c r="AG17" s="89"/>
      <c r="AH17" s="89"/>
      <c r="AI17" s="89"/>
      <c r="AJ17" s="89"/>
      <c r="AK17" s="89"/>
      <c r="AL17" s="89"/>
      <c r="AM17" s="89"/>
      <c r="AN17" s="89"/>
      <c r="AO17" s="89"/>
      <c r="AP17" s="89"/>
      <c r="AQ17" s="89"/>
      <c r="AT17" s="87" t="s">
        <v>800</v>
      </c>
      <c r="AU17" s="89"/>
    </row>
    <row r="18" spans="1:47" x14ac:dyDescent="0.25">
      <c r="A18" s="87" t="s">
        <v>308</v>
      </c>
      <c r="B18" s="122">
        <v>45184</v>
      </c>
      <c r="C18" s="111"/>
      <c r="D18" s="111"/>
      <c r="E18" s="111"/>
      <c r="F18" s="111"/>
      <c r="G18" s="111"/>
      <c r="H18" s="111"/>
      <c r="I18" s="111"/>
      <c r="J18" s="111"/>
      <c r="K18" s="111"/>
      <c r="L18" s="111"/>
      <c r="M18" s="111"/>
      <c r="P18" s="87" t="s">
        <v>308</v>
      </c>
      <c r="Q18" s="183">
        <v>45184</v>
      </c>
      <c r="R18" s="89"/>
      <c r="S18" s="89"/>
      <c r="T18" s="89"/>
      <c r="U18" s="89"/>
      <c r="V18" s="89"/>
      <c r="W18" s="89"/>
      <c r="X18" s="89"/>
      <c r="Y18" s="89"/>
      <c r="Z18" s="89"/>
      <c r="AA18" s="89"/>
      <c r="AB18" s="89"/>
      <c r="AE18" s="87" t="s">
        <v>308</v>
      </c>
      <c r="AF18" s="99">
        <v>45184</v>
      </c>
      <c r="AG18" s="89"/>
      <c r="AH18" s="89"/>
      <c r="AI18" s="89"/>
      <c r="AJ18" s="89"/>
      <c r="AK18" s="89"/>
      <c r="AL18" s="89"/>
      <c r="AM18" s="89"/>
      <c r="AN18" s="89"/>
      <c r="AO18" s="89"/>
      <c r="AP18" s="89"/>
      <c r="AQ18" s="89"/>
      <c r="AT18" s="87" t="s">
        <v>308</v>
      </c>
      <c r="AU18" s="99">
        <v>45184</v>
      </c>
    </row>
    <row r="19" spans="1:47" x14ac:dyDescent="0.25">
      <c r="A19" s="87" t="s">
        <v>309</v>
      </c>
      <c r="B19" s="122">
        <v>45383</v>
      </c>
      <c r="C19" s="111"/>
      <c r="D19" s="111"/>
      <c r="E19" s="111"/>
      <c r="F19" s="111"/>
      <c r="G19" s="111"/>
      <c r="H19" s="111"/>
      <c r="I19" s="111"/>
      <c r="J19" s="111"/>
      <c r="K19" s="111"/>
      <c r="L19" s="111"/>
      <c r="M19" s="111"/>
      <c r="P19" s="87" t="s">
        <v>309</v>
      </c>
      <c r="Q19" s="122">
        <v>45383</v>
      </c>
      <c r="R19" s="89"/>
      <c r="S19" s="89"/>
      <c r="T19" s="89"/>
      <c r="U19" s="89"/>
      <c r="V19" s="89"/>
      <c r="W19" s="89"/>
      <c r="X19" s="89"/>
      <c r="Y19" s="89"/>
      <c r="Z19" s="89"/>
      <c r="AA19" s="89"/>
      <c r="AB19" s="89"/>
      <c r="AE19" s="87" t="s">
        <v>309</v>
      </c>
      <c r="AF19" s="105">
        <v>45383</v>
      </c>
      <c r="AG19" s="89"/>
      <c r="AH19" s="89"/>
      <c r="AI19" s="89"/>
      <c r="AJ19" s="89"/>
      <c r="AK19" s="89"/>
      <c r="AL19" s="89"/>
      <c r="AM19" s="89"/>
      <c r="AN19" s="89"/>
      <c r="AO19" s="89"/>
      <c r="AP19" s="89"/>
      <c r="AQ19" s="89"/>
      <c r="AT19" s="87" t="s">
        <v>309</v>
      </c>
      <c r="AU19" s="105">
        <v>45383</v>
      </c>
    </row>
    <row r="20" spans="1:47" x14ac:dyDescent="0.25">
      <c r="A20" s="87" t="s">
        <v>310</v>
      </c>
      <c r="B20" s="111" t="s">
        <v>324</v>
      </c>
      <c r="C20" s="111"/>
      <c r="D20" s="111"/>
      <c r="E20" s="111"/>
      <c r="F20" s="111"/>
      <c r="G20" s="111"/>
      <c r="H20" s="111"/>
      <c r="I20" s="111"/>
      <c r="J20" s="111"/>
      <c r="K20" s="111"/>
      <c r="L20" s="111"/>
      <c r="M20" s="111"/>
      <c r="P20" s="87" t="s">
        <v>310</v>
      </c>
      <c r="Q20" s="111" t="s">
        <v>324</v>
      </c>
      <c r="R20" s="89"/>
      <c r="S20" s="89"/>
      <c r="T20" s="89"/>
      <c r="U20" s="89"/>
      <c r="V20" s="89"/>
      <c r="W20" s="89"/>
      <c r="X20" s="89"/>
      <c r="Y20" s="89"/>
      <c r="Z20" s="89"/>
      <c r="AA20" s="89"/>
      <c r="AB20" s="89"/>
      <c r="AE20" s="87" t="s">
        <v>310</v>
      </c>
      <c r="AF20" s="89" t="s">
        <v>324</v>
      </c>
      <c r="AG20" s="89"/>
      <c r="AH20" s="89"/>
      <c r="AI20" s="89"/>
      <c r="AJ20" s="89"/>
      <c r="AK20" s="89"/>
      <c r="AL20" s="89"/>
      <c r="AM20" s="89"/>
      <c r="AN20" s="89"/>
      <c r="AO20" s="89"/>
      <c r="AP20" s="89"/>
      <c r="AQ20" s="89"/>
      <c r="AT20" s="87" t="s">
        <v>310</v>
      </c>
      <c r="AU20" s="111" t="s">
        <v>324</v>
      </c>
    </row>
    <row r="21" spans="1:47" ht="25" x14ac:dyDescent="0.25">
      <c r="A21" s="87" t="s">
        <v>311</v>
      </c>
      <c r="B21" s="111" t="s">
        <v>325</v>
      </c>
      <c r="C21" s="111"/>
      <c r="D21" s="111"/>
      <c r="E21" s="111"/>
      <c r="F21" s="111"/>
      <c r="G21" s="111"/>
      <c r="H21" s="111"/>
      <c r="I21" s="111"/>
      <c r="J21" s="111"/>
      <c r="K21" s="111"/>
      <c r="L21" s="111"/>
      <c r="M21" s="111"/>
      <c r="P21" s="87" t="s">
        <v>311</v>
      </c>
      <c r="Q21" s="111" t="s">
        <v>325</v>
      </c>
      <c r="R21" s="89"/>
      <c r="S21" s="89"/>
      <c r="T21" s="89"/>
      <c r="U21" s="89"/>
      <c r="V21" s="89"/>
      <c r="W21" s="89"/>
      <c r="X21" s="89"/>
      <c r="Y21" s="89"/>
      <c r="Z21" s="89"/>
      <c r="AA21" s="89"/>
      <c r="AB21" s="89"/>
      <c r="AE21" s="87" t="s">
        <v>311</v>
      </c>
      <c r="AF21" s="89" t="s">
        <v>325</v>
      </c>
      <c r="AT21" s="87" t="s">
        <v>311</v>
      </c>
      <c r="AU21" s="89" t="s">
        <v>325</v>
      </c>
    </row>
    <row r="23" spans="1:47" x14ac:dyDescent="0.25">
      <c r="B23" s="104" t="str">
        <f>HYPERLINK("#'Factor List'!A1","Back to Factor List")</f>
        <v>Back to Factor List</v>
      </c>
    </row>
    <row r="24" spans="1:47" x14ac:dyDescent="0.25">
      <c r="B24" s="104" t="s">
        <v>13</v>
      </c>
    </row>
    <row r="26" spans="1:47" ht="13" x14ac:dyDescent="0.25">
      <c r="A26" s="127" t="s">
        <v>985</v>
      </c>
      <c r="B26" s="127">
        <v>0</v>
      </c>
      <c r="C26" s="127">
        <v>1</v>
      </c>
      <c r="D26" s="127">
        <v>2</v>
      </c>
      <c r="E26" s="127">
        <v>3</v>
      </c>
      <c r="F26" s="127">
        <v>4</v>
      </c>
      <c r="G26" s="127">
        <v>5</v>
      </c>
      <c r="H26" s="127">
        <v>6</v>
      </c>
      <c r="I26" s="127">
        <v>7</v>
      </c>
      <c r="J26" s="127">
        <v>8</v>
      </c>
      <c r="K26" s="127">
        <v>9</v>
      </c>
      <c r="L26" s="127">
        <v>10</v>
      </c>
      <c r="M26" s="127">
        <v>11</v>
      </c>
      <c r="P26" s="127" t="s">
        <v>985</v>
      </c>
      <c r="Q26" s="127">
        <v>0</v>
      </c>
      <c r="R26" s="127">
        <v>1</v>
      </c>
      <c r="S26" s="127">
        <v>2</v>
      </c>
      <c r="T26" s="127">
        <v>3</v>
      </c>
      <c r="U26" s="127">
        <v>4</v>
      </c>
      <c r="V26" s="127">
        <v>5</v>
      </c>
      <c r="W26" s="127">
        <v>6</v>
      </c>
      <c r="X26" s="127">
        <v>7</v>
      </c>
      <c r="Y26" s="127">
        <v>8</v>
      </c>
      <c r="Z26" s="127">
        <v>9</v>
      </c>
      <c r="AA26" s="127">
        <v>10</v>
      </c>
      <c r="AB26" s="127">
        <v>11</v>
      </c>
      <c r="AE26" s="127" t="s">
        <v>985</v>
      </c>
      <c r="AF26" s="127">
        <v>0</v>
      </c>
      <c r="AG26" s="127">
        <v>1</v>
      </c>
      <c r="AH26" s="127">
        <v>2</v>
      </c>
      <c r="AI26" s="127">
        <v>3</v>
      </c>
      <c r="AJ26" s="127">
        <v>4</v>
      </c>
      <c r="AK26" s="127">
        <v>5</v>
      </c>
      <c r="AL26" s="127">
        <v>6</v>
      </c>
      <c r="AM26" s="127">
        <v>7</v>
      </c>
      <c r="AN26" s="127">
        <v>8</v>
      </c>
      <c r="AO26" s="127">
        <v>9</v>
      </c>
      <c r="AP26" s="127">
        <v>10</v>
      </c>
      <c r="AQ26" s="127">
        <v>11</v>
      </c>
      <c r="AT26" s="127" t="s">
        <v>985</v>
      </c>
      <c r="AU26" s="127">
        <v>0</v>
      </c>
    </row>
    <row r="27" spans="1:47" x14ac:dyDescent="0.25">
      <c r="A27" s="128">
        <v>20</v>
      </c>
      <c r="B27" s="134">
        <v>1.0999999999999999E-2</v>
      </c>
      <c r="C27" s="134">
        <v>1.0999999999999999E-2</v>
      </c>
      <c r="D27" s="134">
        <v>1.0999999999999999E-2</v>
      </c>
      <c r="E27" s="134">
        <v>1.0999999999999999E-2</v>
      </c>
      <c r="F27" s="134">
        <v>1.0999999999999999E-2</v>
      </c>
      <c r="G27" s="134">
        <v>1.0999999999999999E-2</v>
      </c>
      <c r="H27" s="134">
        <v>1.0999999999999999E-2</v>
      </c>
      <c r="I27" s="134">
        <v>1.0999999999999999E-2</v>
      </c>
      <c r="J27" s="134">
        <v>1.0999999999999999E-2</v>
      </c>
      <c r="K27" s="134">
        <v>0.01</v>
      </c>
      <c r="L27" s="134">
        <v>0.01</v>
      </c>
      <c r="M27" s="134">
        <v>0.01</v>
      </c>
      <c r="P27" s="128">
        <v>20</v>
      </c>
      <c r="Q27" s="134">
        <v>0.01</v>
      </c>
      <c r="R27" s="134">
        <v>0.01</v>
      </c>
      <c r="S27" s="134">
        <v>0.01</v>
      </c>
      <c r="T27" s="134">
        <v>0.01</v>
      </c>
      <c r="U27" s="134">
        <v>0.01</v>
      </c>
      <c r="V27" s="134">
        <v>0.01</v>
      </c>
      <c r="W27" s="134">
        <v>0.01</v>
      </c>
      <c r="X27" s="134">
        <v>0.01</v>
      </c>
      <c r="Y27" s="134">
        <v>0.01</v>
      </c>
      <c r="Z27" s="134">
        <v>0.01</v>
      </c>
      <c r="AA27" s="134">
        <v>0.01</v>
      </c>
      <c r="AB27" s="134">
        <v>0.01</v>
      </c>
      <c r="AE27" s="128">
        <v>20</v>
      </c>
      <c r="AF27" s="134">
        <v>0.01</v>
      </c>
      <c r="AG27" s="134">
        <v>0.01</v>
      </c>
      <c r="AH27" s="134">
        <v>0.01</v>
      </c>
      <c r="AI27" s="134">
        <v>0.01</v>
      </c>
      <c r="AJ27" s="134">
        <v>0.01</v>
      </c>
      <c r="AK27" s="134">
        <v>0.01</v>
      </c>
      <c r="AL27" s="134">
        <v>0.01</v>
      </c>
      <c r="AM27" s="134">
        <v>0.01</v>
      </c>
      <c r="AN27" s="134">
        <v>0.01</v>
      </c>
      <c r="AO27" s="134">
        <v>0.01</v>
      </c>
      <c r="AP27" s="134">
        <v>0.01</v>
      </c>
      <c r="AQ27" s="134">
        <v>0.01</v>
      </c>
      <c r="AT27" s="128">
        <v>20</v>
      </c>
      <c r="AU27" s="134">
        <v>0.01</v>
      </c>
    </row>
    <row r="28" spans="1:47" x14ac:dyDescent="0.25">
      <c r="A28" s="128">
        <v>21</v>
      </c>
      <c r="B28" s="134">
        <v>1.0999999999999999E-2</v>
      </c>
      <c r="C28" s="134">
        <v>1.0999999999999999E-2</v>
      </c>
      <c r="D28" s="134">
        <v>1.0999999999999999E-2</v>
      </c>
      <c r="E28" s="134">
        <v>1.0999999999999999E-2</v>
      </c>
      <c r="F28" s="134">
        <v>1.0999999999999999E-2</v>
      </c>
      <c r="G28" s="134">
        <v>1.0999999999999999E-2</v>
      </c>
      <c r="H28" s="134">
        <v>1.0999999999999999E-2</v>
      </c>
      <c r="I28" s="134">
        <v>1.0999999999999999E-2</v>
      </c>
      <c r="J28" s="134">
        <v>1.0999999999999999E-2</v>
      </c>
      <c r="K28" s="134">
        <v>1.0999999999999999E-2</v>
      </c>
      <c r="L28" s="134">
        <v>1.0999999999999999E-2</v>
      </c>
      <c r="M28" s="134">
        <v>1.0999999999999999E-2</v>
      </c>
      <c r="P28" s="128">
        <v>21</v>
      </c>
      <c r="Q28" s="134">
        <v>1.0999999999999999E-2</v>
      </c>
      <c r="R28" s="134">
        <v>1.0999999999999999E-2</v>
      </c>
      <c r="S28" s="134">
        <v>1.0999999999999999E-2</v>
      </c>
      <c r="T28" s="134">
        <v>1.0999999999999999E-2</v>
      </c>
      <c r="U28" s="134">
        <v>1.0999999999999999E-2</v>
      </c>
      <c r="V28" s="134">
        <v>1.0999999999999999E-2</v>
      </c>
      <c r="W28" s="134">
        <v>0.01</v>
      </c>
      <c r="X28" s="134">
        <v>0.01</v>
      </c>
      <c r="Y28" s="134">
        <v>0.01</v>
      </c>
      <c r="Z28" s="134">
        <v>0.01</v>
      </c>
      <c r="AA28" s="134">
        <v>0.01</v>
      </c>
      <c r="AB28" s="134">
        <v>0.01</v>
      </c>
      <c r="AE28" s="128">
        <v>21</v>
      </c>
      <c r="AF28" s="134">
        <v>0.01</v>
      </c>
      <c r="AG28" s="134">
        <v>0.01</v>
      </c>
      <c r="AH28" s="134">
        <v>0.01</v>
      </c>
      <c r="AI28" s="134">
        <v>0.01</v>
      </c>
      <c r="AJ28" s="134">
        <v>0.01</v>
      </c>
      <c r="AK28" s="134">
        <v>0.01</v>
      </c>
      <c r="AL28" s="134">
        <v>0.01</v>
      </c>
      <c r="AM28" s="134">
        <v>0.01</v>
      </c>
      <c r="AN28" s="134">
        <v>0.01</v>
      </c>
      <c r="AO28" s="134">
        <v>0.01</v>
      </c>
      <c r="AP28" s="134">
        <v>0.01</v>
      </c>
      <c r="AQ28" s="134">
        <v>0.01</v>
      </c>
      <c r="AT28" s="128">
        <v>21</v>
      </c>
      <c r="AU28" s="134">
        <v>0.01</v>
      </c>
    </row>
    <row r="29" spans="1:47" x14ac:dyDescent="0.25">
      <c r="A29" s="128">
        <v>22</v>
      </c>
      <c r="B29" s="134">
        <v>1.0999999999999999E-2</v>
      </c>
      <c r="C29" s="134">
        <v>1.0999999999999999E-2</v>
      </c>
      <c r="D29" s="134">
        <v>1.0999999999999999E-2</v>
      </c>
      <c r="E29" s="134">
        <v>1.0999999999999999E-2</v>
      </c>
      <c r="F29" s="134">
        <v>1.0999999999999999E-2</v>
      </c>
      <c r="G29" s="134">
        <v>1.0999999999999999E-2</v>
      </c>
      <c r="H29" s="134">
        <v>1.0999999999999999E-2</v>
      </c>
      <c r="I29" s="134">
        <v>1.0999999999999999E-2</v>
      </c>
      <c r="J29" s="134">
        <v>1.0999999999999999E-2</v>
      </c>
      <c r="K29" s="134">
        <v>1.0999999999999999E-2</v>
      </c>
      <c r="L29" s="134">
        <v>1.0999999999999999E-2</v>
      </c>
      <c r="M29" s="134">
        <v>1.0999999999999999E-2</v>
      </c>
      <c r="P29" s="128">
        <v>22</v>
      </c>
      <c r="Q29" s="134">
        <v>1.0999999999999999E-2</v>
      </c>
      <c r="R29" s="134">
        <v>1.0999999999999999E-2</v>
      </c>
      <c r="S29" s="134">
        <v>1.0999999999999999E-2</v>
      </c>
      <c r="T29" s="134">
        <v>1.0999999999999999E-2</v>
      </c>
      <c r="U29" s="134">
        <v>1.0999999999999999E-2</v>
      </c>
      <c r="V29" s="134">
        <v>1.0999999999999999E-2</v>
      </c>
      <c r="W29" s="134">
        <v>1.0999999999999999E-2</v>
      </c>
      <c r="X29" s="134">
        <v>1.0999999999999999E-2</v>
      </c>
      <c r="Y29" s="134">
        <v>1.0999999999999999E-2</v>
      </c>
      <c r="Z29" s="134">
        <v>1.0999999999999999E-2</v>
      </c>
      <c r="AA29" s="134">
        <v>1.0999999999999999E-2</v>
      </c>
      <c r="AB29" s="134">
        <v>1.0999999999999999E-2</v>
      </c>
      <c r="AE29" s="128">
        <v>22</v>
      </c>
      <c r="AF29" s="134">
        <v>1.0999999999999999E-2</v>
      </c>
      <c r="AG29" s="134">
        <v>1.0999999999999999E-2</v>
      </c>
      <c r="AH29" s="134">
        <v>1.0999999999999999E-2</v>
      </c>
      <c r="AI29" s="134">
        <v>0.01</v>
      </c>
      <c r="AJ29" s="134">
        <v>0.01</v>
      </c>
      <c r="AK29" s="134">
        <v>0.01</v>
      </c>
      <c r="AL29" s="134">
        <v>0.01</v>
      </c>
      <c r="AM29" s="134">
        <v>0.01</v>
      </c>
      <c r="AN29" s="134">
        <v>0.01</v>
      </c>
      <c r="AO29" s="134">
        <v>0.01</v>
      </c>
      <c r="AP29" s="134">
        <v>0.01</v>
      </c>
      <c r="AQ29" s="134">
        <v>0.01</v>
      </c>
      <c r="AT29" s="128">
        <v>22</v>
      </c>
      <c r="AU29" s="134">
        <v>0.01</v>
      </c>
    </row>
    <row r="30" spans="1:47" x14ac:dyDescent="0.25">
      <c r="A30" s="128">
        <v>23</v>
      </c>
      <c r="B30" s="134">
        <v>1.0999999999999999E-2</v>
      </c>
      <c r="C30" s="134">
        <v>1.0999999999999999E-2</v>
      </c>
      <c r="D30" s="134">
        <v>1.0999999999999999E-2</v>
      </c>
      <c r="E30" s="134">
        <v>1.0999999999999999E-2</v>
      </c>
      <c r="F30" s="134">
        <v>1.0999999999999999E-2</v>
      </c>
      <c r="G30" s="134">
        <v>1.0999999999999999E-2</v>
      </c>
      <c r="H30" s="134">
        <v>1.0999999999999999E-2</v>
      </c>
      <c r="I30" s="134">
        <v>1.0999999999999999E-2</v>
      </c>
      <c r="J30" s="134">
        <v>1.0999999999999999E-2</v>
      </c>
      <c r="K30" s="134">
        <v>1.0999999999999999E-2</v>
      </c>
      <c r="L30" s="134">
        <v>1.0999999999999999E-2</v>
      </c>
      <c r="M30" s="134">
        <v>1.0999999999999999E-2</v>
      </c>
      <c r="P30" s="128">
        <v>23</v>
      </c>
      <c r="Q30" s="134">
        <v>1.0999999999999999E-2</v>
      </c>
      <c r="R30" s="134">
        <v>1.0999999999999999E-2</v>
      </c>
      <c r="S30" s="134">
        <v>1.0999999999999999E-2</v>
      </c>
      <c r="T30" s="134">
        <v>1.0999999999999999E-2</v>
      </c>
      <c r="U30" s="134">
        <v>1.0999999999999999E-2</v>
      </c>
      <c r="V30" s="134">
        <v>1.0999999999999999E-2</v>
      </c>
      <c r="W30" s="134">
        <v>1.0999999999999999E-2</v>
      </c>
      <c r="X30" s="134">
        <v>1.0999999999999999E-2</v>
      </c>
      <c r="Y30" s="134">
        <v>1.0999999999999999E-2</v>
      </c>
      <c r="Z30" s="134">
        <v>1.0999999999999999E-2</v>
      </c>
      <c r="AA30" s="134">
        <v>1.0999999999999999E-2</v>
      </c>
      <c r="AB30" s="134">
        <v>1.0999999999999999E-2</v>
      </c>
      <c r="AE30" s="128">
        <v>23</v>
      </c>
      <c r="AF30" s="134">
        <v>1.0999999999999999E-2</v>
      </c>
      <c r="AG30" s="134">
        <v>1.0999999999999999E-2</v>
      </c>
      <c r="AH30" s="134">
        <v>1.0999999999999999E-2</v>
      </c>
      <c r="AI30" s="134">
        <v>1.0999999999999999E-2</v>
      </c>
      <c r="AJ30" s="134">
        <v>1.0999999999999999E-2</v>
      </c>
      <c r="AK30" s="134">
        <v>1.0999999999999999E-2</v>
      </c>
      <c r="AL30" s="134">
        <v>1.0999999999999999E-2</v>
      </c>
      <c r="AM30" s="134">
        <v>1.0999999999999999E-2</v>
      </c>
      <c r="AN30" s="134">
        <v>1.0999999999999999E-2</v>
      </c>
      <c r="AO30" s="134">
        <v>1.0999999999999999E-2</v>
      </c>
      <c r="AP30" s="134">
        <v>1.0999999999999999E-2</v>
      </c>
      <c r="AQ30" s="134">
        <v>1.0999999999999999E-2</v>
      </c>
      <c r="AT30" s="128">
        <v>23</v>
      </c>
      <c r="AU30" s="134">
        <v>0.01</v>
      </c>
    </row>
    <row r="31" spans="1:47" x14ac:dyDescent="0.25">
      <c r="A31" s="128">
        <v>24</v>
      </c>
      <c r="B31" s="134">
        <v>1.0999999999999999E-2</v>
      </c>
      <c r="C31" s="134">
        <v>1.0999999999999999E-2</v>
      </c>
      <c r="D31" s="134">
        <v>1.0999999999999999E-2</v>
      </c>
      <c r="E31" s="134">
        <v>1.0999999999999999E-2</v>
      </c>
      <c r="F31" s="134">
        <v>1.0999999999999999E-2</v>
      </c>
      <c r="G31" s="134">
        <v>1.0999999999999999E-2</v>
      </c>
      <c r="H31" s="134">
        <v>1.0999999999999999E-2</v>
      </c>
      <c r="I31" s="134">
        <v>1.0999999999999999E-2</v>
      </c>
      <c r="J31" s="134">
        <v>1.0999999999999999E-2</v>
      </c>
      <c r="K31" s="134">
        <v>1.0999999999999999E-2</v>
      </c>
      <c r="L31" s="134">
        <v>1.0999999999999999E-2</v>
      </c>
      <c r="M31" s="134">
        <v>1.0999999999999999E-2</v>
      </c>
      <c r="P31" s="128">
        <v>24</v>
      </c>
      <c r="Q31" s="134">
        <v>1.0999999999999999E-2</v>
      </c>
      <c r="R31" s="134">
        <v>1.0999999999999999E-2</v>
      </c>
      <c r="S31" s="134">
        <v>1.0999999999999999E-2</v>
      </c>
      <c r="T31" s="134">
        <v>1.0999999999999999E-2</v>
      </c>
      <c r="U31" s="134">
        <v>1.0999999999999999E-2</v>
      </c>
      <c r="V31" s="134">
        <v>1.0999999999999999E-2</v>
      </c>
      <c r="W31" s="134">
        <v>1.0999999999999999E-2</v>
      </c>
      <c r="X31" s="134">
        <v>1.0999999999999999E-2</v>
      </c>
      <c r="Y31" s="134">
        <v>1.0999999999999999E-2</v>
      </c>
      <c r="Z31" s="134">
        <v>1.0999999999999999E-2</v>
      </c>
      <c r="AA31" s="134">
        <v>1.0999999999999999E-2</v>
      </c>
      <c r="AB31" s="134">
        <v>1.0999999999999999E-2</v>
      </c>
      <c r="AE31" s="128">
        <v>24</v>
      </c>
      <c r="AF31" s="134">
        <v>1.0999999999999999E-2</v>
      </c>
      <c r="AG31" s="134">
        <v>1.0999999999999999E-2</v>
      </c>
      <c r="AH31" s="134">
        <v>1.0999999999999999E-2</v>
      </c>
      <c r="AI31" s="134">
        <v>1.0999999999999999E-2</v>
      </c>
      <c r="AJ31" s="134">
        <v>1.0999999999999999E-2</v>
      </c>
      <c r="AK31" s="134">
        <v>1.0999999999999999E-2</v>
      </c>
      <c r="AL31" s="134">
        <v>1.0999999999999999E-2</v>
      </c>
      <c r="AM31" s="134">
        <v>1.0999999999999999E-2</v>
      </c>
      <c r="AN31" s="134">
        <v>1.0999999999999999E-2</v>
      </c>
      <c r="AO31" s="134">
        <v>1.0999999999999999E-2</v>
      </c>
      <c r="AP31" s="134">
        <v>1.0999999999999999E-2</v>
      </c>
      <c r="AQ31" s="134">
        <v>1.0999999999999999E-2</v>
      </c>
      <c r="AT31" s="128">
        <v>24</v>
      </c>
      <c r="AU31" s="134">
        <v>1.0999999999999999E-2</v>
      </c>
    </row>
    <row r="32" spans="1:47" x14ac:dyDescent="0.25">
      <c r="A32" s="128">
        <v>25</v>
      </c>
      <c r="B32" s="134">
        <v>1.2E-2</v>
      </c>
      <c r="C32" s="134">
        <v>1.2E-2</v>
      </c>
      <c r="D32" s="134">
        <v>1.2E-2</v>
      </c>
      <c r="E32" s="134">
        <v>1.2E-2</v>
      </c>
      <c r="F32" s="134">
        <v>1.0999999999999999E-2</v>
      </c>
      <c r="G32" s="134">
        <v>1.0999999999999999E-2</v>
      </c>
      <c r="H32" s="134">
        <v>1.0999999999999999E-2</v>
      </c>
      <c r="I32" s="134">
        <v>1.0999999999999999E-2</v>
      </c>
      <c r="J32" s="134">
        <v>1.0999999999999999E-2</v>
      </c>
      <c r="K32" s="134">
        <v>1.0999999999999999E-2</v>
      </c>
      <c r="L32" s="134">
        <v>1.0999999999999999E-2</v>
      </c>
      <c r="M32" s="134">
        <v>1.0999999999999999E-2</v>
      </c>
      <c r="P32" s="128">
        <v>25</v>
      </c>
      <c r="Q32" s="134">
        <v>1.0999999999999999E-2</v>
      </c>
      <c r="R32" s="134">
        <v>1.0999999999999999E-2</v>
      </c>
      <c r="S32" s="134">
        <v>1.0999999999999999E-2</v>
      </c>
      <c r="T32" s="134">
        <v>1.0999999999999999E-2</v>
      </c>
      <c r="U32" s="134">
        <v>1.0999999999999999E-2</v>
      </c>
      <c r="V32" s="134">
        <v>1.0999999999999999E-2</v>
      </c>
      <c r="W32" s="134">
        <v>1.0999999999999999E-2</v>
      </c>
      <c r="X32" s="134">
        <v>1.0999999999999999E-2</v>
      </c>
      <c r="Y32" s="134">
        <v>1.0999999999999999E-2</v>
      </c>
      <c r="Z32" s="134">
        <v>1.0999999999999999E-2</v>
      </c>
      <c r="AA32" s="134">
        <v>1.0999999999999999E-2</v>
      </c>
      <c r="AB32" s="134">
        <v>1.0999999999999999E-2</v>
      </c>
      <c r="AE32" s="128">
        <v>25</v>
      </c>
      <c r="AF32" s="134">
        <v>1.0999999999999999E-2</v>
      </c>
      <c r="AG32" s="134">
        <v>1.0999999999999999E-2</v>
      </c>
      <c r="AH32" s="134">
        <v>1.0999999999999999E-2</v>
      </c>
      <c r="AI32" s="134">
        <v>1.0999999999999999E-2</v>
      </c>
      <c r="AJ32" s="134">
        <v>1.0999999999999999E-2</v>
      </c>
      <c r="AK32" s="134">
        <v>1.0999999999999999E-2</v>
      </c>
      <c r="AL32" s="134">
        <v>1.0999999999999999E-2</v>
      </c>
      <c r="AM32" s="134">
        <v>1.0999999999999999E-2</v>
      </c>
      <c r="AN32" s="134">
        <v>1.0999999999999999E-2</v>
      </c>
      <c r="AO32" s="134">
        <v>1.0999999999999999E-2</v>
      </c>
      <c r="AP32" s="134">
        <v>1.0999999999999999E-2</v>
      </c>
      <c r="AQ32" s="134">
        <v>1.0999999999999999E-2</v>
      </c>
      <c r="AT32" s="128">
        <v>25</v>
      </c>
      <c r="AU32" s="134">
        <v>1.0999999999999999E-2</v>
      </c>
    </row>
    <row r="33" spans="1:47" x14ac:dyDescent="0.25">
      <c r="A33" s="128">
        <v>26</v>
      </c>
      <c r="B33" s="134">
        <v>1.2E-2</v>
      </c>
      <c r="C33" s="134">
        <v>1.2E-2</v>
      </c>
      <c r="D33" s="134">
        <v>1.2E-2</v>
      </c>
      <c r="E33" s="134">
        <v>1.2E-2</v>
      </c>
      <c r="F33" s="134">
        <v>1.2E-2</v>
      </c>
      <c r="G33" s="134">
        <v>1.2E-2</v>
      </c>
      <c r="H33" s="134">
        <v>1.2E-2</v>
      </c>
      <c r="I33" s="134">
        <v>1.2E-2</v>
      </c>
      <c r="J33" s="134">
        <v>1.2E-2</v>
      </c>
      <c r="K33" s="134">
        <v>1.2E-2</v>
      </c>
      <c r="L33" s="134">
        <v>1.2E-2</v>
      </c>
      <c r="M33" s="134">
        <v>1.2E-2</v>
      </c>
      <c r="P33" s="128">
        <v>26</v>
      </c>
      <c r="Q33" s="134">
        <v>1.2E-2</v>
      </c>
      <c r="R33" s="134">
        <v>1.0999999999999999E-2</v>
      </c>
      <c r="S33" s="134">
        <v>1.0999999999999999E-2</v>
      </c>
      <c r="T33" s="134">
        <v>1.0999999999999999E-2</v>
      </c>
      <c r="U33" s="134">
        <v>1.0999999999999999E-2</v>
      </c>
      <c r="V33" s="134">
        <v>1.0999999999999999E-2</v>
      </c>
      <c r="W33" s="134">
        <v>1.0999999999999999E-2</v>
      </c>
      <c r="X33" s="134">
        <v>1.0999999999999999E-2</v>
      </c>
      <c r="Y33" s="134">
        <v>1.0999999999999999E-2</v>
      </c>
      <c r="Z33" s="134">
        <v>1.0999999999999999E-2</v>
      </c>
      <c r="AA33" s="134">
        <v>1.0999999999999999E-2</v>
      </c>
      <c r="AB33" s="134">
        <v>1.0999999999999999E-2</v>
      </c>
      <c r="AE33" s="128">
        <v>26</v>
      </c>
      <c r="AF33" s="134">
        <v>1.0999999999999999E-2</v>
      </c>
      <c r="AG33" s="134">
        <v>1.0999999999999999E-2</v>
      </c>
      <c r="AH33" s="134">
        <v>1.0999999999999999E-2</v>
      </c>
      <c r="AI33" s="134">
        <v>1.0999999999999999E-2</v>
      </c>
      <c r="AJ33" s="134">
        <v>1.0999999999999999E-2</v>
      </c>
      <c r="AK33" s="134">
        <v>1.0999999999999999E-2</v>
      </c>
      <c r="AL33" s="134">
        <v>1.0999999999999999E-2</v>
      </c>
      <c r="AM33" s="134">
        <v>1.0999999999999999E-2</v>
      </c>
      <c r="AN33" s="134">
        <v>1.0999999999999999E-2</v>
      </c>
      <c r="AO33" s="134">
        <v>1.0999999999999999E-2</v>
      </c>
      <c r="AP33" s="134">
        <v>1.0999999999999999E-2</v>
      </c>
      <c r="AQ33" s="134">
        <v>1.0999999999999999E-2</v>
      </c>
      <c r="AT33" s="128">
        <v>26</v>
      </c>
      <c r="AU33" s="134">
        <v>1.0999999999999999E-2</v>
      </c>
    </row>
    <row r="34" spans="1:47" x14ac:dyDescent="0.25">
      <c r="A34" s="128">
        <v>27</v>
      </c>
      <c r="B34" s="134">
        <v>1.2E-2</v>
      </c>
      <c r="C34" s="134">
        <v>1.2E-2</v>
      </c>
      <c r="D34" s="134">
        <v>1.2E-2</v>
      </c>
      <c r="E34" s="134">
        <v>1.2E-2</v>
      </c>
      <c r="F34" s="134">
        <v>1.2E-2</v>
      </c>
      <c r="G34" s="134">
        <v>1.2E-2</v>
      </c>
      <c r="H34" s="134">
        <v>1.2E-2</v>
      </c>
      <c r="I34" s="134">
        <v>1.2E-2</v>
      </c>
      <c r="J34" s="134">
        <v>1.2E-2</v>
      </c>
      <c r="K34" s="134">
        <v>1.2E-2</v>
      </c>
      <c r="L34" s="134">
        <v>1.2E-2</v>
      </c>
      <c r="M34" s="134">
        <v>1.2E-2</v>
      </c>
      <c r="P34" s="128">
        <v>27</v>
      </c>
      <c r="Q34" s="134">
        <v>1.2E-2</v>
      </c>
      <c r="R34" s="134">
        <v>1.2E-2</v>
      </c>
      <c r="S34" s="134">
        <v>1.2E-2</v>
      </c>
      <c r="T34" s="134">
        <v>1.2E-2</v>
      </c>
      <c r="U34" s="134">
        <v>1.2E-2</v>
      </c>
      <c r="V34" s="134">
        <v>1.2E-2</v>
      </c>
      <c r="W34" s="134">
        <v>1.2E-2</v>
      </c>
      <c r="X34" s="134">
        <v>1.2E-2</v>
      </c>
      <c r="Y34" s="134">
        <v>1.2E-2</v>
      </c>
      <c r="Z34" s="134">
        <v>1.2E-2</v>
      </c>
      <c r="AA34" s="134">
        <v>1.0999999999999999E-2</v>
      </c>
      <c r="AB34" s="134">
        <v>1.0999999999999999E-2</v>
      </c>
      <c r="AE34" s="128">
        <v>27</v>
      </c>
      <c r="AF34" s="134">
        <v>1.0999999999999999E-2</v>
      </c>
      <c r="AG34" s="134">
        <v>1.0999999999999999E-2</v>
      </c>
      <c r="AH34" s="134">
        <v>1.0999999999999999E-2</v>
      </c>
      <c r="AI34" s="134">
        <v>1.0999999999999999E-2</v>
      </c>
      <c r="AJ34" s="134">
        <v>1.0999999999999999E-2</v>
      </c>
      <c r="AK34" s="134">
        <v>1.0999999999999999E-2</v>
      </c>
      <c r="AL34" s="134">
        <v>1.0999999999999999E-2</v>
      </c>
      <c r="AM34" s="134">
        <v>1.0999999999999999E-2</v>
      </c>
      <c r="AN34" s="134">
        <v>1.0999999999999999E-2</v>
      </c>
      <c r="AO34" s="134">
        <v>1.0999999999999999E-2</v>
      </c>
      <c r="AP34" s="134">
        <v>1.0999999999999999E-2</v>
      </c>
      <c r="AQ34" s="134">
        <v>1.0999999999999999E-2</v>
      </c>
      <c r="AT34" s="128">
        <v>27</v>
      </c>
      <c r="AU34" s="134">
        <v>1.0999999999999999E-2</v>
      </c>
    </row>
    <row r="35" spans="1:47" x14ac:dyDescent="0.25">
      <c r="A35" s="128">
        <v>28</v>
      </c>
      <c r="B35" s="134">
        <v>1.2E-2</v>
      </c>
      <c r="C35" s="134">
        <v>1.2E-2</v>
      </c>
      <c r="D35" s="134">
        <v>1.2E-2</v>
      </c>
      <c r="E35" s="134">
        <v>1.2E-2</v>
      </c>
      <c r="F35" s="134">
        <v>1.2E-2</v>
      </c>
      <c r="G35" s="134">
        <v>1.2E-2</v>
      </c>
      <c r="H35" s="134">
        <v>1.2E-2</v>
      </c>
      <c r="I35" s="134">
        <v>1.2E-2</v>
      </c>
      <c r="J35" s="134">
        <v>1.2E-2</v>
      </c>
      <c r="K35" s="134">
        <v>1.2E-2</v>
      </c>
      <c r="L35" s="134">
        <v>1.2E-2</v>
      </c>
      <c r="M35" s="134">
        <v>1.2E-2</v>
      </c>
      <c r="P35" s="128">
        <v>28</v>
      </c>
      <c r="Q35" s="134">
        <v>1.2E-2</v>
      </c>
      <c r="R35" s="134">
        <v>1.2E-2</v>
      </c>
      <c r="S35" s="134">
        <v>1.2E-2</v>
      </c>
      <c r="T35" s="134">
        <v>1.2E-2</v>
      </c>
      <c r="U35" s="134">
        <v>1.2E-2</v>
      </c>
      <c r="V35" s="134">
        <v>1.2E-2</v>
      </c>
      <c r="W35" s="134">
        <v>1.2E-2</v>
      </c>
      <c r="X35" s="134">
        <v>1.2E-2</v>
      </c>
      <c r="Y35" s="134">
        <v>1.2E-2</v>
      </c>
      <c r="Z35" s="134">
        <v>1.2E-2</v>
      </c>
      <c r="AA35" s="134">
        <v>1.2E-2</v>
      </c>
      <c r="AB35" s="134">
        <v>1.2E-2</v>
      </c>
      <c r="AE35" s="128">
        <v>28</v>
      </c>
      <c r="AF35" s="134">
        <v>1.2E-2</v>
      </c>
      <c r="AG35" s="134">
        <v>1.2E-2</v>
      </c>
      <c r="AH35" s="134">
        <v>1.2E-2</v>
      </c>
      <c r="AI35" s="134">
        <v>1.2E-2</v>
      </c>
      <c r="AJ35" s="134">
        <v>1.2E-2</v>
      </c>
      <c r="AK35" s="134">
        <v>1.2E-2</v>
      </c>
      <c r="AL35" s="134">
        <v>1.2E-2</v>
      </c>
      <c r="AM35" s="134">
        <v>1.0999999999999999E-2</v>
      </c>
      <c r="AN35" s="134">
        <v>1.0999999999999999E-2</v>
      </c>
      <c r="AO35" s="134">
        <v>1.0999999999999999E-2</v>
      </c>
      <c r="AP35" s="134">
        <v>1.0999999999999999E-2</v>
      </c>
      <c r="AQ35" s="134">
        <v>1.0999999999999999E-2</v>
      </c>
      <c r="AT35" s="128">
        <v>28</v>
      </c>
      <c r="AU35" s="134">
        <v>1.0999999999999999E-2</v>
      </c>
    </row>
    <row r="36" spans="1:47" x14ac:dyDescent="0.25">
      <c r="A36" s="128">
        <v>29</v>
      </c>
      <c r="B36" s="134">
        <v>1.2E-2</v>
      </c>
      <c r="C36" s="134">
        <v>1.2E-2</v>
      </c>
      <c r="D36" s="134">
        <v>1.2E-2</v>
      </c>
      <c r="E36" s="134">
        <v>1.2E-2</v>
      </c>
      <c r="F36" s="134">
        <v>1.2E-2</v>
      </c>
      <c r="G36" s="134">
        <v>1.2E-2</v>
      </c>
      <c r="H36" s="134">
        <v>1.2E-2</v>
      </c>
      <c r="I36" s="134">
        <v>1.2E-2</v>
      </c>
      <c r="J36" s="134">
        <v>1.2E-2</v>
      </c>
      <c r="K36" s="134">
        <v>1.2E-2</v>
      </c>
      <c r="L36" s="134">
        <v>1.2E-2</v>
      </c>
      <c r="M36" s="134">
        <v>1.2E-2</v>
      </c>
      <c r="P36" s="128">
        <v>29</v>
      </c>
      <c r="Q36" s="134">
        <v>1.2E-2</v>
      </c>
      <c r="R36" s="134">
        <v>1.2E-2</v>
      </c>
      <c r="S36" s="134">
        <v>1.2E-2</v>
      </c>
      <c r="T36" s="134">
        <v>1.2E-2</v>
      </c>
      <c r="U36" s="134">
        <v>1.2E-2</v>
      </c>
      <c r="V36" s="134">
        <v>1.2E-2</v>
      </c>
      <c r="W36" s="134">
        <v>1.2E-2</v>
      </c>
      <c r="X36" s="134">
        <v>1.2E-2</v>
      </c>
      <c r="Y36" s="134">
        <v>1.2E-2</v>
      </c>
      <c r="Z36" s="134">
        <v>1.2E-2</v>
      </c>
      <c r="AA36" s="134">
        <v>1.2E-2</v>
      </c>
      <c r="AB36" s="134">
        <v>1.2E-2</v>
      </c>
      <c r="AE36" s="128">
        <v>29</v>
      </c>
      <c r="AF36" s="134">
        <v>1.2E-2</v>
      </c>
      <c r="AG36" s="134">
        <v>1.2E-2</v>
      </c>
      <c r="AH36" s="134">
        <v>1.2E-2</v>
      </c>
      <c r="AI36" s="134">
        <v>1.2E-2</v>
      </c>
      <c r="AJ36" s="134">
        <v>1.2E-2</v>
      </c>
      <c r="AK36" s="134">
        <v>1.2E-2</v>
      </c>
      <c r="AL36" s="134">
        <v>1.2E-2</v>
      </c>
      <c r="AM36" s="134">
        <v>1.2E-2</v>
      </c>
      <c r="AN36" s="134">
        <v>1.2E-2</v>
      </c>
      <c r="AO36" s="134">
        <v>1.2E-2</v>
      </c>
      <c r="AP36" s="134">
        <v>1.2E-2</v>
      </c>
      <c r="AQ36" s="134">
        <v>1.2E-2</v>
      </c>
      <c r="AT36" s="128">
        <v>29</v>
      </c>
      <c r="AU36" s="134">
        <v>1.2E-2</v>
      </c>
    </row>
    <row r="37" spans="1:47" x14ac:dyDescent="0.25">
      <c r="A37" s="128">
        <v>30</v>
      </c>
      <c r="B37" s="134">
        <v>1.2999999999999999E-2</v>
      </c>
      <c r="C37" s="134">
        <v>1.2999999999999999E-2</v>
      </c>
      <c r="D37" s="134">
        <v>1.2999999999999999E-2</v>
      </c>
      <c r="E37" s="134">
        <v>1.2999999999999999E-2</v>
      </c>
      <c r="F37" s="134">
        <v>1.2E-2</v>
      </c>
      <c r="G37" s="134">
        <v>1.2E-2</v>
      </c>
      <c r="H37" s="134">
        <v>1.2E-2</v>
      </c>
      <c r="I37" s="134">
        <v>1.2E-2</v>
      </c>
      <c r="J37" s="134">
        <v>1.2E-2</v>
      </c>
      <c r="K37" s="134">
        <v>1.2E-2</v>
      </c>
      <c r="L37" s="134">
        <v>1.2E-2</v>
      </c>
      <c r="M37" s="134">
        <v>1.2E-2</v>
      </c>
      <c r="P37" s="128">
        <v>30</v>
      </c>
      <c r="Q37" s="134">
        <v>1.2E-2</v>
      </c>
      <c r="R37" s="134">
        <v>1.2E-2</v>
      </c>
      <c r="S37" s="134">
        <v>1.2E-2</v>
      </c>
      <c r="T37" s="134">
        <v>1.2E-2</v>
      </c>
      <c r="U37" s="134">
        <v>1.2E-2</v>
      </c>
      <c r="V37" s="134">
        <v>1.2E-2</v>
      </c>
      <c r="W37" s="134">
        <v>1.2E-2</v>
      </c>
      <c r="X37" s="134">
        <v>1.2E-2</v>
      </c>
      <c r="Y37" s="134">
        <v>1.2E-2</v>
      </c>
      <c r="Z37" s="134">
        <v>1.2E-2</v>
      </c>
      <c r="AA37" s="134">
        <v>1.2E-2</v>
      </c>
      <c r="AB37" s="134">
        <v>1.2E-2</v>
      </c>
      <c r="AE37" s="128">
        <v>30</v>
      </c>
      <c r="AF37" s="134">
        <v>1.2E-2</v>
      </c>
      <c r="AG37" s="134">
        <v>1.2E-2</v>
      </c>
      <c r="AH37" s="134">
        <v>1.2E-2</v>
      </c>
      <c r="AI37" s="134">
        <v>1.2E-2</v>
      </c>
      <c r="AJ37" s="134">
        <v>1.2E-2</v>
      </c>
      <c r="AK37" s="134">
        <v>1.2E-2</v>
      </c>
      <c r="AL37" s="134">
        <v>1.2E-2</v>
      </c>
      <c r="AM37" s="134">
        <v>1.2E-2</v>
      </c>
      <c r="AN37" s="134">
        <v>1.2E-2</v>
      </c>
      <c r="AO37" s="134">
        <v>1.2E-2</v>
      </c>
      <c r="AP37" s="134">
        <v>1.2E-2</v>
      </c>
      <c r="AQ37" s="134">
        <v>1.2E-2</v>
      </c>
      <c r="AT37" s="128">
        <v>30</v>
      </c>
      <c r="AU37" s="134">
        <v>1.2E-2</v>
      </c>
    </row>
    <row r="38" spans="1:47" x14ac:dyDescent="0.25">
      <c r="A38" s="128">
        <v>31</v>
      </c>
      <c r="B38" s="134">
        <v>1.2999999999999999E-2</v>
      </c>
      <c r="C38" s="134">
        <v>1.2999999999999999E-2</v>
      </c>
      <c r="D38" s="134">
        <v>1.2999999999999999E-2</v>
      </c>
      <c r="E38" s="134">
        <v>1.2999999999999999E-2</v>
      </c>
      <c r="F38" s="134">
        <v>1.2999999999999999E-2</v>
      </c>
      <c r="G38" s="134">
        <v>1.2999999999999999E-2</v>
      </c>
      <c r="H38" s="134">
        <v>1.2999999999999999E-2</v>
      </c>
      <c r="I38" s="134">
        <v>1.2999999999999999E-2</v>
      </c>
      <c r="J38" s="134">
        <v>1.2999999999999999E-2</v>
      </c>
      <c r="K38" s="134">
        <v>1.2999999999999999E-2</v>
      </c>
      <c r="L38" s="134">
        <v>1.2999999999999999E-2</v>
      </c>
      <c r="M38" s="134">
        <v>1.2999999999999999E-2</v>
      </c>
      <c r="P38" s="128">
        <v>31</v>
      </c>
      <c r="Q38" s="134">
        <v>1.2999999999999999E-2</v>
      </c>
      <c r="R38" s="134">
        <v>1.2E-2</v>
      </c>
      <c r="S38" s="134">
        <v>1.2E-2</v>
      </c>
      <c r="T38" s="134">
        <v>1.2E-2</v>
      </c>
      <c r="U38" s="134">
        <v>1.2E-2</v>
      </c>
      <c r="V38" s="134">
        <v>1.2E-2</v>
      </c>
      <c r="W38" s="134">
        <v>1.2E-2</v>
      </c>
      <c r="X38" s="134">
        <v>1.2E-2</v>
      </c>
      <c r="Y38" s="134">
        <v>1.2E-2</v>
      </c>
      <c r="Z38" s="134">
        <v>1.2E-2</v>
      </c>
      <c r="AA38" s="134">
        <v>1.2E-2</v>
      </c>
      <c r="AB38" s="134">
        <v>1.2E-2</v>
      </c>
      <c r="AE38" s="128">
        <v>31</v>
      </c>
      <c r="AF38" s="134">
        <v>1.2E-2</v>
      </c>
      <c r="AG38" s="134">
        <v>1.2E-2</v>
      </c>
      <c r="AH38" s="134">
        <v>1.2E-2</v>
      </c>
      <c r="AI38" s="134">
        <v>1.2E-2</v>
      </c>
      <c r="AJ38" s="134">
        <v>1.2E-2</v>
      </c>
      <c r="AK38" s="134">
        <v>1.2E-2</v>
      </c>
      <c r="AL38" s="134">
        <v>1.2E-2</v>
      </c>
      <c r="AM38" s="134">
        <v>1.2E-2</v>
      </c>
      <c r="AN38" s="134">
        <v>1.2E-2</v>
      </c>
      <c r="AO38" s="134">
        <v>1.2E-2</v>
      </c>
      <c r="AP38" s="134">
        <v>1.2E-2</v>
      </c>
      <c r="AQ38" s="134">
        <v>1.2E-2</v>
      </c>
      <c r="AT38" s="128">
        <v>31</v>
      </c>
      <c r="AU38" s="134">
        <v>1.2E-2</v>
      </c>
    </row>
    <row r="39" spans="1:47" x14ac:dyDescent="0.25">
      <c r="A39" s="128">
        <v>32</v>
      </c>
      <c r="B39" s="134">
        <v>1.2999999999999999E-2</v>
      </c>
      <c r="C39" s="134">
        <v>1.2999999999999999E-2</v>
      </c>
      <c r="D39" s="134">
        <v>1.2999999999999999E-2</v>
      </c>
      <c r="E39" s="134">
        <v>1.2999999999999999E-2</v>
      </c>
      <c r="F39" s="134">
        <v>1.2999999999999999E-2</v>
      </c>
      <c r="G39" s="134">
        <v>1.2999999999999999E-2</v>
      </c>
      <c r="H39" s="134">
        <v>1.2999999999999999E-2</v>
      </c>
      <c r="I39" s="134">
        <v>1.2999999999999999E-2</v>
      </c>
      <c r="J39" s="134">
        <v>1.2999999999999999E-2</v>
      </c>
      <c r="K39" s="134">
        <v>1.2999999999999999E-2</v>
      </c>
      <c r="L39" s="134">
        <v>1.2999999999999999E-2</v>
      </c>
      <c r="M39" s="134">
        <v>1.2999999999999999E-2</v>
      </c>
      <c r="P39" s="128">
        <v>32</v>
      </c>
      <c r="Q39" s="134">
        <v>1.2999999999999999E-2</v>
      </c>
      <c r="R39" s="134">
        <v>1.2999999999999999E-2</v>
      </c>
      <c r="S39" s="134">
        <v>1.2999999999999999E-2</v>
      </c>
      <c r="T39" s="134">
        <v>1.2999999999999999E-2</v>
      </c>
      <c r="U39" s="134">
        <v>1.2999999999999999E-2</v>
      </c>
      <c r="V39" s="134">
        <v>1.2999999999999999E-2</v>
      </c>
      <c r="W39" s="134">
        <v>1.2999999999999999E-2</v>
      </c>
      <c r="X39" s="134">
        <v>1.2999999999999999E-2</v>
      </c>
      <c r="Y39" s="134">
        <v>1.2999999999999999E-2</v>
      </c>
      <c r="Z39" s="134">
        <v>1.2999999999999999E-2</v>
      </c>
      <c r="AA39" s="134">
        <v>1.2E-2</v>
      </c>
      <c r="AB39" s="134">
        <v>1.2E-2</v>
      </c>
      <c r="AE39" s="128">
        <v>32</v>
      </c>
      <c r="AF39" s="134">
        <v>1.2E-2</v>
      </c>
      <c r="AG39" s="134">
        <v>1.2E-2</v>
      </c>
      <c r="AH39" s="134">
        <v>1.2E-2</v>
      </c>
      <c r="AI39" s="134">
        <v>1.2E-2</v>
      </c>
      <c r="AJ39" s="134">
        <v>1.2E-2</v>
      </c>
      <c r="AK39" s="134">
        <v>1.2E-2</v>
      </c>
      <c r="AL39" s="134">
        <v>1.2E-2</v>
      </c>
      <c r="AM39" s="134">
        <v>1.2E-2</v>
      </c>
      <c r="AN39" s="134">
        <v>1.2E-2</v>
      </c>
      <c r="AO39" s="134">
        <v>1.2E-2</v>
      </c>
      <c r="AP39" s="134">
        <v>1.2E-2</v>
      </c>
      <c r="AQ39" s="134">
        <v>1.2E-2</v>
      </c>
      <c r="AT39" s="128">
        <v>32</v>
      </c>
      <c r="AU39" s="134">
        <v>1.2E-2</v>
      </c>
    </row>
    <row r="40" spans="1:47" x14ac:dyDescent="0.25">
      <c r="A40" s="128">
        <v>33</v>
      </c>
      <c r="B40" s="134">
        <v>1.2999999999999999E-2</v>
      </c>
      <c r="C40" s="134">
        <v>1.2999999999999999E-2</v>
      </c>
      <c r="D40" s="134">
        <v>1.2999999999999999E-2</v>
      </c>
      <c r="E40" s="134">
        <v>1.2999999999999999E-2</v>
      </c>
      <c r="F40" s="134">
        <v>1.2999999999999999E-2</v>
      </c>
      <c r="G40" s="134">
        <v>1.2999999999999999E-2</v>
      </c>
      <c r="H40" s="134">
        <v>1.2999999999999999E-2</v>
      </c>
      <c r="I40" s="134">
        <v>1.2999999999999999E-2</v>
      </c>
      <c r="J40" s="134">
        <v>1.2999999999999999E-2</v>
      </c>
      <c r="K40" s="134">
        <v>1.2999999999999999E-2</v>
      </c>
      <c r="L40" s="134">
        <v>1.2999999999999999E-2</v>
      </c>
      <c r="M40" s="134">
        <v>1.2999999999999999E-2</v>
      </c>
      <c r="P40" s="128">
        <v>33</v>
      </c>
      <c r="Q40" s="134">
        <v>1.2999999999999999E-2</v>
      </c>
      <c r="R40" s="134">
        <v>1.2999999999999999E-2</v>
      </c>
      <c r="S40" s="134">
        <v>1.2999999999999999E-2</v>
      </c>
      <c r="T40" s="134">
        <v>1.2999999999999999E-2</v>
      </c>
      <c r="U40" s="134">
        <v>1.2999999999999999E-2</v>
      </c>
      <c r="V40" s="134">
        <v>1.2999999999999999E-2</v>
      </c>
      <c r="W40" s="134">
        <v>1.2999999999999999E-2</v>
      </c>
      <c r="X40" s="134">
        <v>1.2999999999999999E-2</v>
      </c>
      <c r="Y40" s="134">
        <v>1.2999999999999999E-2</v>
      </c>
      <c r="Z40" s="134">
        <v>1.2999999999999999E-2</v>
      </c>
      <c r="AA40" s="134">
        <v>1.2999999999999999E-2</v>
      </c>
      <c r="AB40" s="134">
        <v>1.2999999999999999E-2</v>
      </c>
      <c r="AE40" s="128">
        <v>33</v>
      </c>
      <c r="AF40" s="134">
        <v>1.2999999999999999E-2</v>
      </c>
      <c r="AG40" s="134">
        <v>1.2999999999999999E-2</v>
      </c>
      <c r="AH40" s="134">
        <v>1.2999999999999999E-2</v>
      </c>
      <c r="AI40" s="134">
        <v>1.2999999999999999E-2</v>
      </c>
      <c r="AJ40" s="134">
        <v>1.2999999999999999E-2</v>
      </c>
      <c r="AK40" s="134">
        <v>1.2999999999999999E-2</v>
      </c>
      <c r="AL40" s="134">
        <v>1.2E-2</v>
      </c>
      <c r="AM40" s="134">
        <v>1.2E-2</v>
      </c>
      <c r="AN40" s="134">
        <v>1.2E-2</v>
      </c>
      <c r="AO40" s="134">
        <v>1.2E-2</v>
      </c>
      <c r="AP40" s="134">
        <v>1.2E-2</v>
      </c>
      <c r="AQ40" s="134">
        <v>1.2E-2</v>
      </c>
      <c r="AT40" s="128">
        <v>33</v>
      </c>
      <c r="AU40" s="134">
        <v>1.2E-2</v>
      </c>
    </row>
    <row r="41" spans="1:47" x14ac:dyDescent="0.25">
      <c r="A41" s="128">
        <v>34</v>
      </c>
      <c r="B41" s="134">
        <v>1.2999999999999999E-2</v>
      </c>
      <c r="C41" s="134">
        <v>1.2999999999999999E-2</v>
      </c>
      <c r="D41" s="134">
        <v>1.2999999999999999E-2</v>
      </c>
      <c r="E41" s="134">
        <v>1.2999999999999999E-2</v>
      </c>
      <c r="F41" s="134">
        <v>1.2999999999999999E-2</v>
      </c>
      <c r="G41" s="134">
        <v>1.2999999999999999E-2</v>
      </c>
      <c r="H41" s="134">
        <v>1.2999999999999999E-2</v>
      </c>
      <c r="I41" s="134">
        <v>1.2999999999999999E-2</v>
      </c>
      <c r="J41" s="134">
        <v>1.2999999999999999E-2</v>
      </c>
      <c r="K41" s="134">
        <v>1.2999999999999999E-2</v>
      </c>
      <c r="L41" s="134">
        <v>1.2999999999999999E-2</v>
      </c>
      <c r="M41" s="134">
        <v>1.2999999999999999E-2</v>
      </c>
      <c r="P41" s="128">
        <v>34</v>
      </c>
      <c r="Q41" s="134">
        <v>1.2999999999999999E-2</v>
      </c>
      <c r="R41" s="134">
        <v>1.2999999999999999E-2</v>
      </c>
      <c r="S41" s="134">
        <v>1.2999999999999999E-2</v>
      </c>
      <c r="T41" s="134">
        <v>1.2999999999999999E-2</v>
      </c>
      <c r="U41" s="134">
        <v>1.2999999999999999E-2</v>
      </c>
      <c r="V41" s="134">
        <v>1.2999999999999999E-2</v>
      </c>
      <c r="W41" s="134">
        <v>1.2999999999999999E-2</v>
      </c>
      <c r="X41" s="134">
        <v>1.2999999999999999E-2</v>
      </c>
      <c r="Y41" s="134">
        <v>1.2999999999999999E-2</v>
      </c>
      <c r="Z41" s="134">
        <v>1.2999999999999999E-2</v>
      </c>
      <c r="AA41" s="134">
        <v>1.2999999999999999E-2</v>
      </c>
      <c r="AB41" s="134">
        <v>1.2999999999999999E-2</v>
      </c>
      <c r="AE41" s="128">
        <v>34</v>
      </c>
      <c r="AF41" s="134">
        <v>1.2999999999999999E-2</v>
      </c>
      <c r="AG41" s="134">
        <v>1.2999999999999999E-2</v>
      </c>
      <c r="AH41" s="134">
        <v>1.2999999999999999E-2</v>
      </c>
      <c r="AI41" s="134">
        <v>1.2999999999999999E-2</v>
      </c>
      <c r="AJ41" s="134">
        <v>1.2999999999999999E-2</v>
      </c>
      <c r="AK41" s="134">
        <v>1.2999999999999999E-2</v>
      </c>
      <c r="AL41" s="134">
        <v>1.2999999999999999E-2</v>
      </c>
      <c r="AM41" s="134">
        <v>1.2999999999999999E-2</v>
      </c>
      <c r="AN41" s="134">
        <v>1.2999999999999999E-2</v>
      </c>
      <c r="AO41" s="134">
        <v>1.2999999999999999E-2</v>
      </c>
      <c r="AP41" s="134">
        <v>1.2999999999999999E-2</v>
      </c>
      <c r="AQ41" s="134">
        <v>1.2999999999999999E-2</v>
      </c>
      <c r="AT41" s="128">
        <v>34</v>
      </c>
      <c r="AU41" s="134">
        <v>1.2999999999999999E-2</v>
      </c>
    </row>
    <row r="42" spans="1:47" x14ac:dyDescent="0.25">
      <c r="A42" s="128">
        <v>35</v>
      </c>
      <c r="B42" s="134">
        <v>1.4E-2</v>
      </c>
      <c r="C42" s="134">
        <v>1.4E-2</v>
      </c>
      <c r="D42" s="134">
        <v>1.4E-2</v>
      </c>
      <c r="E42" s="134">
        <v>1.4E-2</v>
      </c>
      <c r="F42" s="134">
        <v>1.4E-2</v>
      </c>
      <c r="G42" s="134">
        <v>1.4E-2</v>
      </c>
      <c r="H42" s="134">
        <v>1.4E-2</v>
      </c>
      <c r="I42" s="134">
        <v>1.2999999999999999E-2</v>
      </c>
      <c r="J42" s="134">
        <v>1.2999999999999999E-2</v>
      </c>
      <c r="K42" s="134">
        <v>1.2999999999999999E-2</v>
      </c>
      <c r="L42" s="134">
        <v>1.2999999999999999E-2</v>
      </c>
      <c r="M42" s="134">
        <v>1.2999999999999999E-2</v>
      </c>
      <c r="P42" s="128">
        <v>35</v>
      </c>
      <c r="Q42" s="134">
        <v>1.2999999999999999E-2</v>
      </c>
      <c r="R42" s="134">
        <v>1.2999999999999999E-2</v>
      </c>
      <c r="S42" s="134">
        <v>1.2999999999999999E-2</v>
      </c>
      <c r="T42" s="134">
        <v>1.2999999999999999E-2</v>
      </c>
      <c r="U42" s="134">
        <v>1.2999999999999999E-2</v>
      </c>
      <c r="V42" s="134">
        <v>1.2999999999999999E-2</v>
      </c>
      <c r="W42" s="134">
        <v>1.2999999999999999E-2</v>
      </c>
      <c r="X42" s="134">
        <v>1.2999999999999999E-2</v>
      </c>
      <c r="Y42" s="134">
        <v>1.2999999999999999E-2</v>
      </c>
      <c r="Z42" s="134">
        <v>1.2999999999999999E-2</v>
      </c>
      <c r="AA42" s="134">
        <v>1.2999999999999999E-2</v>
      </c>
      <c r="AB42" s="134">
        <v>1.2999999999999999E-2</v>
      </c>
      <c r="AE42" s="128">
        <v>35</v>
      </c>
      <c r="AF42" s="134">
        <v>1.2999999999999999E-2</v>
      </c>
      <c r="AG42" s="134">
        <v>1.2999999999999999E-2</v>
      </c>
      <c r="AH42" s="134">
        <v>1.2999999999999999E-2</v>
      </c>
      <c r="AI42" s="134">
        <v>1.2999999999999999E-2</v>
      </c>
      <c r="AJ42" s="134">
        <v>1.2999999999999999E-2</v>
      </c>
      <c r="AK42" s="134">
        <v>1.2999999999999999E-2</v>
      </c>
      <c r="AL42" s="134">
        <v>1.2999999999999999E-2</v>
      </c>
      <c r="AM42" s="134">
        <v>1.2999999999999999E-2</v>
      </c>
      <c r="AN42" s="134">
        <v>1.2999999999999999E-2</v>
      </c>
      <c r="AO42" s="134">
        <v>1.2999999999999999E-2</v>
      </c>
      <c r="AP42" s="134">
        <v>1.2999999999999999E-2</v>
      </c>
      <c r="AQ42" s="134">
        <v>1.2999999999999999E-2</v>
      </c>
      <c r="AT42" s="128">
        <v>35</v>
      </c>
      <c r="AU42" s="134">
        <v>1.2999999999999999E-2</v>
      </c>
    </row>
    <row r="43" spans="1:47" x14ac:dyDescent="0.25">
      <c r="A43" s="128">
        <v>36</v>
      </c>
      <c r="B43" s="134">
        <v>1.4E-2</v>
      </c>
      <c r="C43" s="134">
        <v>1.4E-2</v>
      </c>
      <c r="D43" s="134">
        <v>1.4E-2</v>
      </c>
      <c r="E43" s="134">
        <v>1.4E-2</v>
      </c>
      <c r="F43" s="134">
        <v>1.4E-2</v>
      </c>
      <c r="G43" s="134">
        <v>1.4E-2</v>
      </c>
      <c r="H43" s="134">
        <v>1.4E-2</v>
      </c>
      <c r="I43" s="134">
        <v>1.4E-2</v>
      </c>
      <c r="J43" s="134">
        <v>1.4E-2</v>
      </c>
      <c r="K43" s="134">
        <v>1.4E-2</v>
      </c>
      <c r="L43" s="134">
        <v>1.4E-2</v>
      </c>
      <c r="M43" s="134">
        <v>1.4E-2</v>
      </c>
      <c r="P43" s="128">
        <v>36</v>
      </c>
      <c r="Q43" s="134">
        <v>1.4E-2</v>
      </c>
      <c r="R43" s="134">
        <v>1.4E-2</v>
      </c>
      <c r="S43" s="134">
        <v>1.4E-2</v>
      </c>
      <c r="T43" s="134">
        <v>1.4E-2</v>
      </c>
      <c r="U43" s="134">
        <v>1.2999999999999999E-2</v>
      </c>
      <c r="V43" s="134">
        <v>1.2999999999999999E-2</v>
      </c>
      <c r="W43" s="134">
        <v>1.2999999999999999E-2</v>
      </c>
      <c r="X43" s="134">
        <v>1.2999999999999999E-2</v>
      </c>
      <c r="Y43" s="134">
        <v>1.2999999999999999E-2</v>
      </c>
      <c r="Z43" s="134">
        <v>1.2999999999999999E-2</v>
      </c>
      <c r="AA43" s="134">
        <v>1.2999999999999999E-2</v>
      </c>
      <c r="AB43" s="134">
        <v>1.2999999999999999E-2</v>
      </c>
      <c r="AE43" s="128">
        <v>36</v>
      </c>
      <c r="AF43" s="134">
        <v>1.2999999999999999E-2</v>
      </c>
      <c r="AG43" s="134">
        <v>1.2999999999999999E-2</v>
      </c>
      <c r="AH43" s="134">
        <v>1.2999999999999999E-2</v>
      </c>
      <c r="AI43" s="134">
        <v>1.2999999999999999E-2</v>
      </c>
      <c r="AJ43" s="134">
        <v>1.2999999999999999E-2</v>
      </c>
      <c r="AK43" s="134">
        <v>1.2999999999999999E-2</v>
      </c>
      <c r="AL43" s="134">
        <v>1.2999999999999999E-2</v>
      </c>
      <c r="AM43" s="134">
        <v>1.2999999999999999E-2</v>
      </c>
      <c r="AN43" s="134">
        <v>1.2999999999999999E-2</v>
      </c>
      <c r="AO43" s="134">
        <v>1.2999999999999999E-2</v>
      </c>
      <c r="AP43" s="134">
        <v>1.2999999999999999E-2</v>
      </c>
      <c r="AQ43" s="134">
        <v>1.2999999999999999E-2</v>
      </c>
      <c r="AT43" s="128">
        <v>36</v>
      </c>
      <c r="AU43" s="134">
        <v>1.2999999999999999E-2</v>
      </c>
    </row>
    <row r="44" spans="1:47" x14ac:dyDescent="0.25">
      <c r="A44" s="128">
        <v>37</v>
      </c>
      <c r="B44" s="134">
        <v>1.4E-2</v>
      </c>
      <c r="C44" s="134">
        <v>1.4E-2</v>
      </c>
      <c r="D44" s="134">
        <v>1.4E-2</v>
      </c>
      <c r="E44" s="134">
        <v>1.4E-2</v>
      </c>
      <c r="F44" s="134">
        <v>1.4E-2</v>
      </c>
      <c r="G44" s="134">
        <v>1.4E-2</v>
      </c>
      <c r="H44" s="134">
        <v>1.4E-2</v>
      </c>
      <c r="I44" s="134">
        <v>1.4E-2</v>
      </c>
      <c r="J44" s="134">
        <v>1.4E-2</v>
      </c>
      <c r="K44" s="134">
        <v>1.4E-2</v>
      </c>
      <c r="L44" s="134">
        <v>1.4E-2</v>
      </c>
      <c r="M44" s="134">
        <v>1.4E-2</v>
      </c>
      <c r="P44" s="128">
        <v>37</v>
      </c>
      <c r="Q44" s="134">
        <v>1.4E-2</v>
      </c>
      <c r="R44" s="134">
        <v>1.4E-2</v>
      </c>
      <c r="S44" s="134">
        <v>1.4E-2</v>
      </c>
      <c r="T44" s="134">
        <v>1.4E-2</v>
      </c>
      <c r="U44" s="134">
        <v>1.4E-2</v>
      </c>
      <c r="V44" s="134">
        <v>1.4E-2</v>
      </c>
      <c r="W44" s="134">
        <v>1.4E-2</v>
      </c>
      <c r="X44" s="134">
        <v>1.4E-2</v>
      </c>
      <c r="Y44" s="134">
        <v>1.4E-2</v>
      </c>
      <c r="Z44" s="134">
        <v>1.4E-2</v>
      </c>
      <c r="AA44" s="134">
        <v>1.4E-2</v>
      </c>
      <c r="AB44" s="134">
        <v>1.4E-2</v>
      </c>
      <c r="AE44" s="128">
        <v>37</v>
      </c>
      <c r="AF44" s="134">
        <v>1.4E-2</v>
      </c>
      <c r="AG44" s="134">
        <v>1.2999999999999999E-2</v>
      </c>
      <c r="AH44" s="134">
        <v>1.2999999999999999E-2</v>
      </c>
      <c r="AI44" s="134">
        <v>1.2999999999999999E-2</v>
      </c>
      <c r="AJ44" s="134">
        <v>1.2999999999999999E-2</v>
      </c>
      <c r="AK44" s="134">
        <v>1.2999999999999999E-2</v>
      </c>
      <c r="AL44" s="134">
        <v>1.2999999999999999E-2</v>
      </c>
      <c r="AM44" s="134">
        <v>1.2999999999999999E-2</v>
      </c>
      <c r="AN44" s="134">
        <v>1.2999999999999999E-2</v>
      </c>
      <c r="AO44" s="134">
        <v>1.2999999999999999E-2</v>
      </c>
      <c r="AP44" s="134">
        <v>1.2999999999999999E-2</v>
      </c>
      <c r="AQ44" s="134">
        <v>1.2999999999999999E-2</v>
      </c>
      <c r="AT44" s="128">
        <v>37</v>
      </c>
      <c r="AU44" s="134">
        <v>1.2999999999999999E-2</v>
      </c>
    </row>
    <row r="45" spans="1:47" x14ac:dyDescent="0.25">
      <c r="A45" s="128">
        <v>38</v>
      </c>
      <c r="B45" s="134">
        <v>1.4E-2</v>
      </c>
      <c r="C45" s="134">
        <v>1.4E-2</v>
      </c>
      <c r="D45" s="134">
        <v>1.4E-2</v>
      </c>
      <c r="E45" s="134">
        <v>1.4E-2</v>
      </c>
      <c r="F45" s="134">
        <v>1.4E-2</v>
      </c>
      <c r="G45" s="134">
        <v>1.4E-2</v>
      </c>
      <c r="H45" s="134">
        <v>1.4E-2</v>
      </c>
      <c r="I45" s="134">
        <v>1.4E-2</v>
      </c>
      <c r="J45" s="134">
        <v>1.4E-2</v>
      </c>
      <c r="K45" s="134">
        <v>1.4E-2</v>
      </c>
      <c r="L45" s="134">
        <v>1.4E-2</v>
      </c>
      <c r="M45" s="134">
        <v>1.4E-2</v>
      </c>
      <c r="P45" s="128">
        <v>38</v>
      </c>
      <c r="Q45" s="134">
        <v>1.4E-2</v>
      </c>
      <c r="R45" s="134">
        <v>1.4E-2</v>
      </c>
      <c r="S45" s="134">
        <v>1.4E-2</v>
      </c>
      <c r="T45" s="134">
        <v>1.4E-2</v>
      </c>
      <c r="U45" s="134">
        <v>1.4E-2</v>
      </c>
      <c r="V45" s="134">
        <v>1.4E-2</v>
      </c>
      <c r="W45" s="134">
        <v>1.4E-2</v>
      </c>
      <c r="X45" s="134">
        <v>1.4E-2</v>
      </c>
      <c r="Y45" s="134">
        <v>1.4E-2</v>
      </c>
      <c r="Z45" s="134">
        <v>1.4E-2</v>
      </c>
      <c r="AA45" s="134">
        <v>1.4E-2</v>
      </c>
      <c r="AB45" s="134">
        <v>1.4E-2</v>
      </c>
      <c r="AE45" s="128">
        <v>38</v>
      </c>
      <c r="AF45" s="134">
        <v>1.4E-2</v>
      </c>
      <c r="AG45" s="134">
        <v>1.4E-2</v>
      </c>
      <c r="AH45" s="134">
        <v>1.4E-2</v>
      </c>
      <c r="AI45" s="134">
        <v>1.4E-2</v>
      </c>
      <c r="AJ45" s="134">
        <v>1.4E-2</v>
      </c>
      <c r="AK45" s="134">
        <v>1.4E-2</v>
      </c>
      <c r="AL45" s="134">
        <v>1.4E-2</v>
      </c>
      <c r="AM45" s="134">
        <v>1.4E-2</v>
      </c>
      <c r="AN45" s="134">
        <v>1.4E-2</v>
      </c>
      <c r="AO45" s="134">
        <v>1.2999999999999999E-2</v>
      </c>
      <c r="AP45" s="134">
        <v>1.2999999999999999E-2</v>
      </c>
      <c r="AQ45" s="134">
        <v>1.2999999999999999E-2</v>
      </c>
      <c r="AT45" s="128">
        <v>38</v>
      </c>
      <c r="AU45" s="134">
        <v>1.2999999999999999E-2</v>
      </c>
    </row>
    <row r="46" spans="1:47" x14ac:dyDescent="0.25">
      <c r="A46" s="128">
        <v>39</v>
      </c>
      <c r="B46" s="134">
        <v>1.4999999999999999E-2</v>
      </c>
      <c r="C46" s="134">
        <v>1.4999999999999999E-2</v>
      </c>
      <c r="D46" s="134">
        <v>1.4999999999999999E-2</v>
      </c>
      <c r="E46" s="134">
        <v>1.4999999999999999E-2</v>
      </c>
      <c r="F46" s="134">
        <v>1.4999999999999999E-2</v>
      </c>
      <c r="G46" s="134">
        <v>1.4E-2</v>
      </c>
      <c r="H46" s="134">
        <v>1.4E-2</v>
      </c>
      <c r="I46" s="134">
        <v>1.4E-2</v>
      </c>
      <c r="J46" s="134">
        <v>1.4E-2</v>
      </c>
      <c r="K46" s="134">
        <v>1.4E-2</v>
      </c>
      <c r="L46" s="134">
        <v>1.4E-2</v>
      </c>
      <c r="M46" s="134">
        <v>1.4E-2</v>
      </c>
      <c r="P46" s="128">
        <v>39</v>
      </c>
      <c r="Q46" s="134">
        <v>1.4E-2</v>
      </c>
      <c r="R46" s="134">
        <v>1.4E-2</v>
      </c>
      <c r="S46" s="134">
        <v>1.4E-2</v>
      </c>
      <c r="T46" s="134">
        <v>1.4E-2</v>
      </c>
      <c r="U46" s="134">
        <v>1.4E-2</v>
      </c>
      <c r="V46" s="134">
        <v>1.4E-2</v>
      </c>
      <c r="W46" s="134">
        <v>1.4E-2</v>
      </c>
      <c r="X46" s="134">
        <v>1.4E-2</v>
      </c>
      <c r="Y46" s="134">
        <v>1.4E-2</v>
      </c>
      <c r="Z46" s="134">
        <v>1.4E-2</v>
      </c>
      <c r="AA46" s="134">
        <v>1.4E-2</v>
      </c>
      <c r="AB46" s="134">
        <v>1.4E-2</v>
      </c>
      <c r="AE46" s="128">
        <v>39</v>
      </c>
      <c r="AF46" s="134">
        <v>1.4E-2</v>
      </c>
      <c r="AG46" s="134">
        <v>1.4E-2</v>
      </c>
      <c r="AH46" s="134">
        <v>1.4E-2</v>
      </c>
      <c r="AI46" s="134">
        <v>1.4E-2</v>
      </c>
      <c r="AJ46" s="134">
        <v>1.4E-2</v>
      </c>
      <c r="AK46" s="134">
        <v>1.4E-2</v>
      </c>
      <c r="AL46" s="134">
        <v>1.4E-2</v>
      </c>
      <c r="AM46" s="134">
        <v>1.4E-2</v>
      </c>
      <c r="AN46" s="134">
        <v>1.4E-2</v>
      </c>
      <c r="AO46" s="134">
        <v>1.4E-2</v>
      </c>
      <c r="AP46" s="134">
        <v>1.4E-2</v>
      </c>
      <c r="AQ46" s="134">
        <v>1.4E-2</v>
      </c>
      <c r="AT46" s="128">
        <v>39</v>
      </c>
      <c r="AU46" s="134">
        <v>1.4E-2</v>
      </c>
    </row>
    <row r="47" spans="1:47" x14ac:dyDescent="0.25">
      <c r="A47" s="128">
        <v>40</v>
      </c>
      <c r="B47" s="134">
        <v>1.4999999999999999E-2</v>
      </c>
      <c r="C47" s="134">
        <v>1.4999999999999999E-2</v>
      </c>
      <c r="D47" s="134">
        <v>1.4999999999999999E-2</v>
      </c>
      <c r="E47" s="134">
        <v>1.4999999999999999E-2</v>
      </c>
      <c r="F47" s="134">
        <v>1.4999999999999999E-2</v>
      </c>
      <c r="G47" s="134">
        <v>1.4999999999999999E-2</v>
      </c>
      <c r="H47" s="134">
        <v>1.4999999999999999E-2</v>
      </c>
      <c r="I47" s="134">
        <v>1.4999999999999999E-2</v>
      </c>
      <c r="J47" s="134">
        <v>1.4999999999999999E-2</v>
      </c>
      <c r="K47" s="134">
        <v>1.4999999999999999E-2</v>
      </c>
      <c r="L47" s="134">
        <v>1.4999999999999999E-2</v>
      </c>
      <c r="M47" s="134">
        <v>1.4999999999999999E-2</v>
      </c>
      <c r="P47" s="128">
        <v>40</v>
      </c>
      <c r="Q47" s="134">
        <v>1.4999999999999999E-2</v>
      </c>
      <c r="R47" s="134">
        <v>1.4999999999999999E-2</v>
      </c>
      <c r="S47" s="134">
        <v>1.4E-2</v>
      </c>
      <c r="T47" s="134">
        <v>1.4E-2</v>
      </c>
      <c r="U47" s="134">
        <v>1.4E-2</v>
      </c>
      <c r="V47" s="134">
        <v>1.4E-2</v>
      </c>
      <c r="W47" s="134">
        <v>1.4E-2</v>
      </c>
      <c r="X47" s="134">
        <v>1.4E-2</v>
      </c>
      <c r="Y47" s="134">
        <v>1.4E-2</v>
      </c>
      <c r="Z47" s="134">
        <v>1.4E-2</v>
      </c>
      <c r="AA47" s="134">
        <v>1.4E-2</v>
      </c>
      <c r="AB47" s="134">
        <v>1.4E-2</v>
      </c>
      <c r="AE47" s="128">
        <v>40</v>
      </c>
      <c r="AF47" s="134">
        <v>1.4E-2</v>
      </c>
      <c r="AG47" s="134">
        <v>1.4E-2</v>
      </c>
      <c r="AH47" s="134">
        <v>1.4E-2</v>
      </c>
      <c r="AI47" s="134">
        <v>1.4E-2</v>
      </c>
      <c r="AJ47" s="134">
        <v>1.4E-2</v>
      </c>
      <c r="AK47" s="134">
        <v>1.4E-2</v>
      </c>
      <c r="AL47" s="134">
        <v>1.4E-2</v>
      </c>
      <c r="AM47" s="134">
        <v>1.4E-2</v>
      </c>
      <c r="AN47" s="134">
        <v>1.4E-2</v>
      </c>
      <c r="AO47" s="134">
        <v>1.4E-2</v>
      </c>
      <c r="AP47" s="134">
        <v>1.4E-2</v>
      </c>
      <c r="AQ47" s="134">
        <v>1.4E-2</v>
      </c>
      <c r="AT47" s="128">
        <v>40</v>
      </c>
      <c r="AU47" s="134">
        <v>1.4E-2</v>
      </c>
    </row>
    <row r="48" spans="1:47" x14ac:dyDescent="0.25">
      <c r="A48" s="128">
        <v>41</v>
      </c>
      <c r="B48" s="134">
        <v>1.4999999999999999E-2</v>
      </c>
      <c r="C48" s="134">
        <v>1.4999999999999999E-2</v>
      </c>
      <c r="D48" s="134">
        <v>1.4999999999999999E-2</v>
      </c>
      <c r="E48" s="134">
        <v>1.4999999999999999E-2</v>
      </c>
      <c r="F48" s="134">
        <v>1.4999999999999999E-2</v>
      </c>
      <c r="G48" s="134">
        <v>1.4999999999999999E-2</v>
      </c>
      <c r="H48" s="134">
        <v>1.4999999999999999E-2</v>
      </c>
      <c r="I48" s="134">
        <v>1.4999999999999999E-2</v>
      </c>
      <c r="J48" s="134">
        <v>1.4999999999999999E-2</v>
      </c>
      <c r="K48" s="134">
        <v>1.4999999999999999E-2</v>
      </c>
      <c r="L48" s="134">
        <v>1.4999999999999999E-2</v>
      </c>
      <c r="M48" s="134">
        <v>1.4999999999999999E-2</v>
      </c>
      <c r="P48" s="128">
        <v>41</v>
      </c>
      <c r="Q48" s="134">
        <v>1.4999999999999999E-2</v>
      </c>
      <c r="R48" s="134">
        <v>1.4999999999999999E-2</v>
      </c>
      <c r="S48" s="134">
        <v>1.4999999999999999E-2</v>
      </c>
      <c r="T48" s="134">
        <v>1.4999999999999999E-2</v>
      </c>
      <c r="U48" s="134">
        <v>1.4999999999999999E-2</v>
      </c>
      <c r="V48" s="134">
        <v>1.4999999999999999E-2</v>
      </c>
      <c r="W48" s="134">
        <v>1.4999999999999999E-2</v>
      </c>
      <c r="X48" s="134">
        <v>1.4999999999999999E-2</v>
      </c>
      <c r="Y48" s="134">
        <v>1.4999999999999999E-2</v>
      </c>
      <c r="Z48" s="134">
        <v>1.4999999999999999E-2</v>
      </c>
      <c r="AA48" s="134">
        <v>1.4999999999999999E-2</v>
      </c>
      <c r="AB48" s="134">
        <v>1.4E-2</v>
      </c>
      <c r="AE48" s="128">
        <v>41</v>
      </c>
      <c r="AF48" s="134">
        <v>1.4E-2</v>
      </c>
      <c r="AG48" s="134">
        <v>1.4E-2</v>
      </c>
      <c r="AH48" s="134">
        <v>1.4E-2</v>
      </c>
      <c r="AI48" s="134">
        <v>1.4E-2</v>
      </c>
      <c r="AJ48" s="134">
        <v>1.4E-2</v>
      </c>
      <c r="AK48" s="134">
        <v>1.4E-2</v>
      </c>
      <c r="AL48" s="134">
        <v>1.4E-2</v>
      </c>
      <c r="AM48" s="134">
        <v>1.4E-2</v>
      </c>
      <c r="AN48" s="134">
        <v>1.4E-2</v>
      </c>
      <c r="AO48" s="134">
        <v>1.4E-2</v>
      </c>
      <c r="AP48" s="134">
        <v>1.4E-2</v>
      </c>
      <c r="AQ48" s="134">
        <v>1.4E-2</v>
      </c>
      <c r="AT48" s="128">
        <v>41</v>
      </c>
      <c r="AU48" s="134">
        <v>1.4E-2</v>
      </c>
    </row>
    <row r="49" spans="1:47" x14ac:dyDescent="0.25">
      <c r="A49" s="128">
        <v>42</v>
      </c>
      <c r="B49" s="134">
        <v>1.4999999999999999E-2</v>
      </c>
      <c r="C49" s="134">
        <v>1.4999999999999999E-2</v>
      </c>
      <c r="D49" s="134">
        <v>1.4999999999999999E-2</v>
      </c>
      <c r="E49" s="134">
        <v>1.4999999999999999E-2</v>
      </c>
      <c r="F49" s="134">
        <v>1.4999999999999999E-2</v>
      </c>
      <c r="G49" s="134">
        <v>1.4999999999999999E-2</v>
      </c>
      <c r="H49" s="134">
        <v>1.4999999999999999E-2</v>
      </c>
      <c r="I49" s="134">
        <v>1.4999999999999999E-2</v>
      </c>
      <c r="J49" s="134">
        <v>1.4999999999999999E-2</v>
      </c>
      <c r="K49" s="134">
        <v>1.4999999999999999E-2</v>
      </c>
      <c r="L49" s="134">
        <v>1.4999999999999999E-2</v>
      </c>
      <c r="M49" s="134">
        <v>1.4999999999999999E-2</v>
      </c>
      <c r="P49" s="128">
        <v>42</v>
      </c>
      <c r="Q49" s="134">
        <v>1.4999999999999999E-2</v>
      </c>
      <c r="R49" s="134">
        <v>1.4999999999999999E-2</v>
      </c>
      <c r="S49" s="134">
        <v>1.4999999999999999E-2</v>
      </c>
      <c r="T49" s="134">
        <v>1.4999999999999999E-2</v>
      </c>
      <c r="U49" s="134">
        <v>1.4999999999999999E-2</v>
      </c>
      <c r="V49" s="134">
        <v>1.4999999999999999E-2</v>
      </c>
      <c r="W49" s="134">
        <v>1.4999999999999999E-2</v>
      </c>
      <c r="X49" s="134">
        <v>1.4999999999999999E-2</v>
      </c>
      <c r="Y49" s="134">
        <v>1.4999999999999999E-2</v>
      </c>
      <c r="Z49" s="134">
        <v>1.4999999999999999E-2</v>
      </c>
      <c r="AA49" s="134">
        <v>1.4999999999999999E-2</v>
      </c>
      <c r="AB49" s="134">
        <v>1.4999999999999999E-2</v>
      </c>
      <c r="AE49" s="128">
        <v>42</v>
      </c>
      <c r="AF49" s="134">
        <v>1.4999999999999999E-2</v>
      </c>
      <c r="AG49" s="134">
        <v>1.4999999999999999E-2</v>
      </c>
      <c r="AH49" s="134">
        <v>1.4999999999999999E-2</v>
      </c>
      <c r="AI49" s="134">
        <v>1.4999999999999999E-2</v>
      </c>
      <c r="AJ49" s="134">
        <v>1.4999999999999999E-2</v>
      </c>
      <c r="AK49" s="134">
        <v>1.4999999999999999E-2</v>
      </c>
      <c r="AL49" s="134">
        <v>1.4999999999999999E-2</v>
      </c>
      <c r="AM49" s="134">
        <v>1.4E-2</v>
      </c>
      <c r="AN49" s="134">
        <v>1.4E-2</v>
      </c>
      <c r="AO49" s="134">
        <v>1.4E-2</v>
      </c>
      <c r="AP49" s="134">
        <v>1.4E-2</v>
      </c>
      <c r="AQ49" s="134">
        <v>1.4E-2</v>
      </c>
      <c r="AT49" s="128">
        <v>42</v>
      </c>
      <c r="AU49" s="134">
        <v>1.4E-2</v>
      </c>
    </row>
    <row r="50" spans="1:47" x14ac:dyDescent="0.25">
      <c r="A50" s="128">
        <v>43</v>
      </c>
      <c r="B50" s="134">
        <v>1.6E-2</v>
      </c>
      <c r="C50" s="134">
        <v>1.6E-2</v>
      </c>
      <c r="D50" s="134">
        <v>1.6E-2</v>
      </c>
      <c r="E50" s="134">
        <v>1.6E-2</v>
      </c>
      <c r="F50" s="134">
        <v>1.6E-2</v>
      </c>
      <c r="G50" s="134">
        <v>1.6E-2</v>
      </c>
      <c r="H50" s="134">
        <v>1.4999999999999999E-2</v>
      </c>
      <c r="I50" s="134">
        <v>1.4999999999999999E-2</v>
      </c>
      <c r="J50" s="134">
        <v>1.4999999999999999E-2</v>
      </c>
      <c r="K50" s="134">
        <v>1.4999999999999999E-2</v>
      </c>
      <c r="L50" s="134">
        <v>1.4999999999999999E-2</v>
      </c>
      <c r="M50" s="134">
        <v>1.4999999999999999E-2</v>
      </c>
      <c r="P50" s="128">
        <v>43</v>
      </c>
      <c r="Q50" s="134">
        <v>1.4999999999999999E-2</v>
      </c>
      <c r="R50" s="134">
        <v>1.4999999999999999E-2</v>
      </c>
      <c r="S50" s="134">
        <v>1.4999999999999999E-2</v>
      </c>
      <c r="T50" s="134">
        <v>1.4999999999999999E-2</v>
      </c>
      <c r="U50" s="134">
        <v>1.4999999999999999E-2</v>
      </c>
      <c r="V50" s="134">
        <v>1.4999999999999999E-2</v>
      </c>
      <c r="W50" s="134">
        <v>1.4999999999999999E-2</v>
      </c>
      <c r="X50" s="134">
        <v>1.4999999999999999E-2</v>
      </c>
      <c r="Y50" s="134">
        <v>1.4999999999999999E-2</v>
      </c>
      <c r="Z50" s="134">
        <v>1.4999999999999999E-2</v>
      </c>
      <c r="AA50" s="134">
        <v>1.4999999999999999E-2</v>
      </c>
      <c r="AB50" s="134">
        <v>1.4999999999999999E-2</v>
      </c>
      <c r="AE50" s="128">
        <v>43</v>
      </c>
      <c r="AF50" s="134">
        <v>1.4999999999999999E-2</v>
      </c>
      <c r="AG50" s="134">
        <v>1.4999999999999999E-2</v>
      </c>
      <c r="AH50" s="134">
        <v>1.4999999999999999E-2</v>
      </c>
      <c r="AI50" s="134">
        <v>1.4999999999999999E-2</v>
      </c>
      <c r="AJ50" s="134">
        <v>1.4999999999999999E-2</v>
      </c>
      <c r="AK50" s="134">
        <v>1.4999999999999999E-2</v>
      </c>
      <c r="AL50" s="134">
        <v>1.4999999999999999E-2</v>
      </c>
      <c r="AM50" s="134">
        <v>1.4999999999999999E-2</v>
      </c>
      <c r="AN50" s="134">
        <v>1.4999999999999999E-2</v>
      </c>
      <c r="AO50" s="134">
        <v>1.4999999999999999E-2</v>
      </c>
      <c r="AP50" s="134">
        <v>1.4999999999999999E-2</v>
      </c>
      <c r="AQ50" s="134">
        <v>1.4999999999999999E-2</v>
      </c>
      <c r="AT50" s="128">
        <v>43</v>
      </c>
      <c r="AU50" s="134">
        <v>1.4999999999999999E-2</v>
      </c>
    </row>
    <row r="51" spans="1:47" x14ac:dyDescent="0.25">
      <c r="A51" s="128">
        <v>44</v>
      </c>
      <c r="B51" s="134">
        <v>1.6E-2</v>
      </c>
      <c r="C51" s="134">
        <v>1.6E-2</v>
      </c>
      <c r="D51" s="134">
        <v>1.6E-2</v>
      </c>
      <c r="E51" s="134">
        <v>1.6E-2</v>
      </c>
      <c r="F51" s="134">
        <v>1.6E-2</v>
      </c>
      <c r="G51" s="134">
        <v>1.6E-2</v>
      </c>
      <c r="H51" s="134">
        <v>1.6E-2</v>
      </c>
      <c r="I51" s="134">
        <v>1.6E-2</v>
      </c>
      <c r="J51" s="134">
        <v>1.6E-2</v>
      </c>
      <c r="K51" s="134">
        <v>1.6E-2</v>
      </c>
      <c r="L51" s="134">
        <v>1.6E-2</v>
      </c>
      <c r="M51" s="134">
        <v>1.6E-2</v>
      </c>
      <c r="P51" s="128">
        <v>44</v>
      </c>
      <c r="Q51" s="134">
        <v>1.6E-2</v>
      </c>
      <c r="R51" s="134">
        <v>1.6E-2</v>
      </c>
      <c r="S51" s="134">
        <v>1.6E-2</v>
      </c>
      <c r="T51" s="134">
        <v>1.4999999999999999E-2</v>
      </c>
      <c r="U51" s="134">
        <v>1.4999999999999999E-2</v>
      </c>
      <c r="V51" s="134">
        <v>1.4999999999999999E-2</v>
      </c>
      <c r="W51" s="134">
        <v>1.4999999999999999E-2</v>
      </c>
      <c r="X51" s="134">
        <v>1.4999999999999999E-2</v>
      </c>
      <c r="Y51" s="134">
        <v>1.4999999999999999E-2</v>
      </c>
      <c r="Z51" s="134">
        <v>1.4999999999999999E-2</v>
      </c>
      <c r="AA51" s="134">
        <v>1.4999999999999999E-2</v>
      </c>
      <c r="AB51" s="134">
        <v>1.4999999999999999E-2</v>
      </c>
      <c r="AE51" s="128">
        <v>44</v>
      </c>
      <c r="AF51" s="134">
        <v>1.4999999999999999E-2</v>
      </c>
      <c r="AG51" s="134">
        <v>1.4999999999999999E-2</v>
      </c>
      <c r="AH51" s="134">
        <v>1.4999999999999999E-2</v>
      </c>
      <c r="AI51" s="134">
        <v>1.4999999999999999E-2</v>
      </c>
      <c r="AJ51" s="134">
        <v>1.4999999999999999E-2</v>
      </c>
      <c r="AK51" s="134">
        <v>1.4999999999999999E-2</v>
      </c>
      <c r="AL51" s="134">
        <v>1.4999999999999999E-2</v>
      </c>
      <c r="AM51" s="134">
        <v>1.4999999999999999E-2</v>
      </c>
      <c r="AN51" s="134">
        <v>1.4999999999999999E-2</v>
      </c>
      <c r="AO51" s="134">
        <v>1.4999999999999999E-2</v>
      </c>
      <c r="AP51" s="134">
        <v>1.4999999999999999E-2</v>
      </c>
      <c r="AQ51" s="134">
        <v>1.4999999999999999E-2</v>
      </c>
      <c r="AT51" s="128">
        <v>44</v>
      </c>
      <c r="AU51" s="134">
        <v>1.4999999999999999E-2</v>
      </c>
    </row>
    <row r="52" spans="1:47" x14ac:dyDescent="0.25">
      <c r="A52" s="128">
        <v>45</v>
      </c>
      <c r="B52" s="134">
        <v>1.6E-2</v>
      </c>
      <c r="C52" s="134">
        <v>1.6E-2</v>
      </c>
      <c r="D52" s="134">
        <v>1.6E-2</v>
      </c>
      <c r="E52" s="134">
        <v>1.6E-2</v>
      </c>
      <c r="F52" s="134">
        <v>1.6E-2</v>
      </c>
      <c r="G52" s="134">
        <v>1.6E-2</v>
      </c>
      <c r="H52" s="134">
        <v>1.6E-2</v>
      </c>
      <c r="I52" s="134">
        <v>1.6E-2</v>
      </c>
      <c r="J52" s="134">
        <v>1.6E-2</v>
      </c>
      <c r="K52" s="134">
        <v>1.6E-2</v>
      </c>
      <c r="L52" s="134">
        <v>1.6E-2</v>
      </c>
      <c r="M52" s="134">
        <v>1.6E-2</v>
      </c>
      <c r="P52" s="128">
        <v>45</v>
      </c>
      <c r="Q52" s="134">
        <v>1.6E-2</v>
      </c>
      <c r="R52" s="134">
        <v>1.6E-2</v>
      </c>
      <c r="S52" s="134">
        <v>1.6E-2</v>
      </c>
      <c r="T52" s="134">
        <v>1.6E-2</v>
      </c>
      <c r="U52" s="134">
        <v>1.6E-2</v>
      </c>
      <c r="V52" s="134">
        <v>1.6E-2</v>
      </c>
      <c r="W52" s="134">
        <v>1.6E-2</v>
      </c>
      <c r="X52" s="134">
        <v>1.6E-2</v>
      </c>
      <c r="Y52" s="134">
        <v>1.6E-2</v>
      </c>
      <c r="Z52" s="134">
        <v>1.6E-2</v>
      </c>
      <c r="AA52" s="134">
        <v>1.6E-2</v>
      </c>
      <c r="AB52" s="134">
        <v>1.6E-2</v>
      </c>
      <c r="AE52" s="128">
        <v>45</v>
      </c>
      <c r="AF52" s="134">
        <v>1.4999999999999999E-2</v>
      </c>
      <c r="AG52" s="134">
        <v>1.4999999999999999E-2</v>
      </c>
      <c r="AH52" s="134">
        <v>1.4999999999999999E-2</v>
      </c>
      <c r="AI52" s="134">
        <v>1.4999999999999999E-2</v>
      </c>
      <c r="AJ52" s="134">
        <v>1.4999999999999999E-2</v>
      </c>
      <c r="AK52" s="134">
        <v>1.4999999999999999E-2</v>
      </c>
      <c r="AL52" s="134">
        <v>1.4999999999999999E-2</v>
      </c>
      <c r="AM52" s="134">
        <v>1.4999999999999999E-2</v>
      </c>
      <c r="AN52" s="134">
        <v>1.4999999999999999E-2</v>
      </c>
      <c r="AO52" s="134">
        <v>1.4999999999999999E-2</v>
      </c>
      <c r="AP52" s="134">
        <v>1.4999999999999999E-2</v>
      </c>
      <c r="AQ52" s="134">
        <v>1.4999999999999999E-2</v>
      </c>
      <c r="AT52" s="128">
        <v>45</v>
      </c>
      <c r="AU52" s="134">
        <v>1.4999999999999999E-2</v>
      </c>
    </row>
    <row r="53" spans="1:47" x14ac:dyDescent="0.25">
      <c r="A53" s="128">
        <v>46</v>
      </c>
      <c r="B53" s="134">
        <v>1.7000000000000001E-2</v>
      </c>
      <c r="C53" s="134">
        <v>1.6E-2</v>
      </c>
      <c r="D53" s="134">
        <v>1.6E-2</v>
      </c>
      <c r="E53" s="134">
        <v>1.6E-2</v>
      </c>
      <c r="F53" s="134">
        <v>1.6E-2</v>
      </c>
      <c r="G53" s="134">
        <v>1.6E-2</v>
      </c>
      <c r="H53" s="134">
        <v>1.6E-2</v>
      </c>
      <c r="I53" s="134">
        <v>1.6E-2</v>
      </c>
      <c r="J53" s="134">
        <v>1.6E-2</v>
      </c>
      <c r="K53" s="134">
        <v>1.6E-2</v>
      </c>
      <c r="L53" s="134">
        <v>1.6E-2</v>
      </c>
      <c r="M53" s="134">
        <v>1.6E-2</v>
      </c>
      <c r="P53" s="128">
        <v>46</v>
      </c>
      <c r="Q53" s="134">
        <v>1.6E-2</v>
      </c>
      <c r="R53" s="134">
        <v>1.6E-2</v>
      </c>
      <c r="S53" s="134">
        <v>1.6E-2</v>
      </c>
      <c r="T53" s="134">
        <v>1.6E-2</v>
      </c>
      <c r="U53" s="134">
        <v>1.6E-2</v>
      </c>
      <c r="V53" s="134">
        <v>1.6E-2</v>
      </c>
      <c r="W53" s="134">
        <v>1.6E-2</v>
      </c>
      <c r="X53" s="134">
        <v>1.6E-2</v>
      </c>
      <c r="Y53" s="134">
        <v>1.6E-2</v>
      </c>
      <c r="Z53" s="134">
        <v>1.6E-2</v>
      </c>
      <c r="AA53" s="134">
        <v>1.6E-2</v>
      </c>
      <c r="AB53" s="134">
        <v>1.6E-2</v>
      </c>
      <c r="AE53" s="128">
        <v>46</v>
      </c>
      <c r="AF53" s="134">
        <v>1.6E-2</v>
      </c>
      <c r="AG53" s="134">
        <v>1.6E-2</v>
      </c>
      <c r="AH53" s="134">
        <v>1.6E-2</v>
      </c>
      <c r="AI53" s="134">
        <v>1.6E-2</v>
      </c>
      <c r="AJ53" s="134">
        <v>1.6E-2</v>
      </c>
      <c r="AK53" s="134">
        <v>1.6E-2</v>
      </c>
      <c r="AL53" s="134">
        <v>1.6E-2</v>
      </c>
      <c r="AM53" s="134">
        <v>1.6E-2</v>
      </c>
      <c r="AN53" s="134">
        <v>1.6E-2</v>
      </c>
      <c r="AO53" s="134">
        <v>1.4999999999999999E-2</v>
      </c>
      <c r="AP53" s="134">
        <v>1.4999999999999999E-2</v>
      </c>
      <c r="AQ53" s="134">
        <v>1.4999999999999999E-2</v>
      </c>
      <c r="AT53" s="128">
        <v>46</v>
      </c>
      <c r="AU53" s="134">
        <v>1.4999999999999999E-2</v>
      </c>
    </row>
    <row r="54" spans="1:47" x14ac:dyDescent="0.25">
      <c r="A54" s="128">
        <v>47</v>
      </c>
      <c r="B54" s="134">
        <v>1.7000000000000001E-2</v>
      </c>
      <c r="C54" s="134">
        <v>1.7000000000000001E-2</v>
      </c>
      <c r="D54" s="134">
        <v>1.7000000000000001E-2</v>
      </c>
      <c r="E54" s="134">
        <v>1.7000000000000001E-2</v>
      </c>
      <c r="F54" s="134">
        <v>1.7000000000000001E-2</v>
      </c>
      <c r="G54" s="134">
        <v>1.7000000000000001E-2</v>
      </c>
      <c r="H54" s="134">
        <v>1.7000000000000001E-2</v>
      </c>
      <c r="I54" s="134">
        <v>1.7000000000000001E-2</v>
      </c>
      <c r="J54" s="134">
        <v>1.7000000000000001E-2</v>
      </c>
      <c r="K54" s="134">
        <v>1.7000000000000001E-2</v>
      </c>
      <c r="L54" s="134">
        <v>1.6E-2</v>
      </c>
      <c r="M54" s="134">
        <v>1.6E-2</v>
      </c>
      <c r="P54" s="128">
        <v>47</v>
      </c>
      <c r="Q54" s="134">
        <v>1.6E-2</v>
      </c>
      <c r="R54" s="134">
        <v>1.6E-2</v>
      </c>
      <c r="S54" s="134">
        <v>1.6E-2</v>
      </c>
      <c r="T54" s="134">
        <v>1.6E-2</v>
      </c>
      <c r="U54" s="134">
        <v>1.6E-2</v>
      </c>
      <c r="V54" s="134">
        <v>1.6E-2</v>
      </c>
      <c r="W54" s="134">
        <v>1.6E-2</v>
      </c>
      <c r="X54" s="134">
        <v>1.6E-2</v>
      </c>
      <c r="Y54" s="134">
        <v>1.6E-2</v>
      </c>
      <c r="Z54" s="134">
        <v>1.6E-2</v>
      </c>
      <c r="AA54" s="134">
        <v>1.6E-2</v>
      </c>
      <c r="AB54" s="134">
        <v>1.6E-2</v>
      </c>
      <c r="AE54" s="128">
        <v>47</v>
      </c>
      <c r="AF54" s="134">
        <v>1.6E-2</v>
      </c>
      <c r="AG54" s="134">
        <v>1.6E-2</v>
      </c>
      <c r="AH54" s="134">
        <v>1.6E-2</v>
      </c>
      <c r="AI54" s="134">
        <v>1.6E-2</v>
      </c>
      <c r="AJ54" s="134">
        <v>1.6E-2</v>
      </c>
      <c r="AK54" s="134">
        <v>1.6E-2</v>
      </c>
      <c r="AL54" s="134">
        <v>1.6E-2</v>
      </c>
      <c r="AM54" s="134">
        <v>1.6E-2</v>
      </c>
      <c r="AN54" s="134">
        <v>1.6E-2</v>
      </c>
      <c r="AO54" s="134">
        <v>1.6E-2</v>
      </c>
      <c r="AP54" s="134">
        <v>1.6E-2</v>
      </c>
      <c r="AQ54" s="134">
        <v>1.6E-2</v>
      </c>
      <c r="AT54" s="128">
        <v>47</v>
      </c>
      <c r="AU54" s="134">
        <v>1.6E-2</v>
      </c>
    </row>
    <row r="55" spans="1:47" x14ac:dyDescent="0.25">
      <c r="A55" s="128">
        <v>48</v>
      </c>
      <c r="B55" s="134">
        <v>1.7000000000000001E-2</v>
      </c>
      <c r="C55" s="134">
        <v>1.7000000000000001E-2</v>
      </c>
      <c r="D55" s="134">
        <v>1.7000000000000001E-2</v>
      </c>
      <c r="E55" s="134">
        <v>1.7000000000000001E-2</v>
      </c>
      <c r="F55" s="134">
        <v>1.7000000000000001E-2</v>
      </c>
      <c r="G55" s="134">
        <v>1.7000000000000001E-2</v>
      </c>
      <c r="H55" s="134">
        <v>1.7000000000000001E-2</v>
      </c>
      <c r="I55" s="134">
        <v>1.7000000000000001E-2</v>
      </c>
      <c r="J55" s="134">
        <v>1.7000000000000001E-2</v>
      </c>
      <c r="K55" s="134">
        <v>1.7000000000000001E-2</v>
      </c>
      <c r="L55" s="134">
        <v>1.7000000000000001E-2</v>
      </c>
      <c r="M55" s="134">
        <v>1.7000000000000001E-2</v>
      </c>
      <c r="P55" s="128">
        <v>48</v>
      </c>
      <c r="Q55" s="134">
        <v>1.7000000000000001E-2</v>
      </c>
      <c r="R55" s="134">
        <v>1.7000000000000001E-2</v>
      </c>
      <c r="S55" s="134">
        <v>1.7000000000000001E-2</v>
      </c>
      <c r="T55" s="134">
        <v>1.7000000000000001E-2</v>
      </c>
      <c r="U55" s="134">
        <v>1.7000000000000001E-2</v>
      </c>
      <c r="V55" s="134">
        <v>1.7000000000000001E-2</v>
      </c>
      <c r="W55" s="134">
        <v>1.7000000000000001E-2</v>
      </c>
      <c r="X55" s="134">
        <v>1.6E-2</v>
      </c>
      <c r="Y55" s="134">
        <v>1.6E-2</v>
      </c>
      <c r="Z55" s="134">
        <v>1.6E-2</v>
      </c>
      <c r="AA55" s="134">
        <v>1.6E-2</v>
      </c>
      <c r="AB55" s="134">
        <v>1.6E-2</v>
      </c>
      <c r="AE55" s="128">
        <v>48</v>
      </c>
      <c r="AF55" s="134">
        <v>1.6E-2</v>
      </c>
      <c r="AG55" s="134">
        <v>1.6E-2</v>
      </c>
      <c r="AH55" s="134">
        <v>1.6E-2</v>
      </c>
      <c r="AI55" s="134">
        <v>1.6E-2</v>
      </c>
      <c r="AJ55" s="134">
        <v>1.6E-2</v>
      </c>
      <c r="AK55" s="134">
        <v>1.6E-2</v>
      </c>
      <c r="AL55" s="134">
        <v>1.6E-2</v>
      </c>
      <c r="AM55" s="134">
        <v>1.6E-2</v>
      </c>
      <c r="AN55" s="134">
        <v>1.6E-2</v>
      </c>
      <c r="AO55" s="134">
        <v>1.6E-2</v>
      </c>
      <c r="AP55" s="134">
        <v>1.6E-2</v>
      </c>
      <c r="AQ55" s="134">
        <v>1.6E-2</v>
      </c>
      <c r="AT55" s="128">
        <v>48</v>
      </c>
      <c r="AU55" s="134">
        <v>1.6E-2</v>
      </c>
    </row>
    <row r="56" spans="1:47" x14ac:dyDescent="0.25">
      <c r="A56" s="128">
        <v>49</v>
      </c>
      <c r="B56" s="134">
        <v>1.7000000000000001E-2</v>
      </c>
      <c r="C56" s="134">
        <v>1.7000000000000001E-2</v>
      </c>
      <c r="D56" s="134">
        <v>1.7000000000000001E-2</v>
      </c>
      <c r="E56" s="134">
        <v>1.7000000000000001E-2</v>
      </c>
      <c r="F56" s="134">
        <v>1.7000000000000001E-2</v>
      </c>
      <c r="G56" s="134">
        <v>1.7000000000000001E-2</v>
      </c>
      <c r="H56" s="134">
        <v>1.7000000000000001E-2</v>
      </c>
      <c r="I56" s="134">
        <v>1.7000000000000001E-2</v>
      </c>
      <c r="J56" s="134">
        <v>1.7000000000000001E-2</v>
      </c>
      <c r="K56" s="134">
        <v>1.7000000000000001E-2</v>
      </c>
      <c r="L56" s="134">
        <v>1.7000000000000001E-2</v>
      </c>
      <c r="M56" s="134">
        <v>1.7000000000000001E-2</v>
      </c>
      <c r="P56" s="128">
        <v>49</v>
      </c>
      <c r="Q56" s="134">
        <v>1.7000000000000001E-2</v>
      </c>
      <c r="R56" s="134">
        <v>1.7000000000000001E-2</v>
      </c>
      <c r="S56" s="134">
        <v>1.7000000000000001E-2</v>
      </c>
      <c r="T56" s="134">
        <v>1.7000000000000001E-2</v>
      </c>
      <c r="U56" s="134">
        <v>1.7000000000000001E-2</v>
      </c>
      <c r="V56" s="134">
        <v>1.7000000000000001E-2</v>
      </c>
      <c r="W56" s="134">
        <v>1.7000000000000001E-2</v>
      </c>
      <c r="X56" s="134">
        <v>1.7000000000000001E-2</v>
      </c>
      <c r="Y56" s="134">
        <v>1.7000000000000001E-2</v>
      </c>
      <c r="Z56" s="134">
        <v>1.7000000000000001E-2</v>
      </c>
      <c r="AA56" s="134">
        <v>1.7000000000000001E-2</v>
      </c>
      <c r="AB56" s="134">
        <v>1.7000000000000001E-2</v>
      </c>
      <c r="AE56" s="128">
        <v>49</v>
      </c>
      <c r="AF56" s="134">
        <v>1.7000000000000001E-2</v>
      </c>
      <c r="AG56" s="134">
        <v>1.7000000000000001E-2</v>
      </c>
      <c r="AH56" s="134">
        <v>1.7000000000000001E-2</v>
      </c>
      <c r="AI56" s="134">
        <v>1.7000000000000001E-2</v>
      </c>
      <c r="AJ56" s="134">
        <v>1.6E-2</v>
      </c>
      <c r="AK56" s="134">
        <v>1.6E-2</v>
      </c>
      <c r="AL56" s="134">
        <v>1.6E-2</v>
      </c>
      <c r="AM56" s="134">
        <v>1.6E-2</v>
      </c>
      <c r="AN56" s="134">
        <v>1.6E-2</v>
      </c>
      <c r="AO56" s="134">
        <v>1.6E-2</v>
      </c>
      <c r="AP56" s="134">
        <v>1.6E-2</v>
      </c>
      <c r="AQ56" s="134">
        <v>1.6E-2</v>
      </c>
      <c r="AT56" s="128">
        <v>49</v>
      </c>
      <c r="AU56" s="134">
        <v>1.6E-2</v>
      </c>
    </row>
    <row r="57" spans="1:47" x14ac:dyDescent="0.25">
      <c r="A57" s="128">
        <v>50</v>
      </c>
      <c r="B57" s="134">
        <v>1.7999999999999999E-2</v>
      </c>
      <c r="C57" s="134">
        <v>1.7999999999999999E-2</v>
      </c>
      <c r="D57" s="134">
        <v>1.7999999999999999E-2</v>
      </c>
      <c r="E57" s="134">
        <v>1.7999999999999999E-2</v>
      </c>
      <c r="F57" s="134">
        <v>1.7999999999999999E-2</v>
      </c>
      <c r="G57" s="134">
        <v>1.7999999999999999E-2</v>
      </c>
      <c r="H57" s="134">
        <v>1.7999999999999999E-2</v>
      </c>
      <c r="I57" s="134">
        <v>1.7000000000000001E-2</v>
      </c>
      <c r="J57" s="134">
        <v>1.7000000000000001E-2</v>
      </c>
      <c r="K57" s="134">
        <v>1.7000000000000001E-2</v>
      </c>
      <c r="L57" s="134">
        <v>1.7000000000000001E-2</v>
      </c>
      <c r="M57" s="134">
        <v>1.7000000000000001E-2</v>
      </c>
      <c r="P57" s="128">
        <v>50</v>
      </c>
      <c r="Q57" s="134">
        <v>1.7000000000000001E-2</v>
      </c>
      <c r="R57" s="134">
        <v>1.7000000000000001E-2</v>
      </c>
      <c r="S57" s="134">
        <v>1.7000000000000001E-2</v>
      </c>
      <c r="T57" s="134">
        <v>1.7000000000000001E-2</v>
      </c>
      <c r="U57" s="134">
        <v>1.7000000000000001E-2</v>
      </c>
      <c r="V57" s="134">
        <v>1.7000000000000001E-2</v>
      </c>
      <c r="W57" s="134">
        <v>1.7000000000000001E-2</v>
      </c>
      <c r="X57" s="134">
        <v>1.7000000000000001E-2</v>
      </c>
      <c r="Y57" s="134">
        <v>1.7000000000000001E-2</v>
      </c>
      <c r="Z57" s="134">
        <v>1.7000000000000001E-2</v>
      </c>
      <c r="AA57" s="134">
        <v>1.7000000000000001E-2</v>
      </c>
      <c r="AB57" s="134">
        <v>1.7000000000000001E-2</v>
      </c>
      <c r="AE57" s="128">
        <v>50</v>
      </c>
      <c r="AF57" s="134">
        <v>1.7000000000000001E-2</v>
      </c>
      <c r="AG57" s="134">
        <v>1.7000000000000001E-2</v>
      </c>
      <c r="AH57" s="134">
        <v>1.7000000000000001E-2</v>
      </c>
      <c r="AI57" s="134">
        <v>1.7000000000000001E-2</v>
      </c>
      <c r="AJ57" s="134">
        <v>1.7000000000000001E-2</v>
      </c>
      <c r="AK57" s="134">
        <v>1.7000000000000001E-2</v>
      </c>
      <c r="AL57" s="134">
        <v>1.7000000000000001E-2</v>
      </c>
      <c r="AM57" s="134">
        <v>1.7000000000000001E-2</v>
      </c>
      <c r="AN57" s="134">
        <v>1.7000000000000001E-2</v>
      </c>
      <c r="AO57" s="134">
        <v>1.7000000000000001E-2</v>
      </c>
      <c r="AP57" s="134">
        <v>1.7000000000000001E-2</v>
      </c>
      <c r="AQ57" s="134">
        <v>1.7000000000000001E-2</v>
      </c>
      <c r="AT57" s="128">
        <v>50</v>
      </c>
      <c r="AU57" s="134">
        <v>1.6E-2</v>
      </c>
    </row>
    <row r="58" spans="1:47" x14ac:dyDescent="0.25">
      <c r="A58" s="128">
        <v>51</v>
      </c>
      <c r="B58" s="134">
        <v>1.7999999999999999E-2</v>
      </c>
      <c r="C58" s="134">
        <v>1.7999999999999999E-2</v>
      </c>
      <c r="D58" s="134">
        <v>1.7999999999999999E-2</v>
      </c>
      <c r="E58" s="134">
        <v>1.7999999999999999E-2</v>
      </c>
      <c r="F58" s="134">
        <v>1.7999999999999999E-2</v>
      </c>
      <c r="G58" s="134">
        <v>1.7999999999999999E-2</v>
      </c>
      <c r="H58" s="134">
        <v>1.7999999999999999E-2</v>
      </c>
      <c r="I58" s="134">
        <v>1.7999999999999999E-2</v>
      </c>
      <c r="J58" s="134">
        <v>1.7999999999999999E-2</v>
      </c>
      <c r="K58" s="134">
        <v>1.7999999999999999E-2</v>
      </c>
      <c r="L58" s="134">
        <v>1.7999999999999999E-2</v>
      </c>
      <c r="M58" s="134">
        <v>1.7999999999999999E-2</v>
      </c>
      <c r="P58" s="128">
        <v>51</v>
      </c>
      <c r="Q58" s="134">
        <v>1.7999999999999999E-2</v>
      </c>
      <c r="R58" s="134">
        <v>1.7999999999999999E-2</v>
      </c>
      <c r="S58" s="134">
        <v>1.7999999999999999E-2</v>
      </c>
      <c r="T58" s="134">
        <v>1.7999999999999999E-2</v>
      </c>
      <c r="U58" s="134">
        <v>1.7999999999999999E-2</v>
      </c>
      <c r="V58" s="134">
        <v>1.7000000000000001E-2</v>
      </c>
      <c r="W58" s="134">
        <v>1.7000000000000001E-2</v>
      </c>
      <c r="X58" s="134">
        <v>1.7000000000000001E-2</v>
      </c>
      <c r="Y58" s="134">
        <v>1.7000000000000001E-2</v>
      </c>
      <c r="Z58" s="134">
        <v>1.7000000000000001E-2</v>
      </c>
      <c r="AA58" s="134">
        <v>1.7000000000000001E-2</v>
      </c>
      <c r="AB58" s="134">
        <v>1.7000000000000001E-2</v>
      </c>
      <c r="AE58" s="128">
        <v>51</v>
      </c>
      <c r="AF58" s="134">
        <v>1.7000000000000001E-2</v>
      </c>
      <c r="AG58" s="134">
        <v>1.7000000000000001E-2</v>
      </c>
      <c r="AH58" s="134">
        <v>1.7000000000000001E-2</v>
      </c>
      <c r="AI58" s="134">
        <v>1.7000000000000001E-2</v>
      </c>
      <c r="AJ58" s="134">
        <v>1.7000000000000001E-2</v>
      </c>
      <c r="AK58" s="134">
        <v>1.7000000000000001E-2</v>
      </c>
      <c r="AL58" s="134">
        <v>1.7000000000000001E-2</v>
      </c>
      <c r="AM58" s="134">
        <v>1.7000000000000001E-2</v>
      </c>
      <c r="AN58" s="134">
        <v>1.7000000000000001E-2</v>
      </c>
      <c r="AO58" s="134">
        <v>1.7000000000000001E-2</v>
      </c>
      <c r="AP58" s="134">
        <v>1.7000000000000001E-2</v>
      </c>
      <c r="AQ58" s="134">
        <v>1.7000000000000001E-2</v>
      </c>
      <c r="AT58" s="128">
        <v>51</v>
      </c>
      <c r="AU58" s="134">
        <v>1.7000000000000001E-2</v>
      </c>
    </row>
    <row r="59" spans="1:47" x14ac:dyDescent="0.25">
      <c r="A59" s="128">
        <v>52</v>
      </c>
      <c r="B59" s="134">
        <v>1.7999999999999999E-2</v>
      </c>
      <c r="C59" s="134">
        <v>1.7999999999999999E-2</v>
      </c>
      <c r="D59" s="134">
        <v>1.7999999999999999E-2</v>
      </c>
      <c r="E59" s="134">
        <v>1.7999999999999999E-2</v>
      </c>
      <c r="F59" s="134">
        <v>1.7999999999999999E-2</v>
      </c>
      <c r="G59" s="134">
        <v>1.7999999999999999E-2</v>
      </c>
      <c r="H59" s="134">
        <v>1.7999999999999999E-2</v>
      </c>
      <c r="I59" s="134">
        <v>1.7999999999999999E-2</v>
      </c>
      <c r="J59" s="134">
        <v>1.7999999999999999E-2</v>
      </c>
      <c r="K59" s="134">
        <v>1.7999999999999999E-2</v>
      </c>
      <c r="L59" s="134">
        <v>1.7999999999999999E-2</v>
      </c>
      <c r="M59" s="134">
        <v>1.7999999999999999E-2</v>
      </c>
      <c r="P59" s="128">
        <v>52</v>
      </c>
      <c r="Q59" s="134">
        <v>1.7999999999999999E-2</v>
      </c>
      <c r="R59" s="134">
        <v>1.7999999999999999E-2</v>
      </c>
      <c r="S59" s="134">
        <v>1.7999999999999999E-2</v>
      </c>
      <c r="T59" s="134">
        <v>1.7999999999999999E-2</v>
      </c>
      <c r="U59" s="134">
        <v>1.7999999999999999E-2</v>
      </c>
      <c r="V59" s="134">
        <v>1.7999999999999999E-2</v>
      </c>
      <c r="W59" s="134">
        <v>1.7999999999999999E-2</v>
      </c>
      <c r="X59" s="134">
        <v>1.7999999999999999E-2</v>
      </c>
      <c r="Y59" s="134">
        <v>1.7999999999999999E-2</v>
      </c>
      <c r="Z59" s="134">
        <v>1.7999999999999999E-2</v>
      </c>
      <c r="AA59" s="134">
        <v>1.7999999999999999E-2</v>
      </c>
      <c r="AB59" s="134">
        <v>1.7999999999999999E-2</v>
      </c>
      <c r="AE59" s="128">
        <v>52</v>
      </c>
      <c r="AF59" s="134">
        <v>1.7999999999999999E-2</v>
      </c>
      <c r="AG59" s="134">
        <v>1.7999999999999999E-2</v>
      </c>
      <c r="AH59" s="134">
        <v>1.7000000000000001E-2</v>
      </c>
      <c r="AI59" s="134">
        <v>1.7000000000000001E-2</v>
      </c>
      <c r="AJ59" s="134">
        <v>1.7000000000000001E-2</v>
      </c>
      <c r="AK59" s="134">
        <v>1.7000000000000001E-2</v>
      </c>
      <c r="AL59" s="134">
        <v>1.7000000000000001E-2</v>
      </c>
      <c r="AM59" s="134">
        <v>1.7000000000000001E-2</v>
      </c>
      <c r="AN59" s="134">
        <v>1.7000000000000001E-2</v>
      </c>
      <c r="AO59" s="134">
        <v>1.7000000000000001E-2</v>
      </c>
      <c r="AP59" s="134">
        <v>1.7000000000000001E-2</v>
      </c>
      <c r="AQ59" s="134">
        <v>1.7000000000000001E-2</v>
      </c>
      <c r="AT59" s="128">
        <v>52</v>
      </c>
      <c r="AU59" s="134">
        <v>1.7000000000000001E-2</v>
      </c>
    </row>
    <row r="60" spans="1:47" x14ac:dyDescent="0.25">
      <c r="A60" s="128">
        <v>53</v>
      </c>
      <c r="B60" s="134">
        <v>1.9E-2</v>
      </c>
      <c r="C60" s="134">
        <v>1.9E-2</v>
      </c>
      <c r="D60" s="134">
        <v>1.9E-2</v>
      </c>
      <c r="E60" s="134">
        <v>1.9E-2</v>
      </c>
      <c r="F60" s="134">
        <v>1.9E-2</v>
      </c>
      <c r="G60" s="134">
        <v>1.9E-2</v>
      </c>
      <c r="H60" s="134">
        <v>1.9E-2</v>
      </c>
      <c r="I60" s="134">
        <v>1.7999999999999999E-2</v>
      </c>
      <c r="J60" s="134">
        <v>1.7999999999999999E-2</v>
      </c>
      <c r="K60" s="134">
        <v>1.7999999999999999E-2</v>
      </c>
      <c r="L60" s="134">
        <v>1.7999999999999999E-2</v>
      </c>
      <c r="M60" s="134">
        <v>1.7999999999999999E-2</v>
      </c>
      <c r="P60" s="128">
        <v>53</v>
      </c>
      <c r="Q60" s="134">
        <v>1.7999999999999999E-2</v>
      </c>
      <c r="R60" s="134">
        <v>1.7999999999999999E-2</v>
      </c>
      <c r="S60" s="134">
        <v>1.7999999999999999E-2</v>
      </c>
      <c r="T60" s="134">
        <v>1.7999999999999999E-2</v>
      </c>
      <c r="U60" s="134">
        <v>1.7999999999999999E-2</v>
      </c>
      <c r="V60" s="134">
        <v>1.7999999999999999E-2</v>
      </c>
      <c r="W60" s="134">
        <v>1.7999999999999999E-2</v>
      </c>
      <c r="X60" s="134">
        <v>1.7999999999999999E-2</v>
      </c>
      <c r="Y60" s="134">
        <v>1.7999999999999999E-2</v>
      </c>
      <c r="Z60" s="134">
        <v>1.7999999999999999E-2</v>
      </c>
      <c r="AA60" s="134">
        <v>1.7999999999999999E-2</v>
      </c>
      <c r="AB60" s="134">
        <v>1.7999999999999999E-2</v>
      </c>
      <c r="AE60" s="128">
        <v>53</v>
      </c>
      <c r="AF60" s="134">
        <v>1.7999999999999999E-2</v>
      </c>
      <c r="AG60" s="134">
        <v>1.7999999999999999E-2</v>
      </c>
      <c r="AH60" s="134">
        <v>1.7999999999999999E-2</v>
      </c>
      <c r="AI60" s="134">
        <v>1.7999999999999999E-2</v>
      </c>
      <c r="AJ60" s="134">
        <v>1.7999999999999999E-2</v>
      </c>
      <c r="AK60" s="134">
        <v>1.7999999999999999E-2</v>
      </c>
      <c r="AL60" s="134">
        <v>1.7999999999999999E-2</v>
      </c>
      <c r="AM60" s="134">
        <v>1.7999999999999999E-2</v>
      </c>
      <c r="AN60" s="134">
        <v>1.7999999999999999E-2</v>
      </c>
      <c r="AO60" s="134">
        <v>1.7999999999999999E-2</v>
      </c>
      <c r="AP60" s="134">
        <v>1.7000000000000001E-2</v>
      </c>
      <c r="AQ60" s="134">
        <v>1.7000000000000001E-2</v>
      </c>
      <c r="AT60" s="128">
        <v>53</v>
      </c>
      <c r="AU60" s="134">
        <v>1.7000000000000001E-2</v>
      </c>
    </row>
    <row r="61" spans="1:47" x14ac:dyDescent="0.25">
      <c r="A61" s="128">
        <v>54</v>
      </c>
      <c r="B61" s="134">
        <v>1.9E-2</v>
      </c>
      <c r="C61" s="134">
        <v>1.9E-2</v>
      </c>
      <c r="D61" s="134">
        <v>1.9E-2</v>
      </c>
      <c r="E61" s="134">
        <v>1.9E-2</v>
      </c>
      <c r="F61" s="134">
        <v>1.9E-2</v>
      </c>
      <c r="G61" s="134">
        <v>1.9E-2</v>
      </c>
      <c r="H61" s="134">
        <v>1.9E-2</v>
      </c>
      <c r="I61" s="134">
        <v>1.9E-2</v>
      </c>
      <c r="J61" s="134">
        <v>1.9E-2</v>
      </c>
      <c r="K61" s="134">
        <v>1.9E-2</v>
      </c>
      <c r="L61" s="134">
        <v>1.9E-2</v>
      </c>
      <c r="M61" s="134">
        <v>1.9E-2</v>
      </c>
      <c r="P61" s="128">
        <v>54</v>
      </c>
      <c r="Q61" s="134">
        <v>1.9E-2</v>
      </c>
      <c r="R61" s="134">
        <v>1.9E-2</v>
      </c>
      <c r="S61" s="134">
        <v>1.9E-2</v>
      </c>
      <c r="T61" s="134">
        <v>1.9E-2</v>
      </c>
      <c r="U61" s="134">
        <v>1.9E-2</v>
      </c>
      <c r="V61" s="134">
        <v>1.7999999999999999E-2</v>
      </c>
      <c r="W61" s="134">
        <v>1.7999999999999999E-2</v>
      </c>
      <c r="X61" s="134">
        <v>1.7999999999999999E-2</v>
      </c>
      <c r="Y61" s="134">
        <v>1.7999999999999999E-2</v>
      </c>
      <c r="Z61" s="134">
        <v>1.7999999999999999E-2</v>
      </c>
      <c r="AA61" s="134">
        <v>1.7999999999999999E-2</v>
      </c>
      <c r="AB61" s="134">
        <v>1.7999999999999999E-2</v>
      </c>
      <c r="AE61" s="128">
        <v>54</v>
      </c>
      <c r="AF61" s="134">
        <v>1.7999999999999999E-2</v>
      </c>
      <c r="AG61" s="134">
        <v>1.7999999999999999E-2</v>
      </c>
      <c r="AH61" s="134">
        <v>1.7999999999999999E-2</v>
      </c>
      <c r="AI61" s="134">
        <v>1.7999999999999999E-2</v>
      </c>
      <c r="AJ61" s="134">
        <v>1.7999999999999999E-2</v>
      </c>
      <c r="AK61" s="134">
        <v>1.7999999999999999E-2</v>
      </c>
      <c r="AL61" s="134">
        <v>1.7999999999999999E-2</v>
      </c>
      <c r="AM61" s="134">
        <v>1.7999999999999999E-2</v>
      </c>
      <c r="AN61" s="134">
        <v>1.7999999999999999E-2</v>
      </c>
      <c r="AO61" s="134">
        <v>1.7999999999999999E-2</v>
      </c>
      <c r="AP61" s="134">
        <v>1.7999999999999999E-2</v>
      </c>
      <c r="AQ61" s="134">
        <v>1.7999999999999999E-2</v>
      </c>
      <c r="AT61" s="128">
        <v>54</v>
      </c>
      <c r="AU61" s="134">
        <v>1.7999999999999999E-2</v>
      </c>
    </row>
    <row r="62" spans="1:47" x14ac:dyDescent="0.25">
      <c r="A62" s="128">
        <v>55</v>
      </c>
      <c r="B62" s="134">
        <v>1.9E-2</v>
      </c>
      <c r="C62" s="134">
        <v>1.9E-2</v>
      </c>
      <c r="D62" s="134">
        <v>1.9E-2</v>
      </c>
      <c r="E62" s="134">
        <v>1.9E-2</v>
      </c>
      <c r="F62" s="134">
        <v>1.9E-2</v>
      </c>
      <c r="G62" s="134">
        <v>1.9E-2</v>
      </c>
      <c r="H62" s="134">
        <v>1.9E-2</v>
      </c>
      <c r="I62" s="134">
        <v>1.9E-2</v>
      </c>
      <c r="J62" s="134">
        <v>1.9E-2</v>
      </c>
      <c r="K62" s="134">
        <v>1.9E-2</v>
      </c>
      <c r="L62" s="134">
        <v>1.9E-2</v>
      </c>
      <c r="M62" s="134">
        <v>1.9E-2</v>
      </c>
      <c r="P62" s="128">
        <v>55</v>
      </c>
      <c r="Q62" s="134">
        <v>1.9E-2</v>
      </c>
      <c r="R62" s="134">
        <v>1.9E-2</v>
      </c>
      <c r="S62" s="134">
        <v>1.9E-2</v>
      </c>
      <c r="T62" s="134">
        <v>1.9E-2</v>
      </c>
      <c r="U62" s="134">
        <v>1.9E-2</v>
      </c>
      <c r="V62" s="134">
        <v>1.9E-2</v>
      </c>
      <c r="W62" s="134">
        <v>1.9E-2</v>
      </c>
      <c r="X62" s="134">
        <v>1.9E-2</v>
      </c>
      <c r="Y62" s="134">
        <v>1.9E-2</v>
      </c>
      <c r="Z62" s="134">
        <v>1.9E-2</v>
      </c>
      <c r="AA62" s="134">
        <v>1.9E-2</v>
      </c>
      <c r="AB62" s="134">
        <v>1.9E-2</v>
      </c>
      <c r="AE62" s="128">
        <v>55</v>
      </c>
      <c r="AF62" s="134">
        <v>1.9E-2</v>
      </c>
      <c r="AG62" s="134">
        <v>1.9E-2</v>
      </c>
      <c r="AH62" s="134">
        <v>1.7999999999999999E-2</v>
      </c>
      <c r="AI62" s="134">
        <v>1.7999999999999999E-2</v>
      </c>
      <c r="AJ62" s="134">
        <v>1.7999999999999999E-2</v>
      </c>
      <c r="AK62" s="134">
        <v>1.7999999999999999E-2</v>
      </c>
      <c r="AL62" s="134">
        <v>1.7999999999999999E-2</v>
      </c>
      <c r="AM62" s="134">
        <v>1.7999999999999999E-2</v>
      </c>
      <c r="AN62" s="134">
        <v>1.7999999999999999E-2</v>
      </c>
      <c r="AO62" s="134">
        <v>1.7999999999999999E-2</v>
      </c>
      <c r="AP62" s="134">
        <v>1.7999999999999999E-2</v>
      </c>
      <c r="AQ62" s="134">
        <v>1.7999999999999999E-2</v>
      </c>
      <c r="AT62" s="128">
        <v>55</v>
      </c>
      <c r="AU62" s="134">
        <v>1.7999999999999999E-2</v>
      </c>
    </row>
    <row r="63" spans="1:47" x14ac:dyDescent="0.25">
      <c r="A63" s="128">
        <v>56</v>
      </c>
      <c r="B63" s="134">
        <v>0.02</v>
      </c>
      <c r="C63" s="134">
        <v>0.02</v>
      </c>
      <c r="D63" s="134">
        <v>0.02</v>
      </c>
      <c r="E63" s="134">
        <v>0.02</v>
      </c>
      <c r="F63" s="134">
        <v>0.02</v>
      </c>
      <c r="G63" s="134">
        <v>0.02</v>
      </c>
      <c r="H63" s="134">
        <v>0.02</v>
      </c>
      <c r="I63" s="134">
        <v>0.02</v>
      </c>
      <c r="J63" s="134">
        <v>0.02</v>
      </c>
      <c r="K63" s="134">
        <v>1.9E-2</v>
      </c>
      <c r="L63" s="134">
        <v>1.9E-2</v>
      </c>
      <c r="M63" s="134">
        <v>1.9E-2</v>
      </c>
      <c r="P63" s="128">
        <v>56</v>
      </c>
      <c r="Q63" s="134">
        <v>1.9E-2</v>
      </c>
      <c r="R63" s="134">
        <v>1.9E-2</v>
      </c>
      <c r="S63" s="134">
        <v>1.9E-2</v>
      </c>
      <c r="T63" s="134">
        <v>1.9E-2</v>
      </c>
      <c r="U63" s="134">
        <v>1.9E-2</v>
      </c>
      <c r="V63" s="134">
        <v>1.9E-2</v>
      </c>
      <c r="W63" s="134">
        <v>1.9E-2</v>
      </c>
      <c r="X63" s="134">
        <v>1.9E-2</v>
      </c>
      <c r="Y63" s="134">
        <v>1.9E-2</v>
      </c>
      <c r="Z63" s="134">
        <v>1.9E-2</v>
      </c>
      <c r="AA63" s="134">
        <v>1.9E-2</v>
      </c>
      <c r="AB63" s="134">
        <v>1.9E-2</v>
      </c>
      <c r="AE63" s="128">
        <v>56</v>
      </c>
      <c r="AF63" s="134">
        <v>1.9E-2</v>
      </c>
      <c r="AG63" s="134">
        <v>1.9E-2</v>
      </c>
      <c r="AH63" s="134">
        <v>1.9E-2</v>
      </c>
      <c r="AI63" s="134">
        <v>1.9E-2</v>
      </c>
      <c r="AJ63" s="134">
        <v>1.9E-2</v>
      </c>
      <c r="AK63" s="134">
        <v>1.9E-2</v>
      </c>
      <c r="AL63" s="134">
        <v>1.9E-2</v>
      </c>
      <c r="AM63" s="134">
        <v>1.9E-2</v>
      </c>
      <c r="AN63" s="134">
        <v>1.9E-2</v>
      </c>
      <c r="AO63" s="134">
        <v>1.9E-2</v>
      </c>
      <c r="AP63" s="134">
        <v>1.9E-2</v>
      </c>
      <c r="AQ63" s="134">
        <v>1.7999999999999999E-2</v>
      </c>
      <c r="AT63" s="128">
        <v>56</v>
      </c>
      <c r="AU63" s="134">
        <v>1.7999999999999999E-2</v>
      </c>
    </row>
    <row r="64" spans="1:47" x14ac:dyDescent="0.25">
      <c r="A64" s="128">
        <v>57</v>
      </c>
      <c r="B64" s="134">
        <v>0.02</v>
      </c>
      <c r="C64" s="134">
        <v>0.02</v>
      </c>
      <c r="D64" s="134">
        <v>0.02</v>
      </c>
      <c r="E64" s="134">
        <v>0.02</v>
      </c>
      <c r="F64" s="134">
        <v>0.02</v>
      </c>
      <c r="G64" s="134">
        <v>0.02</v>
      </c>
      <c r="H64" s="134">
        <v>0.02</v>
      </c>
      <c r="I64" s="134">
        <v>0.02</v>
      </c>
      <c r="J64" s="134">
        <v>0.02</v>
      </c>
      <c r="K64" s="134">
        <v>0.02</v>
      </c>
      <c r="L64" s="134">
        <v>0.02</v>
      </c>
      <c r="M64" s="134">
        <v>0.02</v>
      </c>
      <c r="P64" s="128">
        <v>57</v>
      </c>
      <c r="Q64" s="134">
        <v>0.02</v>
      </c>
      <c r="R64" s="134">
        <v>0.02</v>
      </c>
      <c r="S64" s="134">
        <v>0.02</v>
      </c>
      <c r="T64" s="134">
        <v>0.02</v>
      </c>
      <c r="U64" s="134">
        <v>0.02</v>
      </c>
      <c r="V64" s="134">
        <v>0.02</v>
      </c>
      <c r="W64" s="134">
        <v>0.02</v>
      </c>
      <c r="X64" s="134">
        <v>1.9E-2</v>
      </c>
      <c r="Y64" s="134">
        <v>1.9E-2</v>
      </c>
      <c r="Z64" s="134">
        <v>1.9E-2</v>
      </c>
      <c r="AA64" s="134">
        <v>1.9E-2</v>
      </c>
      <c r="AB64" s="134">
        <v>1.9E-2</v>
      </c>
      <c r="AE64" s="128">
        <v>57</v>
      </c>
      <c r="AF64" s="134">
        <v>1.9E-2</v>
      </c>
      <c r="AG64" s="134">
        <v>1.9E-2</v>
      </c>
      <c r="AH64" s="134">
        <v>1.9E-2</v>
      </c>
      <c r="AI64" s="134">
        <v>1.9E-2</v>
      </c>
      <c r="AJ64" s="134">
        <v>1.9E-2</v>
      </c>
      <c r="AK64" s="134">
        <v>1.9E-2</v>
      </c>
      <c r="AL64" s="134">
        <v>1.9E-2</v>
      </c>
      <c r="AM64" s="134">
        <v>1.9E-2</v>
      </c>
      <c r="AN64" s="134">
        <v>1.9E-2</v>
      </c>
      <c r="AO64" s="134">
        <v>1.9E-2</v>
      </c>
      <c r="AP64" s="134">
        <v>1.9E-2</v>
      </c>
      <c r="AQ64" s="134">
        <v>1.9E-2</v>
      </c>
      <c r="AT64" s="128">
        <v>57</v>
      </c>
      <c r="AU64" s="134">
        <v>1.9E-2</v>
      </c>
    </row>
    <row r="65" spans="1:47" x14ac:dyDescent="0.25">
      <c r="A65" s="128">
        <v>58</v>
      </c>
      <c r="B65" s="134">
        <v>2.1000000000000001E-2</v>
      </c>
      <c r="C65" s="134">
        <v>2.1000000000000001E-2</v>
      </c>
      <c r="D65" s="134">
        <v>2.1000000000000001E-2</v>
      </c>
      <c r="E65" s="134">
        <v>2.1000000000000001E-2</v>
      </c>
      <c r="F65" s="134">
        <v>0.02</v>
      </c>
      <c r="G65" s="134">
        <v>0.02</v>
      </c>
      <c r="H65" s="134">
        <v>0.02</v>
      </c>
      <c r="I65" s="134">
        <v>0.02</v>
      </c>
      <c r="J65" s="134">
        <v>0.02</v>
      </c>
      <c r="K65" s="134">
        <v>0.02</v>
      </c>
      <c r="L65" s="134">
        <v>0.02</v>
      </c>
      <c r="M65" s="134">
        <v>0.02</v>
      </c>
      <c r="P65" s="128">
        <v>58</v>
      </c>
      <c r="Q65" s="134">
        <v>0.02</v>
      </c>
      <c r="R65" s="134">
        <v>0.02</v>
      </c>
      <c r="S65" s="134">
        <v>0.02</v>
      </c>
      <c r="T65" s="134">
        <v>0.02</v>
      </c>
      <c r="U65" s="134">
        <v>0.02</v>
      </c>
      <c r="V65" s="134">
        <v>0.02</v>
      </c>
      <c r="W65" s="134">
        <v>0.02</v>
      </c>
      <c r="X65" s="134">
        <v>0.02</v>
      </c>
      <c r="Y65" s="134">
        <v>0.02</v>
      </c>
      <c r="Z65" s="134">
        <v>0.02</v>
      </c>
      <c r="AA65" s="134">
        <v>0.02</v>
      </c>
      <c r="AB65" s="134">
        <v>0.02</v>
      </c>
      <c r="AE65" s="128">
        <v>58</v>
      </c>
      <c r="AF65" s="134">
        <v>0.02</v>
      </c>
      <c r="AG65" s="134">
        <v>0.02</v>
      </c>
      <c r="AH65" s="134">
        <v>0.02</v>
      </c>
      <c r="AI65" s="134">
        <v>0.02</v>
      </c>
      <c r="AJ65" s="134">
        <v>0.02</v>
      </c>
      <c r="AK65" s="134">
        <v>1.9E-2</v>
      </c>
      <c r="AL65" s="134">
        <v>1.9E-2</v>
      </c>
      <c r="AM65" s="134">
        <v>1.9E-2</v>
      </c>
      <c r="AN65" s="134">
        <v>1.9E-2</v>
      </c>
      <c r="AO65" s="134">
        <v>1.9E-2</v>
      </c>
      <c r="AP65" s="134">
        <v>1.9E-2</v>
      </c>
      <c r="AQ65" s="134">
        <v>1.9E-2</v>
      </c>
      <c r="AT65" s="128">
        <v>58</v>
      </c>
      <c r="AU65" s="134">
        <v>1.9E-2</v>
      </c>
    </row>
    <row r="66" spans="1:47" x14ac:dyDescent="0.25">
      <c r="A66" s="128">
        <v>59</v>
      </c>
      <c r="B66" s="134">
        <v>2.1000000000000001E-2</v>
      </c>
      <c r="C66" s="134">
        <v>2.1000000000000001E-2</v>
      </c>
      <c r="D66" s="134">
        <v>2.1000000000000001E-2</v>
      </c>
      <c r="E66" s="134">
        <v>2.1000000000000001E-2</v>
      </c>
      <c r="F66" s="134">
        <v>2.1000000000000001E-2</v>
      </c>
      <c r="G66" s="134">
        <v>2.1000000000000001E-2</v>
      </c>
      <c r="H66" s="134">
        <v>2.1000000000000001E-2</v>
      </c>
      <c r="I66" s="134">
        <v>2.1000000000000001E-2</v>
      </c>
      <c r="J66" s="134">
        <v>2.1000000000000001E-2</v>
      </c>
      <c r="K66" s="134">
        <v>2.1000000000000001E-2</v>
      </c>
      <c r="L66" s="134">
        <v>2.1000000000000001E-2</v>
      </c>
      <c r="M66" s="134">
        <v>2.1000000000000001E-2</v>
      </c>
      <c r="P66" s="128">
        <v>59</v>
      </c>
      <c r="Q66" s="134">
        <v>2.1000000000000001E-2</v>
      </c>
      <c r="R66" s="134">
        <v>2.1000000000000001E-2</v>
      </c>
      <c r="S66" s="134">
        <v>0.02</v>
      </c>
      <c r="T66" s="134">
        <v>0.02</v>
      </c>
      <c r="U66" s="134">
        <v>0.02</v>
      </c>
      <c r="V66" s="134">
        <v>0.02</v>
      </c>
      <c r="W66" s="134">
        <v>0.02</v>
      </c>
      <c r="X66" s="134">
        <v>0.02</v>
      </c>
      <c r="Y66" s="134">
        <v>0.02</v>
      </c>
      <c r="Z66" s="134">
        <v>0.02</v>
      </c>
      <c r="AA66" s="134">
        <v>0.02</v>
      </c>
      <c r="AB66" s="134">
        <v>0.02</v>
      </c>
      <c r="AE66" s="128">
        <v>59</v>
      </c>
      <c r="AF66" s="134">
        <v>0.02</v>
      </c>
      <c r="AG66" s="134">
        <v>0.02</v>
      </c>
      <c r="AH66" s="134">
        <v>0.02</v>
      </c>
      <c r="AI66" s="134">
        <v>0.02</v>
      </c>
      <c r="AJ66" s="134">
        <v>0.02</v>
      </c>
      <c r="AK66" s="134">
        <v>0.02</v>
      </c>
      <c r="AL66" s="134">
        <v>0.02</v>
      </c>
      <c r="AM66" s="134">
        <v>0.02</v>
      </c>
      <c r="AN66" s="134">
        <v>0.02</v>
      </c>
      <c r="AO66" s="134">
        <v>0.02</v>
      </c>
      <c r="AP66" s="134">
        <v>0.02</v>
      </c>
      <c r="AQ66" s="134">
        <v>0.02</v>
      </c>
      <c r="AT66" s="128">
        <v>59</v>
      </c>
      <c r="AU66" s="134">
        <v>0.02</v>
      </c>
    </row>
    <row r="67" spans="1:47" x14ac:dyDescent="0.25">
      <c r="A67" s="128">
        <v>60</v>
      </c>
      <c r="B67" s="134">
        <v>2.1999999999999999E-2</v>
      </c>
      <c r="C67" s="134">
        <v>2.1000000000000001E-2</v>
      </c>
      <c r="D67" s="134">
        <v>2.1000000000000001E-2</v>
      </c>
      <c r="E67" s="134">
        <v>2.1000000000000001E-2</v>
      </c>
      <c r="F67" s="134">
        <v>2.1000000000000001E-2</v>
      </c>
      <c r="G67" s="134">
        <v>2.1000000000000001E-2</v>
      </c>
      <c r="H67" s="134">
        <v>2.1000000000000001E-2</v>
      </c>
      <c r="I67" s="134">
        <v>2.1000000000000001E-2</v>
      </c>
      <c r="J67" s="134">
        <v>2.1000000000000001E-2</v>
      </c>
      <c r="K67" s="134">
        <v>2.1000000000000001E-2</v>
      </c>
      <c r="L67" s="134">
        <v>2.1000000000000001E-2</v>
      </c>
      <c r="M67" s="134">
        <v>2.1000000000000001E-2</v>
      </c>
      <c r="P67" s="128">
        <v>60</v>
      </c>
      <c r="Q67" s="134">
        <v>2.1000000000000001E-2</v>
      </c>
      <c r="R67" s="134">
        <v>2.1000000000000001E-2</v>
      </c>
      <c r="S67" s="134">
        <v>2.1000000000000001E-2</v>
      </c>
      <c r="T67" s="134">
        <v>2.1000000000000001E-2</v>
      </c>
      <c r="U67" s="134">
        <v>2.1000000000000001E-2</v>
      </c>
      <c r="V67" s="134">
        <v>2.1000000000000001E-2</v>
      </c>
      <c r="W67" s="134">
        <v>2.1000000000000001E-2</v>
      </c>
      <c r="X67" s="134">
        <v>2.1000000000000001E-2</v>
      </c>
      <c r="Y67" s="134">
        <v>2.1000000000000001E-2</v>
      </c>
      <c r="Z67" s="134">
        <v>2.1000000000000001E-2</v>
      </c>
      <c r="AA67" s="134">
        <v>2.1000000000000001E-2</v>
      </c>
      <c r="AB67" s="134">
        <v>2.1000000000000001E-2</v>
      </c>
      <c r="AE67" s="128">
        <v>60</v>
      </c>
      <c r="AF67" s="134">
        <v>0.02</v>
      </c>
      <c r="AG67" s="134">
        <v>0.02</v>
      </c>
      <c r="AH67" s="134">
        <v>0.02</v>
      </c>
      <c r="AI67" s="134">
        <v>0.02</v>
      </c>
      <c r="AJ67" s="134">
        <v>0.02</v>
      </c>
      <c r="AK67" s="134">
        <v>0.02</v>
      </c>
      <c r="AL67" s="134">
        <v>0.02</v>
      </c>
      <c r="AM67" s="134">
        <v>0.02</v>
      </c>
      <c r="AN67" s="134">
        <v>0.02</v>
      </c>
      <c r="AO67" s="134">
        <v>0.02</v>
      </c>
      <c r="AP67" s="134">
        <v>0.02</v>
      </c>
      <c r="AQ67" s="134">
        <v>0.02</v>
      </c>
      <c r="AT67" s="128">
        <v>60</v>
      </c>
      <c r="AU67" s="134">
        <v>0.02</v>
      </c>
    </row>
    <row r="68" spans="1:47" x14ac:dyDescent="0.25">
      <c r="A68" s="128">
        <v>61</v>
      </c>
      <c r="B68" s="134">
        <v>2.1999999999999999E-2</v>
      </c>
      <c r="C68" s="134">
        <v>2.1999999999999999E-2</v>
      </c>
      <c r="D68" s="134">
        <v>2.1999999999999999E-2</v>
      </c>
      <c r="E68" s="134">
        <v>2.1999999999999999E-2</v>
      </c>
      <c r="F68" s="134">
        <v>2.1999999999999999E-2</v>
      </c>
      <c r="G68" s="134">
        <v>2.1999999999999999E-2</v>
      </c>
      <c r="H68" s="134">
        <v>2.1999999999999999E-2</v>
      </c>
      <c r="I68" s="134">
        <v>2.1999999999999999E-2</v>
      </c>
      <c r="J68" s="134">
        <v>2.1999999999999999E-2</v>
      </c>
      <c r="K68" s="134">
        <v>2.1999999999999999E-2</v>
      </c>
      <c r="L68" s="134">
        <v>2.1999999999999999E-2</v>
      </c>
      <c r="M68" s="134">
        <v>2.1999999999999999E-2</v>
      </c>
      <c r="P68" s="128">
        <v>61</v>
      </c>
      <c r="Q68" s="134">
        <v>2.1000000000000001E-2</v>
      </c>
      <c r="R68" s="134">
        <v>2.1000000000000001E-2</v>
      </c>
      <c r="S68" s="134">
        <v>2.1000000000000001E-2</v>
      </c>
      <c r="T68" s="134">
        <v>2.1000000000000001E-2</v>
      </c>
      <c r="U68" s="134">
        <v>2.1000000000000001E-2</v>
      </c>
      <c r="V68" s="134">
        <v>2.1000000000000001E-2</v>
      </c>
      <c r="W68" s="134">
        <v>2.1000000000000001E-2</v>
      </c>
      <c r="X68" s="134">
        <v>2.1000000000000001E-2</v>
      </c>
      <c r="Y68" s="134">
        <v>2.1000000000000001E-2</v>
      </c>
      <c r="Z68" s="134">
        <v>2.1000000000000001E-2</v>
      </c>
      <c r="AA68" s="134">
        <v>2.1000000000000001E-2</v>
      </c>
      <c r="AB68" s="134">
        <v>2.1000000000000001E-2</v>
      </c>
      <c r="AE68" s="128">
        <v>61</v>
      </c>
      <c r="AF68" s="134">
        <v>2.1000000000000001E-2</v>
      </c>
      <c r="AG68" s="134">
        <v>2.1000000000000001E-2</v>
      </c>
      <c r="AH68" s="134">
        <v>2.1000000000000001E-2</v>
      </c>
      <c r="AI68" s="134">
        <v>2.1000000000000001E-2</v>
      </c>
      <c r="AJ68" s="134">
        <v>2.1000000000000001E-2</v>
      </c>
      <c r="AK68" s="134">
        <v>2.1000000000000001E-2</v>
      </c>
      <c r="AL68" s="134">
        <v>2.1000000000000001E-2</v>
      </c>
      <c r="AM68" s="134">
        <v>2.1000000000000001E-2</v>
      </c>
      <c r="AN68" s="134">
        <v>2.1000000000000001E-2</v>
      </c>
      <c r="AO68" s="134">
        <v>2.1000000000000001E-2</v>
      </c>
      <c r="AP68" s="134">
        <v>0.02</v>
      </c>
      <c r="AQ68" s="134">
        <v>0.02</v>
      </c>
      <c r="AT68" s="128">
        <v>61</v>
      </c>
      <c r="AU68" s="134">
        <v>0.02</v>
      </c>
    </row>
    <row r="69" spans="1:47" x14ac:dyDescent="0.25">
      <c r="A69" s="128">
        <v>62</v>
      </c>
      <c r="B69" s="134">
        <v>2.1999999999999999E-2</v>
      </c>
      <c r="C69" s="134">
        <v>2.1999999999999999E-2</v>
      </c>
      <c r="D69" s="134">
        <v>2.1999999999999999E-2</v>
      </c>
      <c r="E69" s="134">
        <v>2.1999999999999999E-2</v>
      </c>
      <c r="F69" s="134">
        <v>2.1999999999999999E-2</v>
      </c>
      <c r="G69" s="134">
        <v>2.1999999999999999E-2</v>
      </c>
      <c r="H69" s="134">
        <v>2.1999999999999999E-2</v>
      </c>
      <c r="I69" s="134">
        <v>2.1999999999999999E-2</v>
      </c>
      <c r="J69" s="134">
        <v>2.1999999999999999E-2</v>
      </c>
      <c r="K69" s="134">
        <v>2.1999999999999999E-2</v>
      </c>
      <c r="L69" s="134">
        <v>2.1999999999999999E-2</v>
      </c>
      <c r="M69" s="134">
        <v>2.1999999999999999E-2</v>
      </c>
      <c r="P69" s="128">
        <v>62</v>
      </c>
      <c r="Q69" s="134">
        <v>2.1999999999999999E-2</v>
      </c>
      <c r="R69" s="134">
        <v>2.1999999999999999E-2</v>
      </c>
      <c r="S69" s="134">
        <v>2.1999999999999999E-2</v>
      </c>
      <c r="T69" s="134">
        <v>2.1999999999999999E-2</v>
      </c>
      <c r="U69" s="134">
        <v>2.1999999999999999E-2</v>
      </c>
      <c r="V69" s="134">
        <v>2.1999999999999999E-2</v>
      </c>
      <c r="W69" s="134">
        <v>2.1999999999999999E-2</v>
      </c>
      <c r="X69" s="134">
        <v>2.1999999999999999E-2</v>
      </c>
      <c r="Y69" s="134">
        <v>2.1999999999999999E-2</v>
      </c>
      <c r="Z69" s="134">
        <v>2.1999999999999999E-2</v>
      </c>
      <c r="AA69" s="134">
        <v>2.1000000000000001E-2</v>
      </c>
      <c r="AB69" s="134">
        <v>2.1000000000000001E-2</v>
      </c>
      <c r="AE69" s="128">
        <v>62</v>
      </c>
      <c r="AF69" s="134">
        <v>2.1000000000000001E-2</v>
      </c>
      <c r="AG69" s="134">
        <v>2.1000000000000001E-2</v>
      </c>
      <c r="AH69" s="134">
        <v>2.1000000000000001E-2</v>
      </c>
      <c r="AI69" s="134">
        <v>2.1000000000000001E-2</v>
      </c>
      <c r="AJ69" s="134">
        <v>2.1000000000000001E-2</v>
      </c>
      <c r="AK69" s="134">
        <v>2.1000000000000001E-2</v>
      </c>
      <c r="AL69" s="134">
        <v>2.1000000000000001E-2</v>
      </c>
      <c r="AM69" s="134">
        <v>2.1000000000000001E-2</v>
      </c>
      <c r="AN69" s="134">
        <v>2.1000000000000001E-2</v>
      </c>
      <c r="AO69" s="134">
        <v>2.1000000000000001E-2</v>
      </c>
      <c r="AP69" s="134">
        <v>2.1000000000000001E-2</v>
      </c>
      <c r="AQ69" s="134">
        <v>2.1000000000000001E-2</v>
      </c>
      <c r="AT69" s="128">
        <v>62</v>
      </c>
      <c r="AU69" s="134">
        <v>2.1000000000000001E-2</v>
      </c>
    </row>
    <row r="70" spans="1:47" x14ac:dyDescent="0.25">
      <c r="A70" s="128">
        <v>63</v>
      </c>
      <c r="B70" s="134">
        <v>2.3E-2</v>
      </c>
      <c r="C70" s="134">
        <v>2.3E-2</v>
      </c>
      <c r="D70" s="134">
        <v>2.3E-2</v>
      </c>
      <c r="E70" s="134">
        <v>2.3E-2</v>
      </c>
      <c r="F70" s="134">
        <v>2.3E-2</v>
      </c>
      <c r="G70" s="134">
        <v>2.3E-2</v>
      </c>
      <c r="H70" s="134">
        <v>2.3E-2</v>
      </c>
      <c r="I70" s="134">
        <v>2.3E-2</v>
      </c>
      <c r="J70" s="134">
        <v>2.3E-2</v>
      </c>
      <c r="K70" s="134">
        <v>2.3E-2</v>
      </c>
      <c r="L70" s="134">
        <v>2.3E-2</v>
      </c>
      <c r="M70" s="134">
        <v>2.1999999999999999E-2</v>
      </c>
      <c r="P70" s="128">
        <v>63</v>
      </c>
      <c r="Q70" s="134">
        <v>2.1999999999999999E-2</v>
      </c>
      <c r="R70" s="134">
        <v>2.1999999999999999E-2</v>
      </c>
      <c r="S70" s="134">
        <v>2.1999999999999999E-2</v>
      </c>
      <c r="T70" s="134">
        <v>2.1999999999999999E-2</v>
      </c>
      <c r="U70" s="134">
        <v>2.1999999999999999E-2</v>
      </c>
      <c r="V70" s="134">
        <v>2.1999999999999999E-2</v>
      </c>
      <c r="W70" s="134">
        <v>2.1999999999999999E-2</v>
      </c>
      <c r="X70" s="134">
        <v>2.1999999999999999E-2</v>
      </c>
      <c r="Y70" s="134">
        <v>2.1999999999999999E-2</v>
      </c>
      <c r="Z70" s="134">
        <v>2.1999999999999999E-2</v>
      </c>
      <c r="AA70" s="134">
        <v>2.1999999999999999E-2</v>
      </c>
      <c r="AB70" s="134">
        <v>2.1999999999999999E-2</v>
      </c>
      <c r="AE70" s="128">
        <v>63</v>
      </c>
      <c r="AF70" s="134">
        <v>2.1999999999999999E-2</v>
      </c>
      <c r="AG70" s="134">
        <v>2.1999999999999999E-2</v>
      </c>
      <c r="AH70" s="134">
        <v>2.1999999999999999E-2</v>
      </c>
      <c r="AI70" s="134">
        <v>2.1999999999999999E-2</v>
      </c>
      <c r="AJ70" s="134">
        <v>2.1999999999999999E-2</v>
      </c>
      <c r="AK70" s="134">
        <v>2.1999999999999999E-2</v>
      </c>
      <c r="AL70" s="134">
        <v>2.1999999999999999E-2</v>
      </c>
      <c r="AM70" s="134">
        <v>2.1999999999999999E-2</v>
      </c>
      <c r="AN70" s="134">
        <v>2.1000000000000001E-2</v>
      </c>
      <c r="AO70" s="134">
        <v>2.1000000000000001E-2</v>
      </c>
      <c r="AP70" s="134">
        <v>2.1000000000000001E-2</v>
      </c>
      <c r="AQ70" s="134">
        <v>2.1000000000000001E-2</v>
      </c>
      <c r="AT70" s="128">
        <v>63</v>
      </c>
      <c r="AU70" s="134">
        <v>2.1000000000000001E-2</v>
      </c>
    </row>
    <row r="71" spans="1:47" x14ac:dyDescent="0.25">
      <c r="A71" s="128">
        <v>64</v>
      </c>
      <c r="B71" s="134">
        <v>2.3E-2</v>
      </c>
      <c r="C71" s="134">
        <v>2.3E-2</v>
      </c>
      <c r="D71" s="134">
        <v>2.3E-2</v>
      </c>
      <c r="E71" s="134">
        <v>2.3E-2</v>
      </c>
      <c r="F71" s="134">
        <v>2.3E-2</v>
      </c>
      <c r="G71" s="134">
        <v>2.3E-2</v>
      </c>
      <c r="H71" s="134">
        <v>2.3E-2</v>
      </c>
      <c r="I71" s="134">
        <v>2.3E-2</v>
      </c>
      <c r="J71" s="134">
        <v>2.3E-2</v>
      </c>
      <c r="K71" s="134">
        <v>2.3E-2</v>
      </c>
      <c r="L71" s="134">
        <v>2.3E-2</v>
      </c>
      <c r="M71" s="134">
        <v>2.3E-2</v>
      </c>
      <c r="P71" s="128">
        <v>64</v>
      </c>
      <c r="Q71" s="134">
        <v>2.3E-2</v>
      </c>
      <c r="R71" s="134">
        <v>2.3E-2</v>
      </c>
      <c r="S71" s="134">
        <v>2.3E-2</v>
      </c>
      <c r="T71" s="134">
        <v>2.3E-2</v>
      </c>
      <c r="U71" s="134">
        <v>2.3E-2</v>
      </c>
      <c r="V71" s="134">
        <v>2.3E-2</v>
      </c>
      <c r="W71" s="134">
        <v>2.3E-2</v>
      </c>
      <c r="X71" s="134">
        <v>2.3E-2</v>
      </c>
      <c r="Y71" s="134">
        <v>2.3E-2</v>
      </c>
      <c r="Z71" s="134">
        <v>2.3E-2</v>
      </c>
      <c r="AA71" s="134">
        <v>2.1999999999999999E-2</v>
      </c>
      <c r="AB71" s="134">
        <v>2.1999999999999999E-2</v>
      </c>
      <c r="AE71" s="128">
        <v>64</v>
      </c>
      <c r="AF71" s="134">
        <v>2.1999999999999999E-2</v>
      </c>
      <c r="AG71" s="134">
        <v>2.1999999999999999E-2</v>
      </c>
      <c r="AH71" s="134">
        <v>2.1999999999999999E-2</v>
      </c>
      <c r="AI71" s="134">
        <v>2.1999999999999999E-2</v>
      </c>
      <c r="AJ71" s="134">
        <v>2.1999999999999999E-2</v>
      </c>
      <c r="AK71" s="134">
        <v>2.1999999999999999E-2</v>
      </c>
      <c r="AL71" s="134">
        <v>2.1999999999999999E-2</v>
      </c>
      <c r="AM71" s="134">
        <v>2.1999999999999999E-2</v>
      </c>
      <c r="AN71" s="134">
        <v>2.1999999999999999E-2</v>
      </c>
      <c r="AO71" s="134">
        <v>2.1999999999999999E-2</v>
      </c>
      <c r="AP71" s="134">
        <v>2.1999999999999999E-2</v>
      </c>
      <c r="AQ71" s="134">
        <v>2.1999999999999999E-2</v>
      </c>
      <c r="AT71" s="128">
        <v>64</v>
      </c>
      <c r="AU71" s="134">
        <v>2.1999999999999999E-2</v>
      </c>
    </row>
    <row r="72" spans="1:47" x14ac:dyDescent="0.25">
      <c r="P72" s="109">
        <v>65</v>
      </c>
      <c r="Q72" s="137">
        <v>2.3E-2</v>
      </c>
      <c r="R72" s="137">
        <v>2.3E-2</v>
      </c>
      <c r="S72" s="137">
        <v>2.3E-2</v>
      </c>
      <c r="T72" s="137">
        <v>2.3E-2</v>
      </c>
      <c r="U72" s="137">
        <v>2.3E-2</v>
      </c>
      <c r="V72" s="137">
        <v>2.3E-2</v>
      </c>
      <c r="W72" s="137">
        <v>2.3E-2</v>
      </c>
      <c r="X72" s="137">
        <v>2.3E-2</v>
      </c>
      <c r="Y72" s="137">
        <v>2.3E-2</v>
      </c>
      <c r="Z72" s="137">
        <v>2.3E-2</v>
      </c>
      <c r="AA72" s="137">
        <v>2.3E-2</v>
      </c>
      <c r="AB72" s="137">
        <v>2.3E-2</v>
      </c>
      <c r="AE72" s="128">
        <v>65</v>
      </c>
      <c r="AF72" s="134">
        <v>2.3E-2</v>
      </c>
      <c r="AG72" s="134">
        <v>2.3E-2</v>
      </c>
      <c r="AH72" s="134">
        <v>2.3E-2</v>
      </c>
      <c r="AI72" s="134">
        <v>2.3E-2</v>
      </c>
      <c r="AJ72" s="134">
        <v>2.3E-2</v>
      </c>
      <c r="AK72" s="134">
        <v>2.3E-2</v>
      </c>
      <c r="AL72" s="134">
        <v>2.3E-2</v>
      </c>
      <c r="AM72" s="134">
        <v>2.3E-2</v>
      </c>
      <c r="AN72" s="134">
        <v>2.3E-2</v>
      </c>
      <c r="AO72" s="134">
        <v>2.1999999999999999E-2</v>
      </c>
      <c r="AP72" s="134">
        <v>2.1999999999999999E-2</v>
      </c>
      <c r="AQ72" s="134">
        <v>2.1999999999999999E-2</v>
      </c>
      <c r="AT72" s="128">
        <v>65</v>
      </c>
      <c r="AU72" s="134">
        <v>2.1999999999999999E-2</v>
      </c>
    </row>
    <row r="73" spans="1:47" x14ac:dyDescent="0.25">
      <c r="AE73" s="138">
        <v>66</v>
      </c>
      <c r="AF73" s="139">
        <v>2.3E-2</v>
      </c>
      <c r="AG73" s="139">
        <v>2.3E-2</v>
      </c>
      <c r="AH73" s="139">
        <v>2.3E-2</v>
      </c>
      <c r="AI73" s="139">
        <v>2.3E-2</v>
      </c>
      <c r="AJ73" s="139">
        <v>2.3E-2</v>
      </c>
      <c r="AK73" s="139">
        <v>2.3E-2</v>
      </c>
      <c r="AL73" s="139">
        <v>2.3E-2</v>
      </c>
      <c r="AM73" s="139">
        <v>2.3E-2</v>
      </c>
      <c r="AN73" s="139">
        <v>2.3E-2</v>
      </c>
      <c r="AO73" s="139">
        <v>2.3E-2</v>
      </c>
      <c r="AP73" s="139">
        <v>2.3E-2</v>
      </c>
      <c r="AQ73" s="139">
        <v>2.3E-2</v>
      </c>
      <c r="AT73" s="128">
        <v>66</v>
      </c>
      <c r="AU73" s="134">
        <v>2.3E-2</v>
      </c>
    </row>
  </sheetData>
  <conditionalFormatting sqref="A6:A21">
    <cfRule type="expression" dxfId="279" priority="29" stopIfTrue="1">
      <formula>MOD(ROW(),2)=0</formula>
    </cfRule>
    <cfRule type="expression" dxfId="278" priority="30" stopIfTrue="1">
      <formula>MOD(ROW(),2)&lt;&gt;0</formula>
    </cfRule>
  </conditionalFormatting>
  <conditionalFormatting sqref="A26:A71">
    <cfRule type="expression" dxfId="277" priority="51" stopIfTrue="1">
      <formula>MOD(ROW(),2)=0</formula>
    </cfRule>
    <cfRule type="expression" dxfId="276" priority="52" stopIfTrue="1">
      <formula>MOD(ROW(),2)&lt;&gt;0</formula>
    </cfRule>
  </conditionalFormatting>
  <conditionalFormatting sqref="B17:B21">
    <cfRule type="expression" dxfId="275" priority="28" stopIfTrue="1">
      <formula>MOD(ROW(),2)&lt;&gt;0</formula>
    </cfRule>
    <cfRule type="expression" dxfId="274" priority="27" stopIfTrue="1">
      <formula>MOD(ROW(),2)=0</formula>
    </cfRule>
  </conditionalFormatting>
  <conditionalFormatting sqref="B6:M6 C7:M21">
    <cfRule type="expression" dxfId="273" priority="102" stopIfTrue="1">
      <formula>MOD(ROW(),2)&lt;&gt;0</formula>
    </cfRule>
    <cfRule type="expression" dxfId="272" priority="101" stopIfTrue="1">
      <formula>MOD(ROW(),2)=0</formula>
    </cfRule>
  </conditionalFormatting>
  <conditionalFormatting sqref="B6:M21">
    <cfRule type="expression" dxfId="271" priority="93" stopIfTrue="1">
      <formula>MOD(ROW(),2)=0</formula>
    </cfRule>
    <cfRule type="expression" dxfId="270" priority="94" stopIfTrue="1">
      <formula>MOD(ROW(),2)&lt;&gt;0</formula>
    </cfRule>
  </conditionalFormatting>
  <conditionalFormatting sqref="B26:M71">
    <cfRule type="expression" dxfId="269" priority="53" stopIfTrue="1">
      <formula>MOD(ROW(),2)=0</formula>
    </cfRule>
    <cfRule type="expression" dxfId="268" priority="54" stopIfTrue="1">
      <formula>MOD(ROW(),2)&lt;&gt;0</formula>
    </cfRule>
  </conditionalFormatting>
  <conditionalFormatting sqref="P6:P21">
    <cfRule type="expression" dxfId="267" priority="2" stopIfTrue="1">
      <formula>MOD(ROW(),2)&lt;&gt;0</formula>
    </cfRule>
    <cfRule type="expression" dxfId="266" priority="1" stopIfTrue="1">
      <formula>MOD(ROW(),2)=0</formula>
    </cfRule>
  </conditionalFormatting>
  <conditionalFormatting sqref="P26:P72">
    <cfRule type="expression" dxfId="265" priority="47" stopIfTrue="1">
      <formula>MOD(ROW(),2)=0</formula>
    </cfRule>
    <cfRule type="expression" dxfId="264" priority="48" stopIfTrue="1">
      <formula>MOD(ROW(),2)&lt;&gt;0</formula>
    </cfRule>
  </conditionalFormatting>
  <conditionalFormatting sqref="Q21">
    <cfRule type="expression" dxfId="263" priority="3" stopIfTrue="1">
      <formula>MOD(ROW(),2)=0</formula>
    </cfRule>
    <cfRule type="expression" dxfId="262" priority="4" stopIfTrue="1">
      <formula>MOD(ROW(),2)&lt;&gt;0</formula>
    </cfRule>
  </conditionalFormatting>
  <conditionalFormatting sqref="Q6:AB21">
    <cfRule type="expression" dxfId="261" priority="5" stopIfTrue="1">
      <formula>MOD(ROW(),2)=0</formula>
    </cfRule>
    <cfRule type="expression" dxfId="260" priority="6" stopIfTrue="1">
      <formula>MOD(ROW(),2)&lt;&gt;0</formula>
    </cfRule>
  </conditionalFormatting>
  <conditionalFormatting sqref="Q26:AB72">
    <cfRule type="expression" dxfId="259" priority="50" stopIfTrue="1">
      <formula>MOD(ROW(),2)&lt;&gt;0</formula>
    </cfRule>
    <cfRule type="expression" dxfId="258" priority="49" stopIfTrue="1">
      <formula>MOD(ROW(),2)=0</formula>
    </cfRule>
  </conditionalFormatting>
  <conditionalFormatting sqref="AE6:AE21">
    <cfRule type="expression" dxfId="257" priority="13" stopIfTrue="1">
      <formula>MOD(ROW(),2)=0</formula>
    </cfRule>
    <cfRule type="expression" dxfId="256" priority="14" stopIfTrue="1">
      <formula>MOD(ROW(),2)&lt;&gt;0</formula>
    </cfRule>
  </conditionalFormatting>
  <conditionalFormatting sqref="AE26:AE73">
    <cfRule type="expression" dxfId="255" priority="43" stopIfTrue="1">
      <formula>MOD(ROW(),2)=0</formula>
    </cfRule>
    <cfRule type="expression" dxfId="254" priority="44" stopIfTrue="1">
      <formula>MOD(ROW(),2)&lt;&gt;0</formula>
    </cfRule>
  </conditionalFormatting>
  <conditionalFormatting sqref="AF21">
    <cfRule type="expression" dxfId="253" priority="9" stopIfTrue="1">
      <formula>MOD(ROW(),2)=0</formula>
    </cfRule>
    <cfRule type="expression" dxfId="252" priority="10" stopIfTrue="1">
      <formula>MOD(ROW(),2)&lt;&gt;0</formula>
    </cfRule>
  </conditionalFormatting>
  <conditionalFormatting sqref="AF6:AQ20">
    <cfRule type="expression" dxfId="251" priority="24" stopIfTrue="1">
      <formula>MOD(ROW(),2)&lt;&gt;0</formula>
    </cfRule>
    <cfRule type="expression" dxfId="250" priority="23" stopIfTrue="1">
      <formula>MOD(ROW(),2)=0</formula>
    </cfRule>
  </conditionalFormatting>
  <conditionalFormatting sqref="AF26:AQ73">
    <cfRule type="expression" dxfId="249" priority="45" stopIfTrue="1">
      <formula>MOD(ROW(),2)=0</formula>
    </cfRule>
    <cfRule type="expression" dxfId="248" priority="46" stopIfTrue="1">
      <formula>MOD(ROW(),2)&lt;&gt;0</formula>
    </cfRule>
  </conditionalFormatting>
  <conditionalFormatting sqref="AT6:AT21">
    <cfRule type="expression" dxfId="247" priority="83" stopIfTrue="1">
      <formula>MOD(ROW(),2)=0</formula>
    </cfRule>
    <cfRule type="expression" dxfId="246" priority="84" stopIfTrue="1">
      <formula>MOD(ROW(),2)&lt;&gt;0</formula>
    </cfRule>
  </conditionalFormatting>
  <conditionalFormatting sqref="AT20">
    <cfRule type="expression" dxfId="245" priority="18" stopIfTrue="1">
      <formula>MOD(ROW(),2)&lt;&gt;0</formula>
    </cfRule>
    <cfRule type="expression" dxfId="244" priority="17" stopIfTrue="1">
      <formula>MOD(ROW(),2)=0</formula>
    </cfRule>
  </conditionalFormatting>
  <conditionalFormatting sqref="AT26:AT73">
    <cfRule type="expression" dxfId="243" priority="39" stopIfTrue="1">
      <formula>MOD(ROW(),2)=0</formula>
    </cfRule>
    <cfRule type="expression" dxfId="242" priority="40" stopIfTrue="1">
      <formula>MOD(ROW(),2)&lt;&gt;0</formula>
    </cfRule>
  </conditionalFormatting>
  <conditionalFormatting sqref="AU6:AU21">
    <cfRule type="expression" dxfId="241" priority="21" stopIfTrue="1">
      <formula>MOD(ROW(),2)=0</formula>
    </cfRule>
    <cfRule type="expression" dxfId="240" priority="22" stopIfTrue="1">
      <formula>MOD(ROW(),2)&lt;&gt;0</formula>
    </cfRule>
  </conditionalFormatting>
  <conditionalFormatting sqref="AU20">
    <cfRule type="expression" dxfId="239" priority="16" stopIfTrue="1">
      <formula>MOD(ROW(),2)&lt;&gt;0</formula>
    </cfRule>
    <cfRule type="expression" dxfId="238" priority="15" stopIfTrue="1">
      <formula>MOD(ROW(),2)=0</formula>
    </cfRule>
  </conditionalFormatting>
  <conditionalFormatting sqref="AU26:AU73">
    <cfRule type="expression" dxfId="237" priority="41" stopIfTrue="1">
      <formula>MOD(ROW(),2)=0</formula>
    </cfRule>
    <cfRule type="expression" dxfId="236" priority="42" stopIfTrue="1">
      <formula>MOD(ROW(),2)&lt;&gt;0</formula>
    </cfRule>
  </conditionalFormatting>
  <hyperlinks>
    <hyperlink ref="B24" location="Assumptions!A1" display="Assumptions" xr:uid="{D132AA21-1F6F-4B83-A5F2-650ED936F81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7138F-6D41-40E7-9634-DFEFD594A2A1}">
  <sheetPr codeName="Sheet5">
    <tabColor rgb="FF00B0F0"/>
  </sheetPr>
  <dimension ref="A1:I55"/>
  <sheetViews>
    <sheetView workbookViewId="0"/>
  </sheetViews>
  <sheetFormatPr defaultColWidth="8.81640625" defaultRowHeight="12.5" x14ac:dyDescent="0.25"/>
  <cols>
    <col min="1" max="1" width="55.81640625" style="28" customWidth="1"/>
    <col min="2" max="2" width="72.1796875" style="28" customWidth="1"/>
    <col min="3" max="16384" width="8.81640625" style="28"/>
  </cols>
  <sheetData>
    <row r="1" spans="1:9" ht="20" x14ac:dyDescent="0.4">
      <c r="A1" s="53" t="s">
        <v>0</v>
      </c>
      <c r="B1" s="54"/>
      <c r="C1" s="54"/>
      <c r="D1" s="54"/>
      <c r="E1" s="54"/>
      <c r="F1" s="54"/>
      <c r="G1" s="54"/>
      <c r="H1" s="54"/>
      <c r="I1" s="54"/>
    </row>
    <row r="2" spans="1:9" ht="15.5" x14ac:dyDescent="0.35">
      <c r="A2" s="11" t="str">
        <f>IF(title_new="&gt; Enter workbook title here","Enter workbook title in Cover sheet",title_new)</f>
        <v>Northern Ireland Civil Service Pension Schemes - Consolidated Factor Spreadsheet</v>
      </c>
      <c r="B2" s="56"/>
      <c r="C2" s="56"/>
      <c r="D2" s="56"/>
      <c r="E2" s="56"/>
      <c r="F2" s="56"/>
      <c r="G2" s="56"/>
      <c r="H2" s="56"/>
      <c r="I2" s="56"/>
    </row>
    <row r="3" spans="1:9" ht="15.5" x14ac:dyDescent="0.35">
      <c r="A3" s="57" t="s">
        <v>13</v>
      </c>
      <c r="B3" s="56"/>
      <c r="C3" s="56"/>
      <c r="D3" s="56"/>
      <c r="E3" s="56"/>
      <c r="F3" s="56"/>
      <c r="G3" s="56"/>
      <c r="H3" s="56"/>
      <c r="I3" s="56"/>
    </row>
    <row r="4" spans="1:9" x14ac:dyDescent="0.25">
      <c r="A4" s="58"/>
    </row>
    <row r="5" spans="1:9" x14ac:dyDescent="0.25">
      <c r="A5" s="156"/>
      <c r="B5" s="156"/>
    </row>
    <row r="6" spans="1:9" x14ac:dyDescent="0.25">
      <c r="A6" s="157"/>
      <c r="B6" s="156"/>
    </row>
    <row r="8" spans="1:9" ht="15.5" x14ac:dyDescent="0.35">
      <c r="A8" s="158" t="s">
        <v>735</v>
      </c>
      <c r="B8" s="159" t="s">
        <v>325</v>
      </c>
    </row>
    <row r="9" spans="1:9" ht="15.5" x14ac:dyDescent="0.35">
      <c r="A9" s="160"/>
      <c r="B9" s="161"/>
    </row>
    <row r="10" spans="1:9" ht="15.5" x14ac:dyDescent="0.35">
      <c r="A10" s="159" t="s">
        <v>736</v>
      </c>
      <c r="B10" s="162"/>
    </row>
    <row r="11" spans="1:9" ht="15.5" x14ac:dyDescent="0.35">
      <c r="A11" s="163" t="s">
        <v>737</v>
      </c>
      <c r="B11" s="171">
        <v>3.7339999999999998E-2</v>
      </c>
    </row>
    <row r="12" spans="1:9" ht="15.5" x14ac:dyDescent="0.35">
      <c r="A12" s="162" t="s">
        <v>738</v>
      </c>
      <c r="B12" s="165">
        <v>0.02</v>
      </c>
    </row>
    <row r="13" spans="1:9" ht="15.5" x14ac:dyDescent="0.35">
      <c r="A13" s="166" t="s">
        <v>739</v>
      </c>
      <c r="B13" s="164" t="s">
        <v>740</v>
      </c>
    </row>
    <row r="14" spans="1:9" ht="15.5" x14ac:dyDescent="0.35">
      <c r="A14" s="162" t="s">
        <v>741</v>
      </c>
      <c r="B14" s="165" t="s">
        <v>740</v>
      </c>
    </row>
    <row r="15" spans="1:9" ht="15.5" x14ac:dyDescent="0.35">
      <c r="A15" s="163" t="s">
        <v>742</v>
      </c>
      <c r="B15" s="164">
        <v>1.4E-2</v>
      </c>
    </row>
    <row r="16" spans="1:9" ht="15.5" x14ac:dyDescent="0.35">
      <c r="A16" s="162" t="s">
        <v>743</v>
      </c>
      <c r="B16" s="165">
        <v>3.7999999999999999E-2</v>
      </c>
    </row>
    <row r="17" spans="1:2" ht="15.5" x14ac:dyDescent="0.35">
      <c r="A17" s="163" t="s">
        <v>744</v>
      </c>
      <c r="B17" s="164">
        <v>0.02</v>
      </c>
    </row>
    <row r="18" spans="1:2" ht="15.5" x14ac:dyDescent="0.35">
      <c r="A18" s="162" t="s">
        <v>745</v>
      </c>
      <c r="B18" s="165">
        <v>1.7000000000000001E-2</v>
      </c>
    </row>
    <row r="19" spans="1:2" ht="15.5" x14ac:dyDescent="0.35">
      <c r="A19" s="163" t="s">
        <v>746</v>
      </c>
      <c r="B19" s="171">
        <v>2.3019999999999999E-2</v>
      </c>
    </row>
    <row r="20" spans="1:2" ht="15.5" x14ac:dyDescent="0.35">
      <c r="A20" s="162" t="s">
        <v>747</v>
      </c>
      <c r="B20" s="162" t="s">
        <v>748</v>
      </c>
    </row>
    <row r="21" spans="1:2" ht="15.5" x14ac:dyDescent="0.35">
      <c r="A21" s="163" t="s">
        <v>749</v>
      </c>
      <c r="B21" s="167" t="s">
        <v>750</v>
      </c>
    </row>
    <row r="22" spans="1:2" ht="15.5" x14ac:dyDescent="0.35">
      <c r="A22" s="162"/>
      <c r="B22" s="168"/>
    </row>
    <row r="23" spans="1:2" ht="15.5" x14ac:dyDescent="0.35">
      <c r="A23" s="161" t="s">
        <v>751</v>
      </c>
      <c r="B23" s="163"/>
    </row>
    <row r="24" spans="1:2" ht="15.5" x14ac:dyDescent="0.35">
      <c r="A24" s="162" t="s">
        <v>752</v>
      </c>
      <c r="B24" s="162" t="s">
        <v>753</v>
      </c>
    </row>
    <row r="25" spans="1:2" ht="15.5" x14ac:dyDescent="0.35">
      <c r="A25" s="163" t="s">
        <v>754</v>
      </c>
      <c r="B25" s="163" t="s">
        <v>755</v>
      </c>
    </row>
    <row r="26" spans="1:2" ht="15.5" x14ac:dyDescent="0.35">
      <c r="A26" s="162" t="s">
        <v>756</v>
      </c>
      <c r="B26" s="162" t="s">
        <v>753</v>
      </c>
    </row>
    <row r="27" spans="1:2" ht="15.5" x14ac:dyDescent="0.35">
      <c r="A27" s="163" t="s">
        <v>757</v>
      </c>
      <c r="B27" s="163" t="s">
        <v>755</v>
      </c>
    </row>
    <row r="28" spans="1:2" ht="15.5" x14ac:dyDescent="0.35">
      <c r="A28" s="162" t="s">
        <v>758</v>
      </c>
      <c r="B28" s="162" t="s">
        <v>759</v>
      </c>
    </row>
    <row r="29" spans="1:2" ht="15.5" x14ac:dyDescent="0.35">
      <c r="A29" s="163" t="s">
        <v>760</v>
      </c>
      <c r="B29" s="163" t="s">
        <v>761</v>
      </c>
    </row>
    <row r="30" spans="1:2" ht="15.5" x14ac:dyDescent="0.35">
      <c r="A30" s="162" t="s">
        <v>762</v>
      </c>
      <c r="B30" s="162" t="s">
        <v>763</v>
      </c>
    </row>
    <row r="31" spans="1:2" ht="15.5" x14ac:dyDescent="0.35">
      <c r="A31" s="163" t="s">
        <v>764</v>
      </c>
      <c r="B31" s="163">
        <v>2024</v>
      </c>
    </row>
    <row r="32" spans="1:2" ht="15.5" x14ac:dyDescent="0.35">
      <c r="A32" s="162" t="s">
        <v>765</v>
      </c>
      <c r="B32" s="162" t="s">
        <v>740</v>
      </c>
    </row>
    <row r="33" spans="1:2" ht="15.5" x14ac:dyDescent="0.35">
      <c r="A33" s="163"/>
      <c r="B33" s="163"/>
    </row>
    <row r="34" spans="1:2" ht="15.5" x14ac:dyDescent="0.35">
      <c r="A34" s="159" t="s">
        <v>766</v>
      </c>
      <c r="B34" s="162"/>
    </row>
    <row r="35" spans="1:2" ht="15.5" x14ac:dyDescent="0.35">
      <c r="A35" s="163" t="s">
        <v>767</v>
      </c>
      <c r="B35" s="169">
        <v>0.5</v>
      </c>
    </row>
    <row r="36" spans="1:2" ht="15.5" x14ac:dyDescent="0.35">
      <c r="A36" s="162" t="s">
        <v>768</v>
      </c>
      <c r="B36" s="170">
        <v>0.5</v>
      </c>
    </row>
    <row r="37" spans="1:2" ht="31" x14ac:dyDescent="0.35">
      <c r="A37" s="163" t="s">
        <v>769</v>
      </c>
      <c r="B37" s="163" t="s">
        <v>770</v>
      </c>
    </row>
    <row r="38" spans="1:2" ht="31" x14ac:dyDescent="0.35">
      <c r="A38" s="162" t="s">
        <v>771</v>
      </c>
      <c r="B38" s="162" t="s">
        <v>772</v>
      </c>
    </row>
    <row r="39" spans="1:2" ht="93" x14ac:dyDescent="0.35">
      <c r="A39" s="167" t="s">
        <v>773</v>
      </c>
      <c r="B39" s="167" t="s">
        <v>774</v>
      </c>
    </row>
    <row r="40" spans="1:2" ht="15.5" x14ac:dyDescent="0.35">
      <c r="A40" s="168" t="s">
        <v>775</v>
      </c>
      <c r="B40" s="168" t="s">
        <v>748</v>
      </c>
    </row>
    <row r="41" spans="1:2" ht="15.5" x14ac:dyDescent="0.35">
      <c r="A41" s="167" t="s">
        <v>776</v>
      </c>
      <c r="B41" s="167" t="s">
        <v>748</v>
      </c>
    </row>
    <row r="42" spans="1:2" ht="15.5" x14ac:dyDescent="0.35">
      <c r="A42" s="168" t="s">
        <v>777</v>
      </c>
      <c r="B42" s="168" t="s">
        <v>748</v>
      </c>
    </row>
    <row r="43" spans="1:2" ht="15.5" x14ac:dyDescent="0.35">
      <c r="A43" s="167" t="s">
        <v>778</v>
      </c>
      <c r="B43" s="167" t="s">
        <v>779</v>
      </c>
    </row>
    <row r="44" spans="1:2" ht="15.5" x14ac:dyDescent="0.35">
      <c r="A44" s="168" t="s">
        <v>780</v>
      </c>
      <c r="B44" s="168" t="s">
        <v>781</v>
      </c>
    </row>
    <row r="45" spans="1:2" ht="15.5" x14ac:dyDescent="0.35">
      <c r="A45" s="167" t="s">
        <v>782</v>
      </c>
      <c r="B45" s="167" t="s">
        <v>748</v>
      </c>
    </row>
    <row r="46" spans="1:2" ht="15.5" x14ac:dyDescent="0.35">
      <c r="A46" s="168" t="s">
        <v>783</v>
      </c>
      <c r="B46" s="168" t="s">
        <v>781</v>
      </c>
    </row>
    <row r="47" spans="1:2" ht="15.5" x14ac:dyDescent="0.35">
      <c r="A47" s="167" t="s">
        <v>784</v>
      </c>
      <c r="B47" s="167" t="s">
        <v>748</v>
      </c>
    </row>
    <row r="48" spans="1:2" ht="15.5" x14ac:dyDescent="0.35">
      <c r="A48" s="168" t="s">
        <v>785</v>
      </c>
      <c r="B48" s="168" t="s">
        <v>786</v>
      </c>
    </row>
    <row r="49" spans="1:4" ht="15.5" x14ac:dyDescent="0.35">
      <c r="A49" s="167" t="s">
        <v>787</v>
      </c>
      <c r="B49" s="167" t="s">
        <v>740</v>
      </c>
    </row>
    <row r="50" spans="1:4" ht="93" x14ac:dyDescent="0.35">
      <c r="A50" s="162" t="s">
        <v>788</v>
      </c>
      <c r="B50" s="162" t="s">
        <v>789</v>
      </c>
      <c r="D50" s="172"/>
    </row>
    <row r="51" spans="1:4" ht="15.5" x14ac:dyDescent="0.35">
      <c r="A51" s="163"/>
      <c r="B51" s="163"/>
    </row>
    <row r="52" spans="1:4" ht="15.5" x14ac:dyDescent="0.35">
      <c r="A52" s="159" t="s">
        <v>790</v>
      </c>
      <c r="B52" s="162"/>
    </row>
    <row r="53" spans="1:4" ht="15.5" x14ac:dyDescent="0.35">
      <c r="A53" s="163" t="s">
        <v>791</v>
      </c>
      <c r="B53" s="163" t="s">
        <v>792</v>
      </c>
    </row>
    <row r="54" spans="1:4" ht="31" x14ac:dyDescent="0.35">
      <c r="A54" s="163" t="s">
        <v>793</v>
      </c>
      <c r="B54" s="163" t="s">
        <v>794</v>
      </c>
    </row>
    <row r="55" spans="1:4" ht="15.5" x14ac:dyDescent="0.35">
      <c r="A55" s="163" t="s">
        <v>795</v>
      </c>
      <c r="B55" s="163" t="s">
        <v>796</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9"/>
  <dimension ref="A1:AF72"/>
  <sheetViews>
    <sheetView topLeftCell="A48" workbookViewId="0">
      <selection activeCell="A71" sqref="A71"/>
    </sheetView>
  </sheetViews>
  <sheetFormatPr defaultColWidth="10" defaultRowHeight="12.5" x14ac:dyDescent="0.25"/>
  <cols>
    <col min="1" max="1" width="31.54296875" style="28" customWidth="1"/>
    <col min="2" max="13" width="22.54296875" style="28" customWidth="1"/>
    <col min="14" max="15" width="10" style="28"/>
    <col min="16" max="16" width="31.54296875" style="28" customWidth="1"/>
    <col min="17" max="28" width="22.54296875" style="28" customWidth="1"/>
    <col min="29" max="30" width="10" style="28"/>
    <col min="31" max="31" width="31.54296875" style="28" customWidth="1"/>
    <col min="32" max="32" width="50.81640625" style="28" customWidth="1"/>
    <col min="33" max="16384" width="10" style="28"/>
  </cols>
  <sheetData>
    <row r="1" spans="1:32" ht="20" x14ac:dyDescent="0.4">
      <c r="A1" s="53" t="s">
        <v>0</v>
      </c>
      <c r="B1" s="54"/>
      <c r="C1" s="54"/>
      <c r="D1" s="54"/>
      <c r="E1" s="54"/>
      <c r="F1" s="54"/>
      <c r="G1" s="54"/>
      <c r="H1" s="54"/>
      <c r="I1" s="54"/>
    </row>
    <row r="2" spans="1:32"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32" ht="15.5" x14ac:dyDescent="0.35">
      <c r="A3" s="57" t="str">
        <f>TABLE_FACTOR_TYPE_1&amp;" - x-"&amp;TABLE_SERIES_NUMBER_1</f>
        <v>EPA - x-718</v>
      </c>
      <c r="B3" s="56"/>
      <c r="C3" s="56"/>
      <c r="D3" s="56"/>
      <c r="E3" s="56"/>
      <c r="F3" s="56"/>
      <c r="G3" s="56"/>
      <c r="H3" s="56"/>
      <c r="I3" s="56"/>
    </row>
    <row r="4" spans="1:32" x14ac:dyDescent="0.25">
      <c r="A4" s="58"/>
    </row>
    <row r="6" spans="1:32" ht="13" x14ac:dyDescent="0.3">
      <c r="A6" s="86" t="s">
        <v>716</v>
      </c>
      <c r="B6" s="111" t="s">
        <v>717</v>
      </c>
      <c r="C6" s="111"/>
      <c r="D6" s="111"/>
      <c r="E6" s="111"/>
      <c r="F6" s="111"/>
      <c r="G6" s="111"/>
      <c r="H6" s="111"/>
      <c r="I6" s="111"/>
      <c r="J6" s="111"/>
      <c r="K6" s="111"/>
      <c r="L6" s="111"/>
      <c r="M6" s="111"/>
      <c r="P6" s="86" t="s">
        <v>716</v>
      </c>
      <c r="Q6" s="111" t="s">
        <v>717</v>
      </c>
      <c r="R6" s="111"/>
      <c r="S6" s="111"/>
      <c r="T6" s="111"/>
      <c r="U6" s="111"/>
      <c r="V6" s="111"/>
      <c r="W6" s="111"/>
      <c r="X6" s="111"/>
      <c r="Y6" s="111"/>
      <c r="Z6" s="111"/>
      <c r="AA6" s="111"/>
      <c r="AB6" s="111"/>
      <c r="AE6" s="86" t="s">
        <v>716</v>
      </c>
      <c r="AF6" s="111" t="s">
        <v>717</v>
      </c>
    </row>
    <row r="7" spans="1:32" x14ac:dyDescent="0.25">
      <c r="A7" s="87" t="s">
        <v>797</v>
      </c>
      <c r="B7" s="111" t="s">
        <v>316</v>
      </c>
      <c r="C7" s="111"/>
      <c r="D7" s="111"/>
      <c r="E7" s="111"/>
      <c r="F7" s="111"/>
      <c r="G7" s="111"/>
      <c r="H7" s="111"/>
      <c r="I7" s="111"/>
      <c r="J7" s="111"/>
      <c r="K7" s="111"/>
      <c r="L7" s="111"/>
      <c r="M7" s="111"/>
      <c r="P7" s="87" t="s">
        <v>797</v>
      </c>
      <c r="Q7" s="111" t="s">
        <v>316</v>
      </c>
      <c r="R7" s="111"/>
      <c r="S7" s="111"/>
      <c r="T7" s="111"/>
      <c r="U7" s="111"/>
      <c r="V7" s="111"/>
      <c r="W7" s="111"/>
      <c r="X7" s="111"/>
      <c r="Y7" s="111"/>
      <c r="Z7" s="111"/>
      <c r="AA7" s="111"/>
      <c r="AB7" s="111"/>
      <c r="AE7" s="87" t="s">
        <v>797</v>
      </c>
      <c r="AF7" s="111" t="s">
        <v>316</v>
      </c>
    </row>
    <row r="8" spans="1:32" x14ac:dyDescent="0.25">
      <c r="A8" s="87" t="s">
        <v>798</v>
      </c>
      <c r="B8" s="111" t="s">
        <v>92</v>
      </c>
      <c r="C8" s="111"/>
      <c r="D8" s="111"/>
      <c r="E8" s="111"/>
      <c r="F8" s="111"/>
      <c r="G8" s="111"/>
      <c r="H8" s="111"/>
      <c r="I8" s="111"/>
      <c r="J8" s="111"/>
      <c r="K8" s="111"/>
      <c r="L8" s="111"/>
      <c r="M8" s="111"/>
      <c r="P8" s="87" t="s">
        <v>798</v>
      </c>
      <c r="Q8" s="111" t="s">
        <v>92</v>
      </c>
      <c r="R8" s="111"/>
      <c r="S8" s="111"/>
      <c r="T8" s="111"/>
      <c r="U8" s="111"/>
      <c r="V8" s="111"/>
      <c r="W8" s="111"/>
      <c r="X8" s="111"/>
      <c r="Y8" s="111"/>
      <c r="Z8" s="111"/>
      <c r="AA8" s="111"/>
      <c r="AB8" s="111"/>
      <c r="AE8" s="87" t="s">
        <v>798</v>
      </c>
      <c r="AF8" s="111" t="s">
        <v>92</v>
      </c>
    </row>
    <row r="9" spans="1:32" x14ac:dyDescent="0.25">
      <c r="A9" s="87" t="s">
        <v>300</v>
      </c>
      <c r="B9" s="111" t="s">
        <v>636</v>
      </c>
      <c r="C9" s="111"/>
      <c r="D9" s="111"/>
      <c r="E9" s="111"/>
      <c r="F9" s="111"/>
      <c r="G9" s="111"/>
      <c r="H9" s="111"/>
      <c r="I9" s="111"/>
      <c r="J9" s="111"/>
      <c r="K9" s="111"/>
      <c r="L9" s="111"/>
      <c r="M9" s="111"/>
      <c r="P9" s="87" t="s">
        <v>300</v>
      </c>
      <c r="Q9" s="111" t="s">
        <v>636</v>
      </c>
      <c r="R9" s="111"/>
      <c r="S9" s="111"/>
      <c r="T9" s="111"/>
      <c r="U9" s="111"/>
      <c r="V9" s="111"/>
      <c r="W9" s="111"/>
      <c r="X9" s="111"/>
      <c r="Y9" s="111"/>
      <c r="Z9" s="111"/>
      <c r="AA9" s="111"/>
      <c r="AB9" s="111"/>
      <c r="AE9" s="87" t="s">
        <v>300</v>
      </c>
      <c r="AF9" s="111" t="s">
        <v>636</v>
      </c>
    </row>
    <row r="10" spans="1:32" x14ac:dyDescent="0.25">
      <c r="A10" s="87" t="s">
        <v>6</v>
      </c>
      <c r="B10" s="111" t="s">
        <v>642</v>
      </c>
      <c r="C10" s="111"/>
      <c r="D10" s="111"/>
      <c r="E10" s="111"/>
      <c r="F10" s="111"/>
      <c r="G10" s="111"/>
      <c r="H10" s="111"/>
      <c r="I10" s="111"/>
      <c r="J10" s="111"/>
      <c r="K10" s="111"/>
      <c r="L10" s="111"/>
      <c r="M10" s="111"/>
      <c r="P10" s="87" t="s">
        <v>6</v>
      </c>
      <c r="Q10" s="111" t="s">
        <v>646</v>
      </c>
      <c r="R10" s="111"/>
      <c r="S10" s="111"/>
      <c r="T10" s="111"/>
      <c r="U10" s="111"/>
      <c r="V10" s="111"/>
      <c r="W10" s="111"/>
      <c r="X10" s="111"/>
      <c r="Y10" s="111"/>
      <c r="Z10" s="111"/>
      <c r="AA10" s="111"/>
      <c r="AB10" s="111"/>
      <c r="AE10" s="87" t="s">
        <v>6</v>
      </c>
      <c r="AF10" s="111" t="s">
        <v>649</v>
      </c>
    </row>
    <row r="11" spans="1:32" x14ac:dyDescent="0.25">
      <c r="A11" s="87" t="s">
        <v>301</v>
      </c>
      <c r="B11" s="111" t="s">
        <v>319</v>
      </c>
      <c r="C11" s="111"/>
      <c r="D11" s="111"/>
      <c r="E11" s="111"/>
      <c r="F11" s="111"/>
      <c r="G11" s="111"/>
      <c r="H11" s="111"/>
      <c r="I11" s="111"/>
      <c r="J11" s="111"/>
      <c r="K11" s="111"/>
      <c r="L11" s="111"/>
      <c r="M11" s="111"/>
      <c r="P11" s="87" t="s">
        <v>301</v>
      </c>
      <c r="Q11" s="111" t="s">
        <v>319</v>
      </c>
      <c r="R11" s="111"/>
      <c r="S11" s="111"/>
      <c r="T11" s="111"/>
      <c r="U11" s="111"/>
      <c r="V11" s="111"/>
      <c r="W11" s="111"/>
      <c r="X11" s="111"/>
      <c r="Y11" s="111"/>
      <c r="Z11" s="111"/>
      <c r="AA11" s="111"/>
      <c r="AB11" s="111"/>
      <c r="AE11" s="87" t="s">
        <v>301</v>
      </c>
      <c r="AF11" s="111" t="s">
        <v>319</v>
      </c>
    </row>
    <row r="12" spans="1:32" x14ac:dyDescent="0.25">
      <c r="A12" s="87" t="s">
        <v>302</v>
      </c>
      <c r="B12" s="111" t="s">
        <v>638</v>
      </c>
      <c r="C12" s="111"/>
      <c r="D12" s="111"/>
      <c r="E12" s="111"/>
      <c r="F12" s="111"/>
      <c r="G12" s="111"/>
      <c r="H12" s="111"/>
      <c r="I12" s="111"/>
      <c r="J12" s="111"/>
      <c r="K12" s="111"/>
      <c r="L12" s="111"/>
      <c r="M12" s="111"/>
      <c r="P12" s="87" t="s">
        <v>302</v>
      </c>
      <c r="Q12" s="111" t="s">
        <v>638</v>
      </c>
      <c r="R12" s="111"/>
      <c r="S12" s="111"/>
      <c r="T12" s="111"/>
      <c r="U12" s="111"/>
      <c r="V12" s="111"/>
      <c r="W12" s="111"/>
      <c r="X12" s="111"/>
      <c r="Y12" s="111"/>
      <c r="Z12" s="111"/>
      <c r="AA12" s="111"/>
      <c r="AB12" s="111"/>
      <c r="AE12" s="87" t="s">
        <v>302</v>
      </c>
      <c r="AF12" s="111" t="s">
        <v>650</v>
      </c>
    </row>
    <row r="13" spans="1:32" x14ac:dyDescent="0.25">
      <c r="A13" s="87" t="s">
        <v>813</v>
      </c>
      <c r="B13" s="111">
        <v>0</v>
      </c>
      <c r="C13" s="111"/>
      <c r="D13" s="111"/>
      <c r="E13" s="111"/>
      <c r="F13" s="111"/>
      <c r="G13" s="111"/>
      <c r="H13" s="111"/>
      <c r="I13" s="111"/>
      <c r="J13" s="111"/>
      <c r="K13" s="111"/>
      <c r="L13" s="111"/>
      <c r="M13" s="111"/>
      <c r="P13" s="87" t="s">
        <v>813</v>
      </c>
      <c r="Q13" s="111">
        <v>0</v>
      </c>
      <c r="R13" s="111"/>
      <c r="S13" s="111"/>
      <c r="T13" s="111"/>
      <c r="U13" s="111"/>
      <c r="V13" s="111"/>
      <c r="W13" s="111"/>
      <c r="X13" s="111"/>
      <c r="Y13" s="111"/>
      <c r="Z13" s="111"/>
      <c r="AA13" s="111"/>
      <c r="AB13" s="111"/>
      <c r="AE13" s="87" t="s">
        <v>813</v>
      </c>
      <c r="AF13" s="111">
        <v>0</v>
      </c>
    </row>
    <row r="14" spans="1:32" x14ac:dyDescent="0.25">
      <c r="A14" s="87" t="s">
        <v>304</v>
      </c>
      <c r="B14" s="111">
        <v>718</v>
      </c>
      <c r="C14" s="111"/>
      <c r="D14" s="111"/>
      <c r="E14" s="111"/>
      <c r="F14" s="111"/>
      <c r="G14" s="111"/>
      <c r="H14" s="111"/>
      <c r="I14" s="111"/>
      <c r="J14" s="111"/>
      <c r="K14" s="111"/>
      <c r="L14" s="111"/>
      <c r="M14" s="111"/>
      <c r="P14" s="87" t="s">
        <v>304</v>
      </c>
      <c r="Q14" s="111">
        <v>718</v>
      </c>
      <c r="R14" s="111"/>
      <c r="S14" s="111"/>
      <c r="T14" s="111"/>
      <c r="U14" s="111"/>
      <c r="V14" s="111"/>
      <c r="W14" s="111"/>
      <c r="X14" s="111"/>
      <c r="Y14" s="111"/>
      <c r="Z14" s="111"/>
      <c r="AA14" s="111"/>
      <c r="AB14" s="111"/>
      <c r="AE14" s="87" t="s">
        <v>304</v>
      </c>
      <c r="AF14" s="111">
        <v>718</v>
      </c>
    </row>
    <row r="15" spans="1:32" x14ac:dyDescent="0.25">
      <c r="A15" s="87" t="s">
        <v>727</v>
      </c>
      <c r="B15" s="111" t="s">
        <v>643</v>
      </c>
      <c r="C15" s="111"/>
      <c r="D15" s="111"/>
      <c r="E15" s="111"/>
      <c r="F15" s="111"/>
      <c r="G15" s="111"/>
      <c r="H15" s="111"/>
      <c r="I15" s="111"/>
      <c r="J15" s="111"/>
      <c r="K15" s="111"/>
      <c r="L15" s="111"/>
      <c r="M15" s="111"/>
      <c r="P15" s="87" t="s">
        <v>727</v>
      </c>
      <c r="Q15" s="111" t="s">
        <v>647</v>
      </c>
      <c r="R15" s="111"/>
      <c r="S15" s="111"/>
      <c r="T15" s="111"/>
      <c r="U15" s="111"/>
      <c r="V15" s="111"/>
      <c r="W15" s="111"/>
      <c r="X15" s="111"/>
      <c r="Y15" s="111"/>
      <c r="Z15" s="111"/>
      <c r="AA15" s="111"/>
      <c r="AB15" s="111"/>
      <c r="AE15" s="87" t="s">
        <v>727</v>
      </c>
      <c r="AF15" s="111" t="s">
        <v>651</v>
      </c>
    </row>
    <row r="16" spans="1:32" x14ac:dyDescent="0.25">
      <c r="A16" s="87" t="s">
        <v>306</v>
      </c>
      <c r="B16" s="111" t="s">
        <v>644</v>
      </c>
      <c r="C16" s="111"/>
      <c r="D16" s="111"/>
      <c r="E16" s="111"/>
      <c r="F16" s="111"/>
      <c r="G16" s="111"/>
      <c r="H16" s="111"/>
      <c r="I16" s="111"/>
      <c r="J16" s="111"/>
      <c r="K16" s="111"/>
      <c r="L16" s="111"/>
      <c r="M16" s="111"/>
      <c r="P16" s="87" t="s">
        <v>306</v>
      </c>
      <c r="Q16" s="111" t="s">
        <v>644</v>
      </c>
      <c r="R16" s="111"/>
      <c r="S16" s="111"/>
      <c r="T16" s="111"/>
      <c r="U16" s="111"/>
      <c r="V16" s="111"/>
      <c r="W16" s="111"/>
      <c r="X16" s="111"/>
      <c r="Y16" s="111"/>
      <c r="Z16" s="111"/>
      <c r="AA16" s="111"/>
      <c r="AB16" s="111"/>
      <c r="AE16" s="87" t="s">
        <v>306</v>
      </c>
      <c r="AF16" s="111" t="s">
        <v>644</v>
      </c>
    </row>
    <row r="17" spans="1:32" x14ac:dyDescent="0.25">
      <c r="A17" s="87" t="s">
        <v>800</v>
      </c>
      <c r="B17" s="111"/>
      <c r="C17" s="111"/>
      <c r="D17" s="111"/>
      <c r="E17" s="111"/>
      <c r="F17" s="111"/>
      <c r="G17" s="111"/>
      <c r="H17" s="111"/>
      <c r="I17" s="111"/>
      <c r="J17" s="111"/>
      <c r="K17" s="111"/>
      <c r="L17" s="111"/>
      <c r="M17" s="111"/>
      <c r="P17" s="87" t="s">
        <v>800</v>
      </c>
      <c r="Q17" s="111"/>
      <c r="R17" s="111"/>
      <c r="S17" s="111"/>
      <c r="T17" s="111"/>
      <c r="U17" s="111"/>
      <c r="V17" s="111"/>
      <c r="W17" s="111"/>
      <c r="X17" s="111"/>
      <c r="Y17" s="111"/>
      <c r="Z17" s="111"/>
      <c r="AA17" s="111"/>
      <c r="AB17" s="111"/>
      <c r="AE17" s="87" t="s">
        <v>800</v>
      </c>
      <c r="AF17" s="111"/>
    </row>
    <row r="18" spans="1:32" x14ac:dyDescent="0.25">
      <c r="A18" s="87" t="s">
        <v>308</v>
      </c>
      <c r="B18" s="122">
        <v>45184</v>
      </c>
      <c r="C18" s="111"/>
      <c r="D18" s="111"/>
      <c r="E18" s="111"/>
      <c r="F18" s="111"/>
      <c r="G18" s="111"/>
      <c r="H18" s="111"/>
      <c r="I18" s="111"/>
      <c r="J18" s="111"/>
      <c r="K18" s="111"/>
      <c r="L18" s="111"/>
      <c r="M18" s="111"/>
      <c r="P18" s="87" t="s">
        <v>308</v>
      </c>
      <c r="Q18" s="122">
        <v>45184</v>
      </c>
      <c r="R18" s="111"/>
      <c r="S18" s="111"/>
      <c r="T18" s="111"/>
      <c r="U18" s="111"/>
      <c r="V18" s="111"/>
      <c r="W18" s="111"/>
      <c r="X18" s="111"/>
      <c r="Y18" s="111"/>
      <c r="Z18" s="111"/>
      <c r="AA18" s="111"/>
      <c r="AB18" s="111"/>
      <c r="AE18" s="87" t="s">
        <v>308</v>
      </c>
      <c r="AF18" s="122">
        <v>45184</v>
      </c>
    </row>
    <row r="19" spans="1:32" x14ac:dyDescent="0.25">
      <c r="A19" s="87" t="s">
        <v>309</v>
      </c>
      <c r="B19" s="122">
        <v>45383</v>
      </c>
      <c r="C19" s="111"/>
      <c r="D19" s="111"/>
      <c r="E19" s="111"/>
      <c r="F19" s="111"/>
      <c r="G19" s="111"/>
      <c r="H19" s="111"/>
      <c r="I19" s="111"/>
      <c r="J19" s="111"/>
      <c r="K19" s="111"/>
      <c r="L19" s="111"/>
      <c r="M19" s="111"/>
      <c r="P19" s="87" t="s">
        <v>309</v>
      </c>
      <c r="Q19" s="122">
        <v>45383</v>
      </c>
      <c r="R19" s="111"/>
      <c r="S19" s="111"/>
      <c r="T19" s="111"/>
      <c r="U19" s="111"/>
      <c r="V19" s="111"/>
      <c r="W19" s="111"/>
      <c r="X19" s="111"/>
      <c r="Y19" s="111"/>
      <c r="Z19" s="111"/>
      <c r="AA19" s="111"/>
      <c r="AB19" s="111"/>
      <c r="AE19" s="87" t="s">
        <v>309</v>
      </c>
      <c r="AF19" s="122">
        <v>45383</v>
      </c>
    </row>
    <row r="20" spans="1:32" x14ac:dyDescent="0.25">
      <c r="A20" s="87" t="s">
        <v>310</v>
      </c>
      <c r="B20" s="111" t="s">
        <v>324</v>
      </c>
      <c r="C20" s="111"/>
      <c r="D20" s="111"/>
      <c r="E20" s="111"/>
      <c r="F20" s="111"/>
      <c r="G20" s="111"/>
      <c r="H20" s="111"/>
      <c r="I20" s="111"/>
      <c r="J20" s="111"/>
      <c r="K20" s="111"/>
      <c r="L20" s="111"/>
      <c r="M20" s="111"/>
      <c r="P20" s="87" t="s">
        <v>310</v>
      </c>
      <c r="Q20" s="111" t="s">
        <v>324</v>
      </c>
      <c r="R20" s="111"/>
      <c r="S20" s="111"/>
      <c r="T20" s="111"/>
      <c r="U20" s="111"/>
      <c r="V20" s="111"/>
      <c r="W20" s="111"/>
      <c r="X20" s="111"/>
      <c r="Y20" s="111"/>
      <c r="Z20" s="111"/>
      <c r="AA20" s="111"/>
      <c r="AB20" s="111"/>
      <c r="AE20" s="87" t="s">
        <v>310</v>
      </c>
      <c r="AF20" s="111" t="s">
        <v>324</v>
      </c>
    </row>
    <row r="21" spans="1:32" x14ac:dyDescent="0.25">
      <c r="A21" s="87" t="s">
        <v>311</v>
      </c>
      <c r="B21" s="111" t="s">
        <v>325</v>
      </c>
      <c r="C21" s="111"/>
      <c r="D21" s="111"/>
      <c r="E21" s="111"/>
      <c r="F21" s="111"/>
      <c r="G21" s="111"/>
      <c r="H21" s="111"/>
      <c r="I21" s="111"/>
      <c r="J21" s="111"/>
      <c r="K21" s="111"/>
      <c r="L21" s="111"/>
      <c r="M21" s="111"/>
      <c r="P21" s="87" t="s">
        <v>311</v>
      </c>
      <c r="Q21" s="111" t="s">
        <v>325</v>
      </c>
      <c r="R21" s="111"/>
      <c r="S21" s="111"/>
      <c r="T21" s="111"/>
      <c r="U21" s="111"/>
      <c r="V21" s="111"/>
      <c r="W21" s="111"/>
      <c r="X21" s="111"/>
      <c r="Y21" s="111"/>
      <c r="Z21" s="111"/>
      <c r="AA21" s="111"/>
      <c r="AB21" s="111"/>
      <c r="AE21" s="87" t="s">
        <v>311</v>
      </c>
      <c r="AF21" s="111" t="s">
        <v>325</v>
      </c>
    </row>
    <row r="23" spans="1:32" x14ac:dyDescent="0.25">
      <c r="B23" s="104" t="str">
        <f>HYPERLINK("#'Factor List'!A1","Back to Factor List")</f>
        <v>Back to Factor List</v>
      </c>
    </row>
    <row r="24" spans="1:32" x14ac:dyDescent="0.25">
      <c r="B24" s="104" t="s">
        <v>13</v>
      </c>
    </row>
    <row r="26" spans="1:32" ht="13" x14ac:dyDescent="0.25">
      <c r="A26" s="127" t="s">
        <v>985</v>
      </c>
      <c r="B26" s="127">
        <v>0</v>
      </c>
      <c r="C26" s="127">
        <v>1</v>
      </c>
      <c r="D26" s="127">
        <v>2</v>
      </c>
      <c r="E26" s="127">
        <v>3</v>
      </c>
      <c r="F26" s="127">
        <v>4</v>
      </c>
      <c r="G26" s="127">
        <v>5</v>
      </c>
      <c r="H26" s="127">
        <v>6</v>
      </c>
      <c r="I26" s="127">
        <v>7</v>
      </c>
      <c r="J26" s="127">
        <v>8</v>
      </c>
      <c r="K26" s="127">
        <v>9</v>
      </c>
      <c r="L26" s="127">
        <v>10</v>
      </c>
      <c r="M26" s="127">
        <v>11</v>
      </c>
      <c r="P26" s="127" t="s">
        <v>985</v>
      </c>
      <c r="Q26" s="127">
        <v>0</v>
      </c>
      <c r="R26" s="127">
        <v>1</v>
      </c>
      <c r="S26" s="127">
        <v>2</v>
      </c>
      <c r="T26" s="127">
        <v>3</v>
      </c>
      <c r="U26" s="127">
        <v>4</v>
      </c>
      <c r="V26" s="127">
        <v>5</v>
      </c>
      <c r="W26" s="127">
        <v>6</v>
      </c>
      <c r="X26" s="127">
        <v>7</v>
      </c>
      <c r="Y26" s="127">
        <v>8</v>
      </c>
      <c r="Z26" s="127">
        <v>9</v>
      </c>
      <c r="AA26" s="127">
        <v>10</v>
      </c>
      <c r="AB26" s="127">
        <v>11</v>
      </c>
      <c r="AE26" s="127" t="s">
        <v>534</v>
      </c>
      <c r="AF26" s="127" t="s">
        <v>802</v>
      </c>
    </row>
    <row r="27" spans="1:32" x14ac:dyDescent="0.25">
      <c r="A27" s="128">
        <v>20</v>
      </c>
      <c r="B27" s="134">
        <v>2.1000000000000001E-2</v>
      </c>
      <c r="C27" s="134">
        <v>2.1000000000000001E-2</v>
      </c>
      <c r="D27" s="134">
        <v>2.1000000000000001E-2</v>
      </c>
      <c r="E27" s="134">
        <v>2.1000000000000001E-2</v>
      </c>
      <c r="F27" s="134">
        <v>2.1000000000000001E-2</v>
      </c>
      <c r="G27" s="134">
        <v>2.1000000000000001E-2</v>
      </c>
      <c r="H27" s="134">
        <v>2.1000000000000001E-2</v>
      </c>
      <c r="I27" s="134">
        <v>2.1000000000000001E-2</v>
      </c>
      <c r="J27" s="134">
        <v>2.1000000000000001E-2</v>
      </c>
      <c r="K27" s="134">
        <v>2.1000000000000001E-2</v>
      </c>
      <c r="L27" s="134">
        <v>2.1000000000000001E-2</v>
      </c>
      <c r="M27" s="134">
        <v>2.1000000000000001E-2</v>
      </c>
      <c r="P27" s="128">
        <v>20</v>
      </c>
      <c r="Q27" s="134">
        <v>2.1000000000000001E-2</v>
      </c>
      <c r="R27" s="134">
        <v>2.1000000000000001E-2</v>
      </c>
      <c r="S27" s="134">
        <v>2.1000000000000001E-2</v>
      </c>
      <c r="T27" s="134">
        <v>2.1000000000000001E-2</v>
      </c>
      <c r="U27" s="134">
        <v>0.02</v>
      </c>
      <c r="V27" s="134">
        <v>0.02</v>
      </c>
      <c r="W27" s="134">
        <v>0.02</v>
      </c>
      <c r="X27" s="134">
        <v>0.02</v>
      </c>
      <c r="Y27" s="134">
        <v>0.02</v>
      </c>
      <c r="Z27" s="134">
        <v>0.02</v>
      </c>
      <c r="AA27" s="134">
        <v>0.02</v>
      </c>
      <c r="AB27" s="134">
        <v>0.02</v>
      </c>
      <c r="AE27" s="128">
        <v>20</v>
      </c>
      <c r="AF27" s="134">
        <v>0.02</v>
      </c>
    </row>
    <row r="28" spans="1:32" x14ac:dyDescent="0.25">
      <c r="A28" s="128">
        <v>21</v>
      </c>
      <c r="B28" s="134">
        <v>2.1000000000000001E-2</v>
      </c>
      <c r="C28" s="134">
        <v>2.1000000000000001E-2</v>
      </c>
      <c r="D28" s="134">
        <v>2.1000000000000001E-2</v>
      </c>
      <c r="E28" s="134">
        <v>2.1000000000000001E-2</v>
      </c>
      <c r="F28" s="134">
        <v>2.1000000000000001E-2</v>
      </c>
      <c r="G28" s="134">
        <v>2.1000000000000001E-2</v>
      </c>
      <c r="H28" s="134">
        <v>2.1000000000000001E-2</v>
      </c>
      <c r="I28" s="134">
        <v>2.1000000000000001E-2</v>
      </c>
      <c r="J28" s="134">
        <v>2.1000000000000001E-2</v>
      </c>
      <c r="K28" s="134">
        <v>2.1000000000000001E-2</v>
      </c>
      <c r="L28" s="134">
        <v>2.1000000000000001E-2</v>
      </c>
      <c r="M28" s="134">
        <v>2.1000000000000001E-2</v>
      </c>
      <c r="P28" s="128">
        <v>21</v>
      </c>
      <c r="Q28" s="134">
        <v>2.1000000000000001E-2</v>
      </c>
      <c r="R28" s="134">
        <v>2.1000000000000001E-2</v>
      </c>
      <c r="S28" s="134">
        <v>2.1000000000000001E-2</v>
      </c>
      <c r="T28" s="134">
        <v>2.1000000000000001E-2</v>
      </c>
      <c r="U28" s="134">
        <v>2.1000000000000001E-2</v>
      </c>
      <c r="V28" s="134">
        <v>2.1000000000000001E-2</v>
      </c>
      <c r="W28" s="134">
        <v>2.1000000000000001E-2</v>
      </c>
      <c r="X28" s="134">
        <v>2.1000000000000001E-2</v>
      </c>
      <c r="Y28" s="134">
        <v>2.1000000000000001E-2</v>
      </c>
      <c r="Z28" s="134">
        <v>2.1000000000000001E-2</v>
      </c>
      <c r="AA28" s="134">
        <v>2.1000000000000001E-2</v>
      </c>
      <c r="AB28" s="134">
        <v>2.1000000000000001E-2</v>
      </c>
      <c r="AE28" s="128">
        <v>21</v>
      </c>
      <c r="AF28" s="134">
        <v>2.1000000000000001E-2</v>
      </c>
    </row>
    <row r="29" spans="1:32" x14ac:dyDescent="0.25">
      <c r="A29" s="128">
        <v>22</v>
      </c>
      <c r="B29" s="134">
        <v>2.1999999999999999E-2</v>
      </c>
      <c r="C29" s="134">
        <v>2.1999999999999999E-2</v>
      </c>
      <c r="D29" s="134">
        <v>2.1999999999999999E-2</v>
      </c>
      <c r="E29" s="134">
        <v>2.1999999999999999E-2</v>
      </c>
      <c r="F29" s="134">
        <v>2.1999999999999999E-2</v>
      </c>
      <c r="G29" s="134">
        <v>2.1999999999999999E-2</v>
      </c>
      <c r="H29" s="134">
        <v>2.1999999999999999E-2</v>
      </c>
      <c r="I29" s="134">
        <v>2.1999999999999999E-2</v>
      </c>
      <c r="J29" s="134">
        <v>2.1000000000000001E-2</v>
      </c>
      <c r="K29" s="134">
        <v>2.1000000000000001E-2</v>
      </c>
      <c r="L29" s="134">
        <v>2.1000000000000001E-2</v>
      </c>
      <c r="M29" s="134">
        <v>2.1000000000000001E-2</v>
      </c>
      <c r="P29" s="128">
        <v>22</v>
      </c>
      <c r="Q29" s="134">
        <v>2.1000000000000001E-2</v>
      </c>
      <c r="R29" s="134">
        <v>2.1000000000000001E-2</v>
      </c>
      <c r="S29" s="134">
        <v>2.1000000000000001E-2</v>
      </c>
      <c r="T29" s="134">
        <v>2.1000000000000001E-2</v>
      </c>
      <c r="U29" s="134">
        <v>2.1000000000000001E-2</v>
      </c>
      <c r="V29" s="134">
        <v>2.1000000000000001E-2</v>
      </c>
      <c r="W29" s="134">
        <v>2.1000000000000001E-2</v>
      </c>
      <c r="X29" s="134">
        <v>2.1000000000000001E-2</v>
      </c>
      <c r="Y29" s="134">
        <v>2.1000000000000001E-2</v>
      </c>
      <c r="Z29" s="134">
        <v>2.1000000000000001E-2</v>
      </c>
      <c r="AA29" s="134">
        <v>2.1000000000000001E-2</v>
      </c>
      <c r="AB29" s="134">
        <v>2.1000000000000001E-2</v>
      </c>
      <c r="AE29" s="128">
        <v>22</v>
      </c>
      <c r="AF29" s="134">
        <v>2.1000000000000001E-2</v>
      </c>
    </row>
    <row r="30" spans="1:32" x14ac:dyDescent="0.25">
      <c r="A30" s="128">
        <v>23</v>
      </c>
      <c r="B30" s="134">
        <v>2.1999999999999999E-2</v>
      </c>
      <c r="C30" s="134">
        <v>2.1999999999999999E-2</v>
      </c>
      <c r="D30" s="134">
        <v>2.1999999999999999E-2</v>
      </c>
      <c r="E30" s="134">
        <v>2.1999999999999999E-2</v>
      </c>
      <c r="F30" s="134">
        <v>2.1999999999999999E-2</v>
      </c>
      <c r="G30" s="134">
        <v>2.1999999999999999E-2</v>
      </c>
      <c r="H30" s="134">
        <v>2.1999999999999999E-2</v>
      </c>
      <c r="I30" s="134">
        <v>2.1999999999999999E-2</v>
      </c>
      <c r="J30" s="134">
        <v>2.1999999999999999E-2</v>
      </c>
      <c r="K30" s="134">
        <v>2.1999999999999999E-2</v>
      </c>
      <c r="L30" s="134">
        <v>2.1999999999999999E-2</v>
      </c>
      <c r="M30" s="134">
        <v>2.1999999999999999E-2</v>
      </c>
      <c r="P30" s="128">
        <v>23</v>
      </c>
      <c r="Q30" s="134">
        <v>2.1999999999999999E-2</v>
      </c>
      <c r="R30" s="134">
        <v>2.1999999999999999E-2</v>
      </c>
      <c r="S30" s="134">
        <v>2.1999999999999999E-2</v>
      </c>
      <c r="T30" s="134">
        <v>2.1999999999999999E-2</v>
      </c>
      <c r="U30" s="134">
        <v>2.1999999999999999E-2</v>
      </c>
      <c r="V30" s="134">
        <v>2.1000000000000001E-2</v>
      </c>
      <c r="W30" s="134">
        <v>2.1000000000000001E-2</v>
      </c>
      <c r="X30" s="134">
        <v>2.1000000000000001E-2</v>
      </c>
      <c r="Y30" s="134">
        <v>2.1000000000000001E-2</v>
      </c>
      <c r="Z30" s="134">
        <v>2.1000000000000001E-2</v>
      </c>
      <c r="AA30" s="134">
        <v>2.1000000000000001E-2</v>
      </c>
      <c r="AB30" s="134">
        <v>2.1000000000000001E-2</v>
      </c>
      <c r="AE30" s="128">
        <v>23</v>
      </c>
      <c r="AF30" s="134">
        <v>2.1000000000000001E-2</v>
      </c>
    </row>
    <row r="31" spans="1:32" x14ac:dyDescent="0.25">
      <c r="A31" s="128">
        <v>24</v>
      </c>
      <c r="B31" s="134">
        <v>2.3E-2</v>
      </c>
      <c r="C31" s="134">
        <v>2.1999999999999999E-2</v>
      </c>
      <c r="D31" s="134">
        <v>2.1999999999999999E-2</v>
      </c>
      <c r="E31" s="134">
        <v>2.1999999999999999E-2</v>
      </c>
      <c r="F31" s="134">
        <v>2.1999999999999999E-2</v>
      </c>
      <c r="G31" s="134">
        <v>2.1999999999999999E-2</v>
      </c>
      <c r="H31" s="134">
        <v>2.1999999999999999E-2</v>
      </c>
      <c r="I31" s="134">
        <v>2.1999999999999999E-2</v>
      </c>
      <c r="J31" s="134">
        <v>2.1999999999999999E-2</v>
      </c>
      <c r="K31" s="134">
        <v>2.1999999999999999E-2</v>
      </c>
      <c r="L31" s="134">
        <v>2.1999999999999999E-2</v>
      </c>
      <c r="M31" s="134">
        <v>2.1999999999999999E-2</v>
      </c>
      <c r="P31" s="128">
        <v>24</v>
      </c>
      <c r="Q31" s="134">
        <v>2.1999999999999999E-2</v>
      </c>
      <c r="R31" s="134">
        <v>2.1999999999999999E-2</v>
      </c>
      <c r="S31" s="134">
        <v>2.1999999999999999E-2</v>
      </c>
      <c r="T31" s="134">
        <v>2.1999999999999999E-2</v>
      </c>
      <c r="U31" s="134">
        <v>2.1999999999999999E-2</v>
      </c>
      <c r="V31" s="134">
        <v>2.1999999999999999E-2</v>
      </c>
      <c r="W31" s="134">
        <v>2.1999999999999999E-2</v>
      </c>
      <c r="X31" s="134">
        <v>2.1999999999999999E-2</v>
      </c>
      <c r="Y31" s="134">
        <v>2.1999999999999999E-2</v>
      </c>
      <c r="Z31" s="134">
        <v>2.1999999999999999E-2</v>
      </c>
      <c r="AA31" s="134">
        <v>2.1999999999999999E-2</v>
      </c>
      <c r="AB31" s="134">
        <v>2.1999999999999999E-2</v>
      </c>
      <c r="AE31" s="128">
        <v>24</v>
      </c>
      <c r="AF31" s="134">
        <v>2.1999999999999999E-2</v>
      </c>
    </row>
    <row r="32" spans="1:32" x14ac:dyDescent="0.25">
      <c r="A32" s="128">
        <v>25</v>
      </c>
      <c r="B32" s="134">
        <v>2.3E-2</v>
      </c>
      <c r="C32" s="134">
        <v>2.3E-2</v>
      </c>
      <c r="D32" s="134">
        <v>2.3E-2</v>
      </c>
      <c r="E32" s="134">
        <v>2.3E-2</v>
      </c>
      <c r="F32" s="134">
        <v>2.3E-2</v>
      </c>
      <c r="G32" s="134">
        <v>2.3E-2</v>
      </c>
      <c r="H32" s="134">
        <v>2.3E-2</v>
      </c>
      <c r="I32" s="134">
        <v>2.3E-2</v>
      </c>
      <c r="J32" s="134">
        <v>2.3E-2</v>
      </c>
      <c r="K32" s="134">
        <v>2.3E-2</v>
      </c>
      <c r="L32" s="134">
        <v>2.1999999999999999E-2</v>
      </c>
      <c r="M32" s="134">
        <v>2.1999999999999999E-2</v>
      </c>
      <c r="P32" s="128">
        <v>25</v>
      </c>
      <c r="Q32" s="134">
        <v>2.1999999999999999E-2</v>
      </c>
      <c r="R32" s="134">
        <v>2.1999999999999999E-2</v>
      </c>
      <c r="S32" s="134">
        <v>2.1999999999999999E-2</v>
      </c>
      <c r="T32" s="134">
        <v>2.1999999999999999E-2</v>
      </c>
      <c r="U32" s="134">
        <v>2.1999999999999999E-2</v>
      </c>
      <c r="V32" s="134">
        <v>2.1999999999999999E-2</v>
      </c>
      <c r="W32" s="134">
        <v>2.1999999999999999E-2</v>
      </c>
      <c r="X32" s="134">
        <v>2.1999999999999999E-2</v>
      </c>
      <c r="Y32" s="134">
        <v>2.1999999999999999E-2</v>
      </c>
      <c r="Z32" s="134">
        <v>2.1999999999999999E-2</v>
      </c>
      <c r="AA32" s="134">
        <v>2.1999999999999999E-2</v>
      </c>
      <c r="AB32" s="134">
        <v>2.1999999999999999E-2</v>
      </c>
      <c r="AE32" s="128">
        <v>25</v>
      </c>
      <c r="AF32" s="134">
        <v>2.1999999999999999E-2</v>
      </c>
    </row>
    <row r="33" spans="1:32" x14ac:dyDescent="0.25">
      <c r="A33" s="128">
        <v>26</v>
      </c>
      <c r="B33" s="134">
        <v>2.3E-2</v>
      </c>
      <c r="C33" s="134">
        <v>2.3E-2</v>
      </c>
      <c r="D33" s="134">
        <v>2.3E-2</v>
      </c>
      <c r="E33" s="134">
        <v>2.3E-2</v>
      </c>
      <c r="F33" s="134">
        <v>2.3E-2</v>
      </c>
      <c r="G33" s="134">
        <v>2.3E-2</v>
      </c>
      <c r="H33" s="134">
        <v>2.3E-2</v>
      </c>
      <c r="I33" s="134">
        <v>2.3E-2</v>
      </c>
      <c r="J33" s="134">
        <v>2.3E-2</v>
      </c>
      <c r="K33" s="134">
        <v>2.3E-2</v>
      </c>
      <c r="L33" s="134">
        <v>2.3E-2</v>
      </c>
      <c r="M33" s="134">
        <v>2.3E-2</v>
      </c>
      <c r="P33" s="128">
        <v>26</v>
      </c>
      <c r="Q33" s="134">
        <v>2.3E-2</v>
      </c>
      <c r="R33" s="134">
        <v>2.3E-2</v>
      </c>
      <c r="S33" s="134">
        <v>2.3E-2</v>
      </c>
      <c r="T33" s="134">
        <v>2.3E-2</v>
      </c>
      <c r="U33" s="134">
        <v>2.3E-2</v>
      </c>
      <c r="V33" s="134">
        <v>2.3E-2</v>
      </c>
      <c r="W33" s="134">
        <v>2.3E-2</v>
      </c>
      <c r="X33" s="134">
        <v>2.1999999999999999E-2</v>
      </c>
      <c r="Y33" s="134">
        <v>2.1999999999999999E-2</v>
      </c>
      <c r="Z33" s="134">
        <v>2.1999999999999999E-2</v>
      </c>
      <c r="AA33" s="134">
        <v>2.1999999999999999E-2</v>
      </c>
      <c r="AB33" s="134">
        <v>2.1999999999999999E-2</v>
      </c>
      <c r="AE33" s="128">
        <v>26</v>
      </c>
      <c r="AF33" s="134">
        <v>2.1999999999999999E-2</v>
      </c>
    </row>
    <row r="34" spans="1:32" x14ac:dyDescent="0.25">
      <c r="A34" s="128">
        <v>27</v>
      </c>
      <c r="B34" s="134">
        <v>2.4E-2</v>
      </c>
      <c r="C34" s="134">
        <v>2.4E-2</v>
      </c>
      <c r="D34" s="134">
        <v>2.4E-2</v>
      </c>
      <c r="E34" s="134">
        <v>2.4E-2</v>
      </c>
      <c r="F34" s="134">
        <v>2.4E-2</v>
      </c>
      <c r="G34" s="134">
        <v>2.3E-2</v>
      </c>
      <c r="H34" s="134">
        <v>2.3E-2</v>
      </c>
      <c r="I34" s="134">
        <v>2.3E-2</v>
      </c>
      <c r="J34" s="134">
        <v>2.3E-2</v>
      </c>
      <c r="K34" s="134">
        <v>2.3E-2</v>
      </c>
      <c r="L34" s="134">
        <v>2.3E-2</v>
      </c>
      <c r="M34" s="134">
        <v>2.3E-2</v>
      </c>
      <c r="P34" s="128">
        <v>27</v>
      </c>
      <c r="Q34" s="134">
        <v>2.3E-2</v>
      </c>
      <c r="R34" s="134">
        <v>2.3E-2</v>
      </c>
      <c r="S34" s="134">
        <v>2.3E-2</v>
      </c>
      <c r="T34" s="134">
        <v>2.3E-2</v>
      </c>
      <c r="U34" s="134">
        <v>2.3E-2</v>
      </c>
      <c r="V34" s="134">
        <v>2.3E-2</v>
      </c>
      <c r="W34" s="134">
        <v>2.3E-2</v>
      </c>
      <c r="X34" s="134">
        <v>2.3E-2</v>
      </c>
      <c r="Y34" s="134">
        <v>2.3E-2</v>
      </c>
      <c r="Z34" s="134">
        <v>2.3E-2</v>
      </c>
      <c r="AA34" s="134">
        <v>2.3E-2</v>
      </c>
      <c r="AB34" s="134">
        <v>2.3E-2</v>
      </c>
      <c r="AE34" s="128">
        <v>27</v>
      </c>
      <c r="AF34" s="134">
        <v>2.3E-2</v>
      </c>
    </row>
    <row r="35" spans="1:32" x14ac:dyDescent="0.25">
      <c r="A35" s="128">
        <v>28</v>
      </c>
      <c r="B35" s="134">
        <v>2.4E-2</v>
      </c>
      <c r="C35" s="134">
        <v>2.4E-2</v>
      </c>
      <c r="D35" s="134">
        <v>2.4E-2</v>
      </c>
      <c r="E35" s="134">
        <v>2.4E-2</v>
      </c>
      <c r="F35" s="134">
        <v>2.4E-2</v>
      </c>
      <c r="G35" s="134">
        <v>2.4E-2</v>
      </c>
      <c r="H35" s="134">
        <v>2.4E-2</v>
      </c>
      <c r="I35" s="134">
        <v>2.4E-2</v>
      </c>
      <c r="J35" s="134">
        <v>2.4E-2</v>
      </c>
      <c r="K35" s="134">
        <v>2.4E-2</v>
      </c>
      <c r="L35" s="134">
        <v>2.4E-2</v>
      </c>
      <c r="M35" s="134">
        <v>2.4E-2</v>
      </c>
      <c r="P35" s="128">
        <v>28</v>
      </c>
      <c r="Q35" s="134">
        <v>2.4E-2</v>
      </c>
      <c r="R35" s="134">
        <v>2.3E-2</v>
      </c>
      <c r="S35" s="134">
        <v>2.3E-2</v>
      </c>
      <c r="T35" s="134">
        <v>2.3E-2</v>
      </c>
      <c r="U35" s="134">
        <v>2.3E-2</v>
      </c>
      <c r="V35" s="134">
        <v>2.3E-2</v>
      </c>
      <c r="W35" s="134">
        <v>2.3E-2</v>
      </c>
      <c r="X35" s="134">
        <v>2.3E-2</v>
      </c>
      <c r="Y35" s="134">
        <v>2.3E-2</v>
      </c>
      <c r="Z35" s="134">
        <v>2.3E-2</v>
      </c>
      <c r="AA35" s="134">
        <v>2.3E-2</v>
      </c>
      <c r="AB35" s="134">
        <v>2.3E-2</v>
      </c>
      <c r="AE35" s="128">
        <v>28</v>
      </c>
      <c r="AF35" s="134">
        <v>2.3E-2</v>
      </c>
    </row>
    <row r="36" spans="1:32" x14ac:dyDescent="0.25">
      <c r="A36" s="128">
        <v>29</v>
      </c>
      <c r="B36" s="134">
        <v>2.4E-2</v>
      </c>
      <c r="C36" s="134">
        <v>2.4E-2</v>
      </c>
      <c r="D36" s="134">
        <v>2.4E-2</v>
      </c>
      <c r="E36" s="134">
        <v>2.4E-2</v>
      </c>
      <c r="F36" s="134">
        <v>2.4E-2</v>
      </c>
      <c r="G36" s="134">
        <v>2.4E-2</v>
      </c>
      <c r="H36" s="134">
        <v>2.4E-2</v>
      </c>
      <c r="I36" s="134">
        <v>2.4E-2</v>
      </c>
      <c r="J36" s="134">
        <v>2.4E-2</v>
      </c>
      <c r="K36" s="134">
        <v>2.4E-2</v>
      </c>
      <c r="L36" s="134">
        <v>2.4E-2</v>
      </c>
      <c r="M36" s="134">
        <v>2.4E-2</v>
      </c>
      <c r="P36" s="128">
        <v>29</v>
      </c>
      <c r="Q36" s="134">
        <v>2.4E-2</v>
      </c>
      <c r="R36" s="134">
        <v>2.4E-2</v>
      </c>
      <c r="S36" s="134">
        <v>2.4E-2</v>
      </c>
      <c r="T36" s="134">
        <v>2.4E-2</v>
      </c>
      <c r="U36" s="134">
        <v>2.4E-2</v>
      </c>
      <c r="V36" s="134">
        <v>2.4E-2</v>
      </c>
      <c r="W36" s="134">
        <v>2.4E-2</v>
      </c>
      <c r="X36" s="134">
        <v>2.4E-2</v>
      </c>
      <c r="Y36" s="134">
        <v>2.4E-2</v>
      </c>
      <c r="Z36" s="134">
        <v>2.4E-2</v>
      </c>
      <c r="AA36" s="134">
        <v>2.3E-2</v>
      </c>
      <c r="AB36" s="134">
        <v>2.3E-2</v>
      </c>
      <c r="AE36" s="128">
        <v>29</v>
      </c>
      <c r="AF36" s="134">
        <v>2.3E-2</v>
      </c>
    </row>
    <row r="37" spans="1:32" x14ac:dyDescent="0.25">
      <c r="A37" s="128">
        <v>30</v>
      </c>
      <c r="B37" s="134">
        <v>2.5000000000000001E-2</v>
      </c>
      <c r="C37" s="134">
        <v>2.5000000000000001E-2</v>
      </c>
      <c r="D37" s="134">
        <v>2.5000000000000001E-2</v>
      </c>
      <c r="E37" s="134">
        <v>2.5000000000000001E-2</v>
      </c>
      <c r="F37" s="134">
        <v>2.5000000000000001E-2</v>
      </c>
      <c r="G37" s="134">
        <v>2.5000000000000001E-2</v>
      </c>
      <c r="H37" s="134">
        <v>2.5000000000000001E-2</v>
      </c>
      <c r="I37" s="134">
        <v>2.5000000000000001E-2</v>
      </c>
      <c r="J37" s="134">
        <v>2.5000000000000001E-2</v>
      </c>
      <c r="K37" s="134">
        <v>2.4E-2</v>
      </c>
      <c r="L37" s="134">
        <v>2.4E-2</v>
      </c>
      <c r="M37" s="134">
        <v>2.4E-2</v>
      </c>
      <c r="P37" s="128">
        <v>30</v>
      </c>
      <c r="Q37" s="134">
        <v>2.4E-2</v>
      </c>
      <c r="R37" s="134">
        <v>2.4E-2</v>
      </c>
      <c r="S37" s="134">
        <v>2.4E-2</v>
      </c>
      <c r="T37" s="134">
        <v>2.4E-2</v>
      </c>
      <c r="U37" s="134">
        <v>2.4E-2</v>
      </c>
      <c r="V37" s="134">
        <v>2.4E-2</v>
      </c>
      <c r="W37" s="134">
        <v>2.4E-2</v>
      </c>
      <c r="X37" s="134">
        <v>2.4E-2</v>
      </c>
      <c r="Y37" s="134">
        <v>2.4E-2</v>
      </c>
      <c r="Z37" s="134">
        <v>2.4E-2</v>
      </c>
      <c r="AA37" s="134">
        <v>2.4E-2</v>
      </c>
      <c r="AB37" s="134">
        <v>2.4E-2</v>
      </c>
      <c r="AE37" s="128">
        <v>30</v>
      </c>
      <c r="AF37" s="134">
        <v>2.4E-2</v>
      </c>
    </row>
    <row r="38" spans="1:32" x14ac:dyDescent="0.25">
      <c r="A38" s="128">
        <v>31</v>
      </c>
      <c r="B38" s="134">
        <v>2.5000000000000001E-2</v>
      </c>
      <c r="C38" s="134">
        <v>2.5000000000000001E-2</v>
      </c>
      <c r="D38" s="134">
        <v>2.5000000000000001E-2</v>
      </c>
      <c r="E38" s="134">
        <v>2.5000000000000001E-2</v>
      </c>
      <c r="F38" s="134">
        <v>2.5000000000000001E-2</v>
      </c>
      <c r="G38" s="134">
        <v>2.5000000000000001E-2</v>
      </c>
      <c r="H38" s="134">
        <v>2.5000000000000001E-2</v>
      </c>
      <c r="I38" s="134">
        <v>2.5000000000000001E-2</v>
      </c>
      <c r="J38" s="134">
        <v>2.5000000000000001E-2</v>
      </c>
      <c r="K38" s="134">
        <v>2.5000000000000001E-2</v>
      </c>
      <c r="L38" s="134">
        <v>2.5000000000000001E-2</v>
      </c>
      <c r="M38" s="134">
        <v>2.5000000000000001E-2</v>
      </c>
      <c r="P38" s="128">
        <v>31</v>
      </c>
      <c r="Q38" s="134">
        <v>2.5000000000000001E-2</v>
      </c>
      <c r="R38" s="134">
        <v>2.5000000000000001E-2</v>
      </c>
      <c r="S38" s="134">
        <v>2.5000000000000001E-2</v>
      </c>
      <c r="T38" s="134">
        <v>2.5000000000000001E-2</v>
      </c>
      <c r="U38" s="134">
        <v>2.5000000000000001E-2</v>
      </c>
      <c r="V38" s="134">
        <v>2.5000000000000001E-2</v>
      </c>
      <c r="W38" s="134">
        <v>2.4E-2</v>
      </c>
      <c r="X38" s="134">
        <v>2.4E-2</v>
      </c>
      <c r="Y38" s="134">
        <v>2.4E-2</v>
      </c>
      <c r="Z38" s="134">
        <v>2.4E-2</v>
      </c>
      <c r="AA38" s="134">
        <v>2.4E-2</v>
      </c>
      <c r="AB38" s="134">
        <v>2.4E-2</v>
      </c>
      <c r="AE38" s="128">
        <v>31</v>
      </c>
      <c r="AF38" s="134">
        <v>2.4E-2</v>
      </c>
    </row>
    <row r="39" spans="1:32" x14ac:dyDescent="0.25">
      <c r="A39" s="128">
        <v>32</v>
      </c>
      <c r="B39" s="134">
        <v>2.5999999999999999E-2</v>
      </c>
      <c r="C39" s="134">
        <v>2.5999999999999999E-2</v>
      </c>
      <c r="D39" s="134">
        <v>2.5999999999999999E-2</v>
      </c>
      <c r="E39" s="134">
        <v>2.5999999999999999E-2</v>
      </c>
      <c r="F39" s="134">
        <v>2.5999999999999999E-2</v>
      </c>
      <c r="G39" s="134">
        <v>2.5000000000000001E-2</v>
      </c>
      <c r="H39" s="134">
        <v>2.5000000000000001E-2</v>
      </c>
      <c r="I39" s="134">
        <v>2.5000000000000001E-2</v>
      </c>
      <c r="J39" s="134">
        <v>2.5000000000000001E-2</v>
      </c>
      <c r="K39" s="134">
        <v>2.5000000000000001E-2</v>
      </c>
      <c r="L39" s="134">
        <v>2.5000000000000001E-2</v>
      </c>
      <c r="M39" s="134">
        <v>2.5000000000000001E-2</v>
      </c>
      <c r="P39" s="128">
        <v>32</v>
      </c>
      <c r="Q39" s="134">
        <v>2.5000000000000001E-2</v>
      </c>
      <c r="R39" s="134">
        <v>2.5000000000000001E-2</v>
      </c>
      <c r="S39" s="134">
        <v>2.5000000000000001E-2</v>
      </c>
      <c r="T39" s="134">
        <v>2.5000000000000001E-2</v>
      </c>
      <c r="U39" s="134">
        <v>2.5000000000000001E-2</v>
      </c>
      <c r="V39" s="134">
        <v>2.5000000000000001E-2</v>
      </c>
      <c r="W39" s="134">
        <v>2.5000000000000001E-2</v>
      </c>
      <c r="X39" s="134">
        <v>2.5000000000000001E-2</v>
      </c>
      <c r="Y39" s="134">
        <v>2.5000000000000001E-2</v>
      </c>
      <c r="Z39" s="134">
        <v>2.5000000000000001E-2</v>
      </c>
      <c r="AA39" s="134">
        <v>2.5000000000000001E-2</v>
      </c>
      <c r="AB39" s="134">
        <v>2.5000000000000001E-2</v>
      </c>
      <c r="AE39" s="128">
        <v>32</v>
      </c>
      <c r="AF39" s="134">
        <v>2.5000000000000001E-2</v>
      </c>
    </row>
    <row r="40" spans="1:32" x14ac:dyDescent="0.25">
      <c r="A40" s="128">
        <v>33</v>
      </c>
      <c r="B40" s="134">
        <v>2.5999999999999999E-2</v>
      </c>
      <c r="C40" s="134">
        <v>2.5999999999999999E-2</v>
      </c>
      <c r="D40" s="134">
        <v>2.5999999999999999E-2</v>
      </c>
      <c r="E40" s="134">
        <v>2.5999999999999999E-2</v>
      </c>
      <c r="F40" s="134">
        <v>2.5999999999999999E-2</v>
      </c>
      <c r="G40" s="134">
        <v>2.5999999999999999E-2</v>
      </c>
      <c r="H40" s="134">
        <v>2.5999999999999999E-2</v>
      </c>
      <c r="I40" s="134">
        <v>2.5999999999999999E-2</v>
      </c>
      <c r="J40" s="134">
        <v>2.5999999999999999E-2</v>
      </c>
      <c r="K40" s="134">
        <v>2.5999999999999999E-2</v>
      </c>
      <c r="L40" s="134">
        <v>2.5999999999999999E-2</v>
      </c>
      <c r="M40" s="134">
        <v>2.5999999999999999E-2</v>
      </c>
      <c r="P40" s="128">
        <v>33</v>
      </c>
      <c r="Q40" s="134">
        <v>2.5999999999999999E-2</v>
      </c>
      <c r="R40" s="134">
        <v>2.5999999999999999E-2</v>
      </c>
      <c r="S40" s="134">
        <v>2.5000000000000001E-2</v>
      </c>
      <c r="T40" s="134">
        <v>2.5000000000000001E-2</v>
      </c>
      <c r="U40" s="134">
        <v>2.5000000000000001E-2</v>
      </c>
      <c r="V40" s="134">
        <v>2.5000000000000001E-2</v>
      </c>
      <c r="W40" s="134">
        <v>2.5000000000000001E-2</v>
      </c>
      <c r="X40" s="134">
        <v>2.5000000000000001E-2</v>
      </c>
      <c r="Y40" s="134">
        <v>2.5000000000000001E-2</v>
      </c>
      <c r="Z40" s="134">
        <v>2.5000000000000001E-2</v>
      </c>
      <c r="AA40" s="134">
        <v>2.5000000000000001E-2</v>
      </c>
      <c r="AB40" s="134">
        <v>2.5000000000000001E-2</v>
      </c>
      <c r="AE40" s="128">
        <v>33</v>
      </c>
      <c r="AF40" s="134">
        <v>2.5000000000000001E-2</v>
      </c>
    </row>
    <row r="41" spans="1:32" x14ac:dyDescent="0.25">
      <c r="A41" s="128">
        <v>34</v>
      </c>
      <c r="B41" s="134">
        <v>2.7E-2</v>
      </c>
      <c r="C41" s="134">
        <v>2.7E-2</v>
      </c>
      <c r="D41" s="134">
        <v>2.5999999999999999E-2</v>
      </c>
      <c r="E41" s="134">
        <v>2.5999999999999999E-2</v>
      </c>
      <c r="F41" s="134">
        <v>2.5999999999999999E-2</v>
      </c>
      <c r="G41" s="134">
        <v>2.5999999999999999E-2</v>
      </c>
      <c r="H41" s="134">
        <v>2.5999999999999999E-2</v>
      </c>
      <c r="I41" s="134">
        <v>2.5999999999999999E-2</v>
      </c>
      <c r="J41" s="134">
        <v>2.5999999999999999E-2</v>
      </c>
      <c r="K41" s="134">
        <v>2.5999999999999999E-2</v>
      </c>
      <c r="L41" s="134">
        <v>2.5999999999999999E-2</v>
      </c>
      <c r="M41" s="134">
        <v>2.5999999999999999E-2</v>
      </c>
      <c r="P41" s="128">
        <v>34</v>
      </c>
      <c r="Q41" s="134">
        <v>2.5999999999999999E-2</v>
      </c>
      <c r="R41" s="134">
        <v>2.5999999999999999E-2</v>
      </c>
      <c r="S41" s="134">
        <v>2.5999999999999999E-2</v>
      </c>
      <c r="T41" s="134">
        <v>2.5999999999999999E-2</v>
      </c>
      <c r="U41" s="134">
        <v>2.5999999999999999E-2</v>
      </c>
      <c r="V41" s="134">
        <v>2.5999999999999999E-2</v>
      </c>
      <c r="W41" s="134">
        <v>2.5999999999999999E-2</v>
      </c>
      <c r="X41" s="134">
        <v>2.5999999999999999E-2</v>
      </c>
      <c r="Y41" s="134">
        <v>2.5999999999999999E-2</v>
      </c>
      <c r="Z41" s="134">
        <v>2.5999999999999999E-2</v>
      </c>
      <c r="AA41" s="134">
        <v>2.5999999999999999E-2</v>
      </c>
      <c r="AB41" s="134">
        <v>2.5000000000000001E-2</v>
      </c>
      <c r="AE41" s="128">
        <v>34</v>
      </c>
      <c r="AF41" s="134">
        <v>2.5000000000000001E-2</v>
      </c>
    </row>
    <row r="42" spans="1:32" x14ac:dyDescent="0.25">
      <c r="A42" s="128">
        <v>35</v>
      </c>
      <c r="B42" s="134">
        <v>2.7E-2</v>
      </c>
      <c r="C42" s="134">
        <v>2.7E-2</v>
      </c>
      <c r="D42" s="134">
        <v>2.7E-2</v>
      </c>
      <c r="E42" s="134">
        <v>2.7E-2</v>
      </c>
      <c r="F42" s="134">
        <v>2.7E-2</v>
      </c>
      <c r="G42" s="134">
        <v>2.7E-2</v>
      </c>
      <c r="H42" s="134">
        <v>2.7E-2</v>
      </c>
      <c r="I42" s="134">
        <v>2.7E-2</v>
      </c>
      <c r="J42" s="134">
        <v>2.7E-2</v>
      </c>
      <c r="K42" s="134">
        <v>2.7E-2</v>
      </c>
      <c r="L42" s="134">
        <v>2.7E-2</v>
      </c>
      <c r="M42" s="134">
        <v>2.5999999999999999E-2</v>
      </c>
      <c r="P42" s="128">
        <v>35</v>
      </c>
      <c r="Q42" s="134">
        <v>2.5999999999999999E-2</v>
      </c>
      <c r="R42" s="134">
        <v>2.5999999999999999E-2</v>
      </c>
      <c r="S42" s="134">
        <v>2.5999999999999999E-2</v>
      </c>
      <c r="T42" s="134">
        <v>2.5999999999999999E-2</v>
      </c>
      <c r="U42" s="134">
        <v>2.5999999999999999E-2</v>
      </c>
      <c r="V42" s="134">
        <v>2.5999999999999999E-2</v>
      </c>
      <c r="W42" s="134">
        <v>2.5999999999999999E-2</v>
      </c>
      <c r="X42" s="134">
        <v>2.5999999999999999E-2</v>
      </c>
      <c r="Y42" s="134">
        <v>2.5999999999999999E-2</v>
      </c>
      <c r="Z42" s="134">
        <v>2.5999999999999999E-2</v>
      </c>
      <c r="AA42" s="134">
        <v>2.5999999999999999E-2</v>
      </c>
      <c r="AB42" s="134">
        <v>2.5999999999999999E-2</v>
      </c>
      <c r="AE42" s="128">
        <v>35</v>
      </c>
      <c r="AF42" s="134">
        <v>2.5999999999999999E-2</v>
      </c>
    </row>
    <row r="43" spans="1:32" x14ac:dyDescent="0.25">
      <c r="A43" s="128">
        <v>36</v>
      </c>
      <c r="B43" s="134">
        <v>2.8000000000000001E-2</v>
      </c>
      <c r="C43" s="134">
        <v>2.7E-2</v>
      </c>
      <c r="D43" s="134">
        <v>2.7E-2</v>
      </c>
      <c r="E43" s="134">
        <v>2.7E-2</v>
      </c>
      <c r="F43" s="134">
        <v>2.7E-2</v>
      </c>
      <c r="G43" s="134">
        <v>2.7E-2</v>
      </c>
      <c r="H43" s="134">
        <v>2.7E-2</v>
      </c>
      <c r="I43" s="134">
        <v>2.7E-2</v>
      </c>
      <c r="J43" s="134">
        <v>2.7E-2</v>
      </c>
      <c r="K43" s="134">
        <v>2.7E-2</v>
      </c>
      <c r="L43" s="134">
        <v>2.7E-2</v>
      </c>
      <c r="M43" s="134">
        <v>2.7E-2</v>
      </c>
      <c r="P43" s="128">
        <v>36</v>
      </c>
      <c r="Q43" s="134">
        <v>2.7E-2</v>
      </c>
      <c r="R43" s="134">
        <v>2.7E-2</v>
      </c>
      <c r="S43" s="134">
        <v>2.7E-2</v>
      </c>
      <c r="T43" s="134">
        <v>2.7E-2</v>
      </c>
      <c r="U43" s="134">
        <v>2.7E-2</v>
      </c>
      <c r="V43" s="134">
        <v>2.7E-2</v>
      </c>
      <c r="W43" s="134">
        <v>2.7E-2</v>
      </c>
      <c r="X43" s="134">
        <v>2.7E-2</v>
      </c>
      <c r="Y43" s="134">
        <v>2.5999999999999999E-2</v>
      </c>
      <c r="Z43" s="134">
        <v>2.5999999999999999E-2</v>
      </c>
      <c r="AA43" s="134">
        <v>2.5999999999999999E-2</v>
      </c>
      <c r="AB43" s="134">
        <v>2.5999999999999999E-2</v>
      </c>
      <c r="AE43" s="128">
        <v>36</v>
      </c>
      <c r="AF43" s="134">
        <v>2.5999999999999999E-2</v>
      </c>
    </row>
    <row r="44" spans="1:32" x14ac:dyDescent="0.25">
      <c r="A44" s="128">
        <v>37</v>
      </c>
      <c r="B44" s="134">
        <v>2.8000000000000001E-2</v>
      </c>
      <c r="C44" s="134">
        <v>2.8000000000000001E-2</v>
      </c>
      <c r="D44" s="134">
        <v>2.8000000000000001E-2</v>
      </c>
      <c r="E44" s="134">
        <v>2.8000000000000001E-2</v>
      </c>
      <c r="F44" s="134">
        <v>2.8000000000000001E-2</v>
      </c>
      <c r="G44" s="134">
        <v>2.8000000000000001E-2</v>
      </c>
      <c r="H44" s="134">
        <v>2.8000000000000001E-2</v>
      </c>
      <c r="I44" s="134">
        <v>2.8000000000000001E-2</v>
      </c>
      <c r="J44" s="134">
        <v>2.8000000000000001E-2</v>
      </c>
      <c r="K44" s="134">
        <v>2.7E-2</v>
      </c>
      <c r="L44" s="134">
        <v>2.7E-2</v>
      </c>
      <c r="M44" s="134">
        <v>2.7E-2</v>
      </c>
      <c r="P44" s="128">
        <v>37</v>
      </c>
      <c r="Q44" s="134">
        <v>2.7E-2</v>
      </c>
      <c r="R44" s="134">
        <v>2.7E-2</v>
      </c>
      <c r="S44" s="134">
        <v>2.7E-2</v>
      </c>
      <c r="T44" s="134">
        <v>2.7E-2</v>
      </c>
      <c r="U44" s="134">
        <v>2.7E-2</v>
      </c>
      <c r="V44" s="134">
        <v>2.7E-2</v>
      </c>
      <c r="W44" s="134">
        <v>2.7E-2</v>
      </c>
      <c r="X44" s="134">
        <v>2.7E-2</v>
      </c>
      <c r="Y44" s="134">
        <v>2.7E-2</v>
      </c>
      <c r="Z44" s="134">
        <v>2.7E-2</v>
      </c>
      <c r="AA44" s="134">
        <v>2.7E-2</v>
      </c>
      <c r="AB44" s="134">
        <v>2.7E-2</v>
      </c>
      <c r="AE44" s="128">
        <v>37</v>
      </c>
      <c r="AF44" s="134">
        <v>2.7E-2</v>
      </c>
    </row>
    <row r="45" spans="1:32" x14ac:dyDescent="0.25">
      <c r="A45" s="128">
        <v>38</v>
      </c>
      <c r="B45" s="134">
        <v>2.8000000000000001E-2</v>
      </c>
      <c r="C45" s="134">
        <v>2.8000000000000001E-2</v>
      </c>
      <c r="D45" s="134">
        <v>2.8000000000000001E-2</v>
      </c>
      <c r="E45" s="134">
        <v>2.8000000000000001E-2</v>
      </c>
      <c r="F45" s="134">
        <v>2.8000000000000001E-2</v>
      </c>
      <c r="G45" s="134">
        <v>2.8000000000000001E-2</v>
      </c>
      <c r="H45" s="134">
        <v>2.8000000000000001E-2</v>
      </c>
      <c r="I45" s="134">
        <v>2.8000000000000001E-2</v>
      </c>
      <c r="J45" s="134">
        <v>2.8000000000000001E-2</v>
      </c>
      <c r="K45" s="134">
        <v>2.8000000000000001E-2</v>
      </c>
      <c r="L45" s="134">
        <v>2.8000000000000001E-2</v>
      </c>
      <c r="M45" s="134">
        <v>2.8000000000000001E-2</v>
      </c>
      <c r="P45" s="128">
        <v>38</v>
      </c>
      <c r="Q45" s="134">
        <v>2.8000000000000001E-2</v>
      </c>
      <c r="R45" s="134">
        <v>2.8000000000000001E-2</v>
      </c>
      <c r="S45" s="134">
        <v>2.8000000000000001E-2</v>
      </c>
      <c r="T45" s="134">
        <v>2.8000000000000001E-2</v>
      </c>
      <c r="U45" s="134">
        <v>2.8000000000000001E-2</v>
      </c>
      <c r="V45" s="134">
        <v>2.8000000000000001E-2</v>
      </c>
      <c r="W45" s="134">
        <v>2.7E-2</v>
      </c>
      <c r="X45" s="134">
        <v>2.7E-2</v>
      </c>
      <c r="Y45" s="134">
        <v>2.7E-2</v>
      </c>
      <c r="Z45" s="134">
        <v>2.7E-2</v>
      </c>
      <c r="AA45" s="134">
        <v>2.7E-2</v>
      </c>
      <c r="AB45" s="134">
        <v>2.7E-2</v>
      </c>
      <c r="AE45" s="128">
        <v>38</v>
      </c>
      <c r="AF45" s="134">
        <v>2.7E-2</v>
      </c>
    </row>
    <row r="46" spans="1:32" x14ac:dyDescent="0.25">
      <c r="A46" s="128">
        <v>39</v>
      </c>
      <c r="B46" s="134">
        <v>2.9000000000000001E-2</v>
      </c>
      <c r="C46" s="134">
        <v>2.9000000000000001E-2</v>
      </c>
      <c r="D46" s="134">
        <v>2.9000000000000001E-2</v>
      </c>
      <c r="E46" s="134">
        <v>2.9000000000000001E-2</v>
      </c>
      <c r="F46" s="134">
        <v>2.9000000000000001E-2</v>
      </c>
      <c r="G46" s="134">
        <v>2.9000000000000001E-2</v>
      </c>
      <c r="H46" s="134">
        <v>2.9000000000000001E-2</v>
      </c>
      <c r="I46" s="134">
        <v>2.9000000000000001E-2</v>
      </c>
      <c r="J46" s="134">
        <v>2.8000000000000001E-2</v>
      </c>
      <c r="K46" s="134">
        <v>2.8000000000000001E-2</v>
      </c>
      <c r="L46" s="134">
        <v>2.8000000000000001E-2</v>
      </c>
      <c r="M46" s="134">
        <v>2.8000000000000001E-2</v>
      </c>
      <c r="P46" s="128">
        <v>39</v>
      </c>
      <c r="Q46" s="134">
        <v>2.8000000000000001E-2</v>
      </c>
      <c r="R46" s="134">
        <v>2.8000000000000001E-2</v>
      </c>
      <c r="S46" s="134">
        <v>2.8000000000000001E-2</v>
      </c>
      <c r="T46" s="134">
        <v>2.8000000000000001E-2</v>
      </c>
      <c r="U46" s="134">
        <v>2.8000000000000001E-2</v>
      </c>
      <c r="V46" s="134">
        <v>2.8000000000000001E-2</v>
      </c>
      <c r="W46" s="134">
        <v>2.8000000000000001E-2</v>
      </c>
      <c r="X46" s="134">
        <v>2.8000000000000001E-2</v>
      </c>
      <c r="Y46" s="134">
        <v>2.8000000000000001E-2</v>
      </c>
      <c r="Z46" s="134">
        <v>2.8000000000000001E-2</v>
      </c>
      <c r="AA46" s="134">
        <v>2.8000000000000001E-2</v>
      </c>
      <c r="AB46" s="134">
        <v>2.8000000000000001E-2</v>
      </c>
      <c r="AE46" s="128">
        <v>39</v>
      </c>
      <c r="AF46" s="134">
        <v>2.8000000000000001E-2</v>
      </c>
    </row>
    <row r="47" spans="1:32" x14ac:dyDescent="0.25">
      <c r="A47" s="128">
        <v>40</v>
      </c>
      <c r="B47" s="134">
        <v>2.9000000000000001E-2</v>
      </c>
      <c r="C47" s="134">
        <v>2.9000000000000001E-2</v>
      </c>
      <c r="D47" s="134">
        <v>2.9000000000000001E-2</v>
      </c>
      <c r="E47" s="134">
        <v>2.9000000000000001E-2</v>
      </c>
      <c r="F47" s="134">
        <v>2.9000000000000001E-2</v>
      </c>
      <c r="G47" s="134">
        <v>2.9000000000000001E-2</v>
      </c>
      <c r="H47" s="134">
        <v>2.9000000000000001E-2</v>
      </c>
      <c r="I47" s="134">
        <v>2.9000000000000001E-2</v>
      </c>
      <c r="J47" s="134">
        <v>2.9000000000000001E-2</v>
      </c>
      <c r="K47" s="134">
        <v>2.9000000000000001E-2</v>
      </c>
      <c r="L47" s="134">
        <v>2.9000000000000001E-2</v>
      </c>
      <c r="M47" s="134">
        <v>2.9000000000000001E-2</v>
      </c>
      <c r="P47" s="128">
        <v>40</v>
      </c>
      <c r="Q47" s="134">
        <v>2.9000000000000001E-2</v>
      </c>
      <c r="R47" s="134">
        <v>2.9000000000000001E-2</v>
      </c>
      <c r="S47" s="134">
        <v>2.9000000000000001E-2</v>
      </c>
      <c r="T47" s="134">
        <v>2.9000000000000001E-2</v>
      </c>
      <c r="U47" s="134">
        <v>2.9000000000000001E-2</v>
      </c>
      <c r="V47" s="134">
        <v>2.8000000000000001E-2</v>
      </c>
      <c r="W47" s="134">
        <v>2.8000000000000001E-2</v>
      </c>
      <c r="X47" s="134">
        <v>2.8000000000000001E-2</v>
      </c>
      <c r="Y47" s="134">
        <v>2.8000000000000001E-2</v>
      </c>
      <c r="Z47" s="134">
        <v>2.8000000000000001E-2</v>
      </c>
      <c r="AA47" s="134">
        <v>2.8000000000000001E-2</v>
      </c>
      <c r="AB47" s="134">
        <v>2.8000000000000001E-2</v>
      </c>
      <c r="AE47" s="128">
        <v>40</v>
      </c>
      <c r="AF47" s="134">
        <v>2.8000000000000001E-2</v>
      </c>
    </row>
    <row r="48" spans="1:32" x14ac:dyDescent="0.25">
      <c r="A48" s="128">
        <v>41</v>
      </c>
      <c r="B48" s="134">
        <v>0.03</v>
      </c>
      <c r="C48" s="134">
        <v>0.03</v>
      </c>
      <c r="D48" s="134">
        <v>0.03</v>
      </c>
      <c r="E48" s="134">
        <v>0.03</v>
      </c>
      <c r="F48" s="134">
        <v>0.03</v>
      </c>
      <c r="G48" s="134">
        <v>0.03</v>
      </c>
      <c r="H48" s="134">
        <v>0.03</v>
      </c>
      <c r="I48" s="134">
        <v>0.03</v>
      </c>
      <c r="J48" s="134">
        <v>2.9000000000000001E-2</v>
      </c>
      <c r="K48" s="134">
        <v>2.9000000000000001E-2</v>
      </c>
      <c r="L48" s="134">
        <v>2.9000000000000001E-2</v>
      </c>
      <c r="M48" s="134">
        <v>2.9000000000000001E-2</v>
      </c>
      <c r="P48" s="128">
        <v>41</v>
      </c>
      <c r="Q48" s="134">
        <v>2.9000000000000001E-2</v>
      </c>
      <c r="R48" s="134">
        <v>2.9000000000000001E-2</v>
      </c>
      <c r="S48" s="134">
        <v>2.9000000000000001E-2</v>
      </c>
      <c r="T48" s="134">
        <v>2.9000000000000001E-2</v>
      </c>
      <c r="U48" s="134">
        <v>2.9000000000000001E-2</v>
      </c>
      <c r="V48" s="134">
        <v>2.9000000000000001E-2</v>
      </c>
      <c r="W48" s="134">
        <v>2.9000000000000001E-2</v>
      </c>
      <c r="X48" s="134">
        <v>2.9000000000000001E-2</v>
      </c>
      <c r="Y48" s="134">
        <v>2.9000000000000001E-2</v>
      </c>
      <c r="Z48" s="134">
        <v>2.9000000000000001E-2</v>
      </c>
      <c r="AA48" s="134">
        <v>2.9000000000000001E-2</v>
      </c>
      <c r="AB48" s="134">
        <v>2.9000000000000001E-2</v>
      </c>
      <c r="AE48" s="128">
        <v>41</v>
      </c>
      <c r="AF48" s="134">
        <v>2.9000000000000001E-2</v>
      </c>
    </row>
    <row r="49" spans="1:32" x14ac:dyDescent="0.25">
      <c r="A49" s="128">
        <v>42</v>
      </c>
      <c r="B49" s="134">
        <v>0.03</v>
      </c>
      <c r="C49" s="134">
        <v>0.03</v>
      </c>
      <c r="D49" s="134">
        <v>0.03</v>
      </c>
      <c r="E49" s="134">
        <v>0.03</v>
      </c>
      <c r="F49" s="134">
        <v>0.03</v>
      </c>
      <c r="G49" s="134">
        <v>0.03</v>
      </c>
      <c r="H49" s="134">
        <v>0.03</v>
      </c>
      <c r="I49" s="134">
        <v>0.03</v>
      </c>
      <c r="J49" s="134">
        <v>0.03</v>
      </c>
      <c r="K49" s="134">
        <v>0.03</v>
      </c>
      <c r="L49" s="134">
        <v>0.03</v>
      </c>
      <c r="M49" s="134">
        <v>0.03</v>
      </c>
      <c r="P49" s="128">
        <v>42</v>
      </c>
      <c r="Q49" s="134">
        <v>0.03</v>
      </c>
      <c r="R49" s="134">
        <v>0.03</v>
      </c>
      <c r="S49" s="134">
        <v>0.03</v>
      </c>
      <c r="T49" s="134">
        <v>0.03</v>
      </c>
      <c r="U49" s="134">
        <v>0.03</v>
      </c>
      <c r="V49" s="134">
        <v>2.9000000000000001E-2</v>
      </c>
      <c r="W49" s="134">
        <v>2.9000000000000001E-2</v>
      </c>
      <c r="X49" s="134">
        <v>2.9000000000000001E-2</v>
      </c>
      <c r="Y49" s="134">
        <v>2.9000000000000001E-2</v>
      </c>
      <c r="Z49" s="134">
        <v>2.9000000000000001E-2</v>
      </c>
      <c r="AA49" s="134">
        <v>2.9000000000000001E-2</v>
      </c>
      <c r="AB49" s="134">
        <v>2.9000000000000001E-2</v>
      </c>
      <c r="AE49" s="128">
        <v>42</v>
      </c>
      <c r="AF49" s="134">
        <v>2.9000000000000001E-2</v>
      </c>
    </row>
    <row r="50" spans="1:32" x14ac:dyDescent="0.25">
      <c r="A50" s="128">
        <v>43</v>
      </c>
      <c r="B50" s="134">
        <v>3.1E-2</v>
      </c>
      <c r="C50" s="134">
        <v>3.1E-2</v>
      </c>
      <c r="D50" s="134">
        <v>3.1E-2</v>
      </c>
      <c r="E50" s="134">
        <v>3.1E-2</v>
      </c>
      <c r="F50" s="134">
        <v>3.1E-2</v>
      </c>
      <c r="G50" s="134">
        <v>3.1E-2</v>
      </c>
      <c r="H50" s="134">
        <v>3.1E-2</v>
      </c>
      <c r="I50" s="134">
        <v>3.1E-2</v>
      </c>
      <c r="J50" s="134">
        <v>3.1E-2</v>
      </c>
      <c r="K50" s="134">
        <v>0.03</v>
      </c>
      <c r="L50" s="134">
        <v>0.03</v>
      </c>
      <c r="M50" s="134">
        <v>0.03</v>
      </c>
      <c r="P50" s="128">
        <v>43</v>
      </c>
      <c r="Q50" s="134">
        <v>0.03</v>
      </c>
      <c r="R50" s="134">
        <v>0.03</v>
      </c>
      <c r="S50" s="134">
        <v>0.03</v>
      </c>
      <c r="T50" s="134">
        <v>0.03</v>
      </c>
      <c r="U50" s="134">
        <v>0.03</v>
      </c>
      <c r="V50" s="134">
        <v>0.03</v>
      </c>
      <c r="W50" s="134">
        <v>0.03</v>
      </c>
      <c r="X50" s="134">
        <v>0.03</v>
      </c>
      <c r="Y50" s="134">
        <v>0.03</v>
      </c>
      <c r="Z50" s="134">
        <v>0.03</v>
      </c>
      <c r="AA50" s="134">
        <v>0.03</v>
      </c>
      <c r="AB50" s="134">
        <v>0.03</v>
      </c>
      <c r="AE50" s="128">
        <v>43</v>
      </c>
      <c r="AF50" s="134">
        <v>0.03</v>
      </c>
    </row>
    <row r="51" spans="1:32" x14ac:dyDescent="0.25">
      <c r="A51" s="128">
        <v>44</v>
      </c>
      <c r="B51" s="134">
        <v>3.2000000000000001E-2</v>
      </c>
      <c r="C51" s="134">
        <v>3.1E-2</v>
      </c>
      <c r="D51" s="134">
        <v>3.1E-2</v>
      </c>
      <c r="E51" s="134">
        <v>3.1E-2</v>
      </c>
      <c r="F51" s="134">
        <v>3.1E-2</v>
      </c>
      <c r="G51" s="134">
        <v>3.1E-2</v>
      </c>
      <c r="H51" s="134">
        <v>3.1E-2</v>
      </c>
      <c r="I51" s="134">
        <v>3.1E-2</v>
      </c>
      <c r="J51" s="134">
        <v>3.1E-2</v>
      </c>
      <c r="K51" s="134">
        <v>3.1E-2</v>
      </c>
      <c r="L51" s="134">
        <v>3.1E-2</v>
      </c>
      <c r="M51" s="134">
        <v>3.1E-2</v>
      </c>
      <c r="P51" s="128">
        <v>44</v>
      </c>
      <c r="Q51" s="134">
        <v>3.1E-2</v>
      </c>
      <c r="R51" s="134">
        <v>3.1E-2</v>
      </c>
      <c r="S51" s="134">
        <v>3.1E-2</v>
      </c>
      <c r="T51" s="134">
        <v>3.1E-2</v>
      </c>
      <c r="U51" s="134">
        <v>3.1E-2</v>
      </c>
      <c r="V51" s="134">
        <v>0.03</v>
      </c>
      <c r="W51" s="134">
        <v>0.03</v>
      </c>
      <c r="X51" s="134">
        <v>0.03</v>
      </c>
      <c r="Y51" s="134">
        <v>0.03</v>
      </c>
      <c r="Z51" s="134">
        <v>0.03</v>
      </c>
      <c r="AA51" s="134">
        <v>0.03</v>
      </c>
      <c r="AB51" s="134">
        <v>0.03</v>
      </c>
      <c r="AE51" s="128">
        <v>44</v>
      </c>
      <c r="AF51" s="134">
        <v>0.03</v>
      </c>
    </row>
    <row r="52" spans="1:32" x14ac:dyDescent="0.25">
      <c r="A52" s="128">
        <v>45</v>
      </c>
      <c r="B52" s="134">
        <v>3.2000000000000001E-2</v>
      </c>
      <c r="C52" s="134">
        <v>3.2000000000000001E-2</v>
      </c>
      <c r="D52" s="134">
        <v>3.2000000000000001E-2</v>
      </c>
      <c r="E52" s="134">
        <v>3.2000000000000001E-2</v>
      </c>
      <c r="F52" s="134">
        <v>3.2000000000000001E-2</v>
      </c>
      <c r="G52" s="134">
        <v>3.2000000000000001E-2</v>
      </c>
      <c r="H52" s="134">
        <v>3.2000000000000001E-2</v>
      </c>
      <c r="I52" s="134">
        <v>3.2000000000000001E-2</v>
      </c>
      <c r="J52" s="134">
        <v>3.2000000000000001E-2</v>
      </c>
      <c r="K52" s="134">
        <v>3.2000000000000001E-2</v>
      </c>
      <c r="L52" s="134">
        <v>3.1E-2</v>
      </c>
      <c r="M52" s="134">
        <v>3.1E-2</v>
      </c>
      <c r="P52" s="128">
        <v>45</v>
      </c>
      <c r="Q52" s="134">
        <v>3.1E-2</v>
      </c>
      <c r="R52" s="134">
        <v>3.1E-2</v>
      </c>
      <c r="S52" s="134">
        <v>3.1E-2</v>
      </c>
      <c r="T52" s="134">
        <v>3.1E-2</v>
      </c>
      <c r="U52" s="134">
        <v>3.1E-2</v>
      </c>
      <c r="V52" s="134">
        <v>3.1E-2</v>
      </c>
      <c r="W52" s="134">
        <v>3.1E-2</v>
      </c>
      <c r="X52" s="134">
        <v>3.1E-2</v>
      </c>
      <c r="Y52" s="134">
        <v>3.1E-2</v>
      </c>
      <c r="Z52" s="134">
        <v>3.1E-2</v>
      </c>
      <c r="AA52" s="134">
        <v>3.1E-2</v>
      </c>
      <c r="AB52" s="134">
        <v>3.1E-2</v>
      </c>
      <c r="AE52" s="128">
        <v>45</v>
      </c>
      <c r="AF52" s="134">
        <v>3.1E-2</v>
      </c>
    </row>
    <row r="53" spans="1:32" x14ac:dyDescent="0.25">
      <c r="A53" s="128">
        <v>46</v>
      </c>
      <c r="B53" s="134">
        <v>3.3000000000000002E-2</v>
      </c>
      <c r="C53" s="134">
        <v>3.3000000000000002E-2</v>
      </c>
      <c r="D53" s="134">
        <v>3.3000000000000002E-2</v>
      </c>
      <c r="E53" s="134">
        <v>3.2000000000000001E-2</v>
      </c>
      <c r="F53" s="134">
        <v>3.2000000000000001E-2</v>
      </c>
      <c r="G53" s="134">
        <v>3.2000000000000001E-2</v>
      </c>
      <c r="H53" s="134">
        <v>3.2000000000000001E-2</v>
      </c>
      <c r="I53" s="134">
        <v>3.2000000000000001E-2</v>
      </c>
      <c r="J53" s="134">
        <v>3.2000000000000001E-2</v>
      </c>
      <c r="K53" s="134">
        <v>3.2000000000000001E-2</v>
      </c>
      <c r="L53" s="134">
        <v>3.2000000000000001E-2</v>
      </c>
      <c r="M53" s="134">
        <v>3.2000000000000001E-2</v>
      </c>
      <c r="P53" s="128">
        <v>46</v>
      </c>
      <c r="Q53" s="134">
        <v>3.2000000000000001E-2</v>
      </c>
      <c r="R53" s="134">
        <v>3.2000000000000001E-2</v>
      </c>
      <c r="S53" s="134">
        <v>3.2000000000000001E-2</v>
      </c>
      <c r="T53" s="134">
        <v>3.2000000000000001E-2</v>
      </c>
      <c r="U53" s="134">
        <v>3.2000000000000001E-2</v>
      </c>
      <c r="V53" s="134">
        <v>3.2000000000000001E-2</v>
      </c>
      <c r="W53" s="134">
        <v>3.2000000000000001E-2</v>
      </c>
      <c r="X53" s="134">
        <v>3.1E-2</v>
      </c>
      <c r="Y53" s="134">
        <v>3.1E-2</v>
      </c>
      <c r="Z53" s="134">
        <v>3.1E-2</v>
      </c>
      <c r="AA53" s="134">
        <v>3.1E-2</v>
      </c>
      <c r="AB53" s="134">
        <v>3.1E-2</v>
      </c>
      <c r="AE53" s="128">
        <v>46</v>
      </c>
      <c r="AF53" s="134">
        <v>3.1E-2</v>
      </c>
    </row>
    <row r="54" spans="1:32" x14ac:dyDescent="0.25">
      <c r="A54" s="128">
        <v>47</v>
      </c>
      <c r="B54" s="134">
        <v>3.3000000000000002E-2</v>
      </c>
      <c r="C54" s="134">
        <v>3.3000000000000002E-2</v>
      </c>
      <c r="D54" s="134">
        <v>3.3000000000000002E-2</v>
      </c>
      <c r="E54" s="134">
        <v>3.3000000000000002E-2</v>
      </c>
      <c r="F54" s="134">
        <v>3.3000000000000002E-2</v>
      </c>
      <c r="G54" s="134">
        <v>3.3000000000000002E-2</v>
      </c>
      <c r="H54" s="134">
        <v>3.3000000000000002E-2</v>
      </c>
      <c r="I54" s="134">
        <v>3.3000000000000002E-2</v>
      </c>
      <c r="J54" s="134">
        <v>3.3000000000000002E-2</v>
      </c>
      <c r="K54" s="134">
        <v>3.3000000000000002E-2</v>
      </c>
      <c r="L54" s="134">
        <v>3.3000000000000002E-2</v>
      </c>
      <c r="M54" s="134">
        <v>3.3000000000000002E-2</v>
      </c>
      <c r="P54" s="128">
        <v>47</v>
      </c>
      <c r="Q54" s="134">
        <v>3.2000000000000001E-2</v>
      </c>
      <c r="R54" s="134">
        <v>3.2000000000000001E-2</v>
      </c>
      <c r="S54" s="134">
        <v>3.2000000000000001E-2</v>
      </c>
      <c r="T54" s="134">
        <v>3.2000000000000001E-2</v>
      </c>
      <c r="U54" s="134">
        <v>3.2000000000000001E-2</v>
      </c>
      <c r="V54" s="134">
        <v>3.2000000000000001E-2</v>
      </c>
      <c r="W54" s="134">
        <v>3.2000000000000001E-2</v>
      </c>
      <c r="X54" s="134">
        <v>3.2000000000000001E-2</v>
      </c>
      <c r="Y54" s="134">
        <v>3.2000000000000001E-2</v>
      </c>
      <c r="Z54" s="134">
        <v>3.2000000000000001E-2</v>
      </c>
      <c r="AA54" s="134">
        <v>3.2000000000000001E-2</v>
      </c>
      <c r="AB54" s="134">
        <v>3.2000000000000001E-2</v>
      </c>
      <c r="AE54" s="128">
        <v>47</v>
      </c>
      <c r="AF54" s="134">
        <v>3.2000000000000001E-2</v>
      </c>
    </row>
    <row r="55" spans="1:32" x14ac:dyDescent="0.25">
      <c r="A55" s="128">
        <v>48</v>
      </c>
      <c r="B55" s="134">
        <v>3.4000000000000002E-2</v>
      </c>
      <c r="C55" s="134">
        <v>3.4000000000000002E-2</v>
      </c>
      <c r="D55" s="134">
        <v>3.4000000000000002E-2</v>
      </c>
      <c r="E55" s="134">
        <v>3.4000000000000002E-2</v>
      </c>
      <c r="F55" s="134">
        <v>3.4000000000000002E-2</v>
      </c>
      <c r="G55" s="134">
        <v>3.3000000000000002E-2</v>
      </c>
      <c r="H55" s="134">
        <v>3.3000000000000002E-2</v>
      </c>
      <c r="I55" s="134">
        <v>3.3000000000000002E-2</v>
      </c>
      <c r="J55" s="134">
        <v>3.3000000000000002E-2</v>
      </c>
      <c r="K55" s="134">
        <v>3.3000000000000002E-2</v>
      </c>
      <c r="L55" s="134">
        <v>3.3000000000000002E-2</v>
      </c>
      <c r="M55" s="134">
        <v>3.3000000000000002E-2</v>
      </c>
      <c r="P55" s="128">
        <v>48</v>
      </c>
      <c r="Q55" s="134">
        <v>3.3000000000000002E-2</v>
      </c>
      <c r="R55" s="134">
        <v>3.3000000000000002E-2</v>
      </c>
      <c r="S55" s="134">
        <v>3.3000000000000002E-2</v>
      </c>
      <c r="T55" s="134">
        <v>3.3000000000000002E-2</v>
      </c>
      <c r="U55" s="134">
        <v>3.3000000000000002E-2</v>
      </c>
      <c r="V55" s="134">
        <v>3.3000000000000002E-2</v>
      </c>
      <c r="W55" s="134">
        <v>3.3000000000000002E-2</v>
      </c>
      <c r="X55" s="134">
        <v>3.3000000000000002E-2</v>
      </c>
      <c r="Y55" s="134">
        <v>3.3000000000000002E-2</v>
      </c>
      <c r="Z55" s="134">
        <v>3.2000000000000001E-2</v>
      </c>
      <c r="AA55" s="134">
        <v>3.2000000000000001E-2</v>
      </c>
      <c r="AB55" s="134">
        <v>3.2000000000000001E-2</v>
      </c>
      <c r="AE55" s="128">
        <v>48</v>
      </c>
      <c r="AF55" s="134">
        <v>3.2000000000000001E-2</v>
      </c>
    </row>
    <row r="56" spans="1:32" x14ac:dyDescent="0.25">
      <c r="A56" s="128">
        <v>49</v>
      </c>
      <c r="B56" s="134">
        <v>3.4000000000000002E-2</v>
      </c>
      <c r="C56" s="134">
        <v>3.4000000000000002E-2</v>
      </c>
      <c r="D56" s="134">
        <v>3.4000000000000002E-2</v>
      </c>
      <c r="E56" s="134">
        <v>3.4000000000000002E-2</v>
      </c>
      <c r="F56" s="134">
        <v>3.4000000000000002E-2</v>
      </c>
      <c r="G56" s="134">
        <v>3.4000000000000002E-2</v>
      </c>
      <c r="H56" s="134">
        <v>3.4000000000000002E-2</v>
      </c>
      <c r="I56" s="134">
        <v>3.4000000000000002E-2</v>
      </c>
      <c r="J56" s="134">
        <v>3.4000000000000002E-2</v>
      </c>
      <c r="K56" s="134">
        <v>3.4000000000000002E-2</v>
      </c>
      <c r="L56" s="134">
        <v>3.4000000000000002E-2</v>
      </c>
      <c r="M56" s="134">
        <v>3.4000000000000002E-2</v>
      </c>
      <c r="P56" s="128">
        <v>49</v>
      </c>
      <c r="Q56" s="134">
        <v>3.4000000000000002E-2</v>
      </c>
      <c r="R56" s="134">
        <v>3.4000000000000002E-2</v>
      </c>
      <c r="S56" s="134">
        <v>3.3000000000000002E-2</v>
      </c>
      <c r="T56" s="134">
        <v>3.3000000000000002E-2</v>
      </c>
      <c r="U56" s="134">
        <v>3.3000000000000002E-2</v>
      </c>
      <c r="V56" s="134">
        <v>3.3000000000000002E-2</v>
      </c>
      <c r="W56" s="134">
        <v>3.3000000000000002E-2</v>
      </c>
      <c r="X56" s="134">
        <v>3.3000000000000002E-2</v>
      </c>
      <c r="Y56" s="134">
        <v>3.3000000000000002E-2</v>
      </c>
      <c r="Z56" s="134">
        <v>3.3000000000000002E-2</v>
      </c>
      <c r="AA56" s="134">
        <v>3.3000000000000002E-2</v>
      </c>
      <c r="AB56" s="134">
        <v>3.3000000000000002E-2</v>
      </c>
      <c r="AE56" s="128">
        <v>49</v>
      </c>
      <c r="AF56" s="134">
        <v>3.3000000000000002E-2</v>
      </c>
    </row>
    <row r="57" spans="1:32" x14ac:dyDescent="0.25">
      <c r="A57" s="128">
        <v>50</v>
      </c>
      <c r="B57" s="134">
        <v>3.5000000000000003E-2</v>
      </c>
      <c r="C57" s="134">
        <v>3.5000000000000003E-2</v>
      </c>
      <c r="D57" s="134">
        <v>3.5000000000000003E-2</v>
      </c>
      <c r="E57" s="134">
        <v>3.5000000000000003E-2</v>
      </c>
      <c r="F57" s="134">
        <v>3.5000000000000003E-2</v>
      </c>
      <c r="G57" s="134">
        <v>3.5000000000000003E-2</v>
      </c>
      <c r="H57" s="134">
        <v>3.5000000000000003E-2</v>
      </c>
      <c r="I57" s="134">
        <v>3.5000000000000003E-2</v>
      </c>
      <c r="J57" s="134">
        <v>3.5000000000000003E-2</v>
      </c>
      <c r="K57" s="134">
        <v>3.4000000000000002E-2</v>
      </c>
      <c r="L57" s="134">
        <v>3.4000000000000002E-2</v>
      </c>
      <c r="M57" s="134">
        <v>3.4000000000000002E-2</v>
      </c>
      <c r="P57" s="128">
        <v>50</v>
      </c>
      <c r="Q57" s="134">
        <v>3.4000000000000002E-2</v>
      </c>
      <c r="R57" s="134">
        <v>3.4000000000000002E-2</v>
      </c>
      <c r="S57" s="134">
        <v>3.4000000000000002E-2</v>
      </c>
      <c r="T57" s="134">
        <v>3.4000000000000002E-2</v>
      </c>
      <c r="U57" s="134">
        <v>3.4000000000000002E-2</v>
      </c>
      <c r="V57" s="134">
        <v>3.4000000000000002E-2</v>
      </c>
      <c r="W57" s="134">
        <v>3.4000000000000002E-2</v>
      </c>
      <c r="X57" s="134">
        <v>3.4000000000000002E-2</v>
      </c>
      <c r="Y57" s="134">
        <v>3.4000000000000002E-2</v>
      </c>
      <c r="Z57" s="134">
        <v>3.4000000000000002E-2</v>
      </c>
      <c r="AA57" s="134">
        <v>3.4000000000000002E-2</v>
      </c>
      <c r="AB57" s="134">
        <v>3.3000000000000002E-2</v>
      </c>
      <c r="AE57" s="128">
        <v>50</v>
      </c>
      <c r="AF57" s="134">
        <v>3.3000000000000002E-2</v>
      </c>
    </row>
    <row r="58" spans="1:32" x14ac:dyDescent="0.25">
      <c r="A58" s="128">
        <v>51</v>
      </c>
      <c r="B58" s="134">
        <v>3.5999999999999997E-2</v>
      </c>
      <c r="C58" s="134">
        <v>3.5999999999999997E-2</v>
      </c>
      <c r="D58" s="134">
        <v>3.5999999999999997E-2</v>
      </c>
      <c r="E58" s="134">
        <v>3.5000000000000003E-2</v>
      </c>
      <c r="F58" s="134">
        <v>3.5000000000000003E-2</v>
      </c>
      <c r="G58" s="134">
        <v>3.5000000000000003E-2</v>
      </c>
      <c r="H58" s="134">
        <v>3.5000000000000003E-2</v>
      </c>
      <c r="I58" s="134">
        <v>3.5000000000000003E-2</v>
      </c>
      <c r="J58" s="134">
        <v>3.5000000000000003E-2</v>
      </c>
      <c r="K58" s="134">
        <v>3.5000000000000003E-2</v>
      </c>
      <c r="L58" s="134">
        <v>3.5000000000000003E-2</v>
      </c>
      <c r="M58" s="134">
        <v>3.5000000000000003E-2</v>
      </c>
      <c r="P58" s="128">
        <v>51</v>
      </c>
      <c r="Q58" s="134">
        <v>3.5000000000000003E-2</v>
      </c>
      <c r="R58" s="134">
        <v>3.5000000000000003E-2</v>
      </c>
      <c r="S58" s="134">
        <v>3.5000000000000003E-2</v>
      </c>
      <c r="T58" s="134">
        <v>3.5000000000000003E-2</v>
      </c>
      <c r="U58" s="134">
        <v>3.5000000000000003E-2</v>
      </c>
      <c r="V58" s="134">
        <v>3.5000000000000003E-2</v>
      </c>
      <c r="W58" s="134">
        <v>3.4000000000000002E-2</v>
      </c>
      <c r="X58" s="134">
        <v>3.4000000000000002E-2</v>
      </c>
      <c r="Y58" s="134">
        <v>3.4000000000000002E-2</v>
      </c>
      <c r="Z58" s="134">
        <v>3.4000000000000002E-2</v>
      </c>
      <c r="AA58" s="134">
        <v>3.4000000000000002E-2</v>
      </c>
      <c r="AB58" s="134">
        <v>3.4000000000000002E-2</v>
      </c>
      <c r="AE58" s="128">
        <v>51</v>
      </c>
      <c r="AF58" s="134">
        <v>3.4000000000000002E-2</v>
      </c>
    </row>
    <row r="59" spans="1:32" x14ac:dyDescent="0.25">
      <c r="A59" s="128">
        <v>52</v>
      </c>
      <c r="B59" s="134">
        <v>3.5999999999999997E-2</v>
      </c>
      <c r="C59" s="134">
        <v>3.5999999999999997E-2</v>
      </c>
      <c r="D59" s="134">
        <v>3.5999999999999997E-2</v>
      </c>
      <c r="E59" s="134">
        <v>3.5999999999999997E-2</v>
      </c>
      <c r="F59" s="134">
        <v>3.5999999999999997E-2</v>
      </c>
      <c r="G59" s="134">
        <v>3.5999999999999997E-2</v>
      </c>
      <c r="H59" s="134">
        <v>3.5999999999999997E-2</v>
      </c>
      <c r="I59" s="134">
        <v>3.5999999999999997E-2</v>
      </c>
      <c r="J59" s="134">
        <v>3.5999999999999997E-2</v>
      </c>
      <c r="K59" s="134">
        <v>3.5999999999999997E-2</v>
      </c>
      <c r="L59" s="134">
        <v>3.5999999999999997E-2</v>
      </c>
      <c r="M59" s="134">
        <v>3.5999999999999997E-2</v>
      </c>
      <c r="P59" s="128">
        <v>52</v>
      </c>
      <c r="Q59" s="134">
        <v>3.5999999999999997E-2</v>
      </c>
      <c r="R59" s="134">
        <v>3.5000000000000003E-2</v>
      </c>
      <c r="S59" s="134">
        <v>3.5000000000000003E-2</v>
      </c>
      <c r="T59" s="134">
        <v>3.5000000000000003E-2</v>
      </c>
      <c r="U59" s="134">
        <v>3.5000000000000003E-2</v>
      </c>
      <c r="V59" s="134">
        <v>3.5000000000000003E-2</v>
      </c>
      <c r="W59" s="134">
        <v>3.5000000000000003E-2</v>
      </c>
      <c r="X59" s="134">
        <v>3.5000000000000003E-2</v>
      </c>
      <c r="Y59" s="134">
        <v>3.5000000000000003E-2</v>
      </c>
      <c r="Z59" s="134">
        <v>3.5000000000000003E-2</v>
      </c>
      <c r="AA59" s="134">
        <v>3.5000000000000003E-2</v>
      </c>
      <c r="AB59" s="134">
        <v>3.5000000000000003E-2</v>
      </c>
      <c r="AE59" s="128">
        <v>52</v>
      </c>
      <c r="AF59" s="134">
        <v>3.5000000000000003E-2</v>
      </c>
    </row>
    <row r="60" spans="1:32" x14ac:dyDescent="0.25">
      <c r="A60" s="128">
        <v>53</v>
      </c>
      <c r="B60" s="134">
        <v>3.6999999999999998E-2</v>
      </c>
      <c r="C60" s="134">
        <v>3.6999999999999998E-2</v>
      </c>
      <c r="D60" s="134">
        <v>3.6999999999999998E-2</v>
      </c>
      <c r="E60" s="134">
        <v>3.6999999999999998E-2</v>
      </c>
      <c r="F60" s="134">
        <v>3.6999999999999998E-2</v>
      </c>
      <c r="G60" s="134">
        <v>3.6999999999999998E-2</v>
      </c>
      <c r="H60" s="134">
        <v>3.6999999999999998E-2</v>
      </c>
      <c r="I60" s="134">
        <v>3.6999999999999998E-2</v>
      </c>
      <c r="J60" s="134">
        <v>3.5999999999999997E-2</v>
      </c>
      <c r="K60" s="134">
        <v>3.5999999999999997E-2</v>
      </c>
      <c r="L60" s="134">
        <v>3.5999999999999997E-2</v>
      </c>
      <c r="M60" s="134">
        <v>3.5999999999999997E-2</v>
      </c>
      <c r="P60" s="128">
        <v>53</v>
      </c>
      <c r="Q60" s="134">
        <v>3.5999999999999997E-2</v>
      </c>
      <c r="R60" s="134">
        <v>3.5999999999999997E-2</v>
      </c>
      <c r="S60" s="134">
        <v>3.5999999999999997E-2</v>
      </c>
      <c r="T60" s="134">
        <v>3.5999999999999997E-2</v>
      </c>
      <c r="U60" s="134">
        <v>3.5999999999999997E-2</v>
      </c>
      <c r="V60" s="134">
        <v>3.5999999999999997E-2</v>
      </c>
      <c r="W60" s="134">
        <v>3.5999999999999997E-2</v>
      </c>
      <c r="X60" s="134">
        <v>3.5999999999999997E-2</v>
      </c>
      <c r="Y60" s="134">
        <v>3.5999999999999997E-2</v>
      </c>
      <c r="Z60" s="134">
        <v>3.5999999999999997E-2</v>
      </c>
      <c r="AA60" s="134">
        <v>3.5000000000000003E-2</v>
      </c>
      <c r="AB60" s="134">
        <v>3.5000000000000003E-2</v>
      </c>
      <c r="AE60" s="128">
        <v>53</v>
      </c>
      <c r="AF60" s="134">
        <v>3.5000000000000003E-2</v>
      </c>
    </row>
    <row r="61" spans="1:32" x14ac:dyDescent="0.25">
      <c r="A61" s="128">
        <v>54</v>
      </c>
      <c r="B61" s="134">
        <v>3.7999999999999999E-2</v>
      </c>
      <c r="C61" s="134">
        <v>3.7999999999999999E-2</v>
      </c>
      <c r="D61" s="134">
        <v>3.7999999999999999E-2</v>
      </c>
      <c r="E61" s="134">
        <v>3.7999999999999999E-2</v>
      </c>
      <c r="F61" s="134">
        <v>3.6999999999999998E-2</v>
      </c>
      <c r="G61" s="134">
        <v>3.6999999999999998E-2</v>
      </c>
      <c r="H61" s="134">
        <v>3.6999999999999998E-2</v>
      </c>
      <c r="I61" s="134">
        <v>3.6999999999999998E-2</v>
      </c>
      <c r="J61" s="134">
        <v>3.6999999999999998E-2</v>
      </c>
      <c r="K61" s="134">
        <v>3.6999999999999998E-2</v>
      </c>
      <c r="L61" s="134">
        <v>3.6999999999999998E-2</v>
      </c>
      <c r="M61" s="134">
        <v>3.6999999999999998E-2</v>
      </c>
      <c r="P61" s="128">
        <v>54</v>
      </c>
      <c r="Q61" s="134">
        <v>3.6999999999999998E-2</v>
      </c>
      <c r="R61" s="134">
        <v>3.6999999999999998E-2</v>
      </c>
      <c r="S61" s="134">
        <v>3.6999999999999998E-2</v>
      </c>
      <c r="T61" s="134">
        <v>3.6999999999999998E-2</v>
      </c>
      <c r="U61" s="134">
        <v>3.6999999999999998E-2</v>
      </c>
      <c r="V61" s="134">
        <v>3.5999999999999997E-2</v>
      </c>
      <c r="W61" s="134">
        <v>3.5999999999999997E-2</v>
      </c>
      <c r="X61" s="134">
        <v>3.5999999999999997E-2</v>
      </c>
      <c r="Y61" s="134">
        <v>3.5999999999999997E-2</v>
      </c>
      <c r="Z61" s="134">
        <v>3.5999999999999997E-2</v>
      </c>
      <c r="AA61" s="134">
        <v>3.5999999999999997E-2</v>
      </c>
      <c r="AB61" s="134">
        <v>3.5999999999999997E-2</v>
      </c>
      <c r="AE61" s="128">
        <v>54</v>
      </c>
      <c r="AF61" s="134">
        <v>3.5999999999999997E-2</v>
      </c>
    </row>
    <row r="62" spans="1:32" x14ac:dyDescent="0.25">
      <c r="A62" s="128">
        <v>55</v>
      </c>
      <c r="B62" s="134">
        <v>3.7999999999999999E-2</v>
      </c>
      <c r="C62" s="134">
        <v>3.7999999999999999E-2</v>
      </c>
      <c r="D62" s="134">
        <v>3.7999999999999999E-2</v>
      </c>
      <c r="E62" s="134">
        <v>3.7999999999999999E-2</v>
      </c>
      <c r="F62" s="134">
        <v>3.7999999999999999E-2</v>
      </c>
      <c r="G62" s="134">
        <v>3.7999999999999999E-2</v>
      </c>
      <c r="H62" s="134">
        <v>3.7999999999999999E-2</v>
      </c>
      <c r="I62" s="134">
        <v>3.7999999999999999E-2</v>
      </c>
      <c r="J62" s="134">
        <v>3.7999999999999999E-2</v>
      </c>
      <c r="K62" s="134">
        <v>3.7999999999999999E-2</v>
      </c>
      <c r="L62" s="134">
        <v>3.7999999999999999E-2</v>
      </c>
      <c r="M62" s="134">
        <v>3.7999999999999999E-2</v>
      </c>
      <c r="P62" s="128">
        <v>55</v>
      </c>
      <c r="Q62" s="134">
        <v>3.7999999999999999E-2</v>
      </c>
      <c r="R62" s="134">
        <v>3.6999999999999998E-2</v>
      </c>
      <c r="S62" s="134">
        <v>3.6999999999999998E-2</v>
      </c>
      <c r="T62" s="134">
        <v>3.6999999999999998E-2</v>
      </c>
      <c r="U62" s="134">
        <v>3.6999999999999998E-2</v>
      </c>
      <c r="V62" s="134">
        <v>3.6999999999999998E-2</v>
      </c>
      <c r="W62" s="134">
        <v>3.6999999999999998E-2</v>
      </c>
      <c r="X62" s="134">
        <v>3.6999999999999998E-2</v>
      </c>
      <c r="Y62" s="134">
        <v>3.6999999999999998E-2</v>
      </c>
      <c r="Z62" s="134">
        <v>3.6999999999999998E-2</v>
      </c>
      <c r="AA62" s="134">
        <v>3.6999999999999998E-2</v>
      </c>
      <c r="AB62" s="134">
        <v>3.6999999999999998E-2</v>
      </c>
      <c r="AE62" s="128">
        <v>55</v>
      </c>
      <c r="AF62" s="134">
        <v>3.6999999999999998E-2</v>
      </c>
    </row>
    <row r="63" spans="1:32" x14ac:dyDescent="0.25">
      <c r="A63" s="128">
        <v>56</v>
      </c>
      <c r="B63" s="134">
        <v>3.9E-2</v>
      </c>
      <c r="C63" s="134">
        <v>3.9E-2</v>
      </c>
      <c r="D63" s="134">
        <v>3.9E-2</v>
      </c>
      <c r="E63" s="134">
        <v>3.9E-2</v>
      </c>
      <c r="F63" s="134">
        <v>3.9E-2</v>
      </c>
      <c r="G63" s="134">
        <v>3.9E-2</v>
      </c>
      <c r="H63" s="134">
        <v>3.9E-2</v>
      </c>
      <c r="I63" s="134">
        <v>3.9E-2</v>
      </c>
      <c r="J63" s="134">
        <v>3.9E-2</v>
      </c>
      <c r="K63" s="134">
        <v>3.9E-2</v>
      </c>
      <c r="L63" s="134">
        <v>3.7999999999999999E-2</v>
      </c>
      <c r="M63" s="134">
        <v>3.7999999999999999E-2</v>
      </c>
      <c r="P63" s="128">
        <v>56</v>
      </c>
      <c r="Q63" s="134">
        <v>3.7999999999999999E-2</v>
      </c>
      <c r="R63" s="134">
        <v>3.7999999999999999E-2</v>
      </c>
      <c r="S63" s="134">
        <v>3.7999999999999999E-2</v>
      </c>
      <c r="T63" s="134">
        <v>3.7999999999999999E-2</v>
      </c>
      <c r="U63" s="134">
        <v>3.7999999999999999E-2</v>
      </c>
      <c r="V63" s="134">
        <v>3.7999999999999999E-2</v>
      </c>
      <c r="W63" s="134">
        <v>3.7999999999999999E-2</v>
      </c>
      <c r="X63" s="134">
        <v>3.7999999999999999E-2</v>
      </c>
      <c r="Y63" s="134">
        <v>3.7999999999999999E-2</v>
      </c>
      <c r="Z63" s="134">
        <v>3.7999999999999999E-2</v>
      </c>
      <c r="AA63" s="134">
        <v>3.7999999999999999E-2</v>
      </c>
      <c r="AB63" s="134">
        <v>3.6999999999999998E-2</v>
      </c>
      <c r="AE63" s="128">
        <v>56</v>
      </c>
      <c r="AF63" s="134">
        <v>3.6999999999999998E-2</v>
      </c>
    </row>
    <row r="64" spans="1:32" x14ac:dyDescent="0.25">
      <c r="A64" s="128">
        <v>57</v>
      </c>
      <c r="B64" s="134">
        <v>0.04</v>
      </c>
      <c r="C64" s="134">
        <v>0.04</v>
      </c>
      <c r="D64" s="134">
        <v>0.04</v>
      </c>
      <c r="E64" s="134">
        <v>0.04</v>
      </c>
      <c r="F64" s="134">
        <v>0.04</v>
      </c>
      <c r="G64" s="134">
        <v>0.04</v>
      </c>
      <c r="H64" s="134">
        <v>0.04</v>
      </c>
      <c r="I64" s="134">
        <v>3.9E-2</v>
      </c>
      <c r="J64" s="134">
        <v>3.9E-2</v>
      </c>
      <c r="K64" s="134">
        <v>3.9E-2</v>
      </c>
      <c r="L64" s="134">
        <v>3.9E-2</v>
      </c>
      <c r="M64" s="134">
        <v>3.9E-2</v>
      </c>
      <c r="P64" s="128">
        <v>57</v>
      </c>
      <c r="Q64" s="134">
        <v>3.9E-2</v>
      </c>
      <c r="R64" s="134">
        <v>3.9E-2</v>
      </c>
      <c r="S64" s="134">
        <v>3.9E-2</v>
      </c>
      <c r="T64" s="134">
        <v>3.9E-2</v>
      </c>
      <c r="U64" s="134">
        <v>3.9E-2</v>
      </c>
      <c r="V64" s="134">
        <v>3.9E-2</v>
      </c>
      <c r="W64" s="134">
        <v>3.9E-2</v>
      </c>
      <c r="X64" s="134">
        <v>3.7999999999999999E-2</v>
      </c>
      <c r="Y64" s="134">
        <v>3.7999999999999999E-2</v>
      </c>
      <c r="Z64" s="134">
        <v>3.7999999999999999E-2</v>
      </c>
      <c r="AA64" s="134">
        <v>3.7999999999999999E-2</v>
      </c>
      <c r="AB64" s="134">
        <v>3.7999999999999999E-2</v>
      </c>
      <c r="AE64" s="128">
        <v>57</v>
      </c>
      <c r="AF64" s="134">
        <v>3.7999999999999999E-2</v>
      </c>
    </row>
    <row r="65" spans="1:32" x14ac:dyDescent="0.25">
      <c r="A65" s="128">
        <v>58</v>
      </c>
      <c r="B65" s="134">
        <v>4.1000000000000002E-2</v>
      </c>
      <c r="C65" s="134">
        <v>4.1000000000000002E-2</v>
      </c>
      <c r="D65" s="134">
        <v>4.1000000000000002E-2</v>
      </c>
      <c r="E65" s="134">
        <v>4.1000000000000002E-2</v>
      </c>
      <c r="F65" s="134">
        <v>0.04</v>
      </c>
      <c r="G65" s="134">
        <v>0.04</v>
      </c>
      <c r="H65" s="134">
        <v>0.04</v>
      </c>
      <c r="I65" s="134">
        <v>0.04</v>
      </c>
      <c r="J65" s="134">
        <v>0.04</v>
      </c>
      <c r="K65" s="134">
        <v>0.04</v>
      </c>
      <c r="L65" s="134">
        <v>0.04</v>
      </c>
      <c r="M65" s="134">
        <v>0.04</v>
      </c>
      <c r="P65" s="128">
        <v>58</v>
      </c>
      <c r="Q65" s="134">
        <v>0.04</v>
      </c>
      <c r="R65" s="134">
        <v>0.04</v>
      </c>
      <c r="S65" s="134">
        <v>0.04</v>
      </c>
      <c r="T65" s="134">
        <v>0.04</v>
      </c>
      <c r="U65" s="134">
        <v>3.9E-2</v>
      </c>
      <c r="V65" s="134">
        <v>3.9E-2</v>
      </c>
      <c r="W65" s="134">
        <v>3.9E-2</v>
      </c>
      <c r="X65" s="134">
        <v>3.9E-2</v>
      </c>
      <c r="Y65" s="134">
        <v>3.9E-2</v>
      </c>
      <c r="Z65" s="134">
        <v>3.9E-2</v>
      </c>
      <c r="AA65" s="134">
        <v>3.9E-2</v>
      </c>
      <c r="AB65" s="134">
        <v>3.9E-2</v>
      </c>
      <c r="AE65" s="128">
        <v>58</v>
      </c>
      <c r="AF65" s="134">
        <v>3.9E-2</v>
      </c>
    </row>
    <row r="66" spans="1:32" x14ac:dyDescent="0.25">
      <c r="A66" s="128">
        <v>59</v>
      </c>
      <c r="B66" s="134">
        <v>4.2000000000000003E-2</v>
      </c>
      <c r="C66" s="134">
        <v>4.2000000000000003E-2</v>
      </c>
      <c r="D66" s="134">
        <v>4.1000000000000002E-2</v>
      </c>
      <c r="E66" s="134">
        <v>4.1000000000000002E-2</v>
      </c>
      <c r="F66" s="134">
        <v>4.1000000000000002E-2</v>
      </c>
      <c r="G66" s="134">
        <v>4.1000000000000002E-2</v>
      </c>
      <c r="H66" s="134">
        <v>4.1000000000000002E-2</v>
      </c>
      <c r="I66" s="134">
        <v>4.1000000000000002E-2</v>
      </c>
      <c r="J66" s="134">
        <v>4.1000000000000002E-2</v>
      </c>
      <c r="K66" s="134">
        <v>4.1000000000000002E-2</v>
      </c>
      <c r="L66" s="134">
        <v>4.1000000000000002E-2</v>
      </c>
      <c r="M66" s="134">
        <v>4.1000000000000002E-2</v>
      </c>
      <c r="P66" s="128">
        <v>59</v>
      </c>
      <c r="Q66" s="134">
        <v>4.1000000000000002E-2</v>
      </c>
      <c r="R66" s="134">
        <v>4.1000000000000002E-2</v>
      </c>
      <c r="S66" s="134">
        <v>0.04</v>
      </c>
      <c r="T66" s="134">
        <v>0.04</v>
      </c>
      <c r="U66" s="134">
        <v>0.04</v>
      </c>
      <c r="V66" s="134">
        <v>0.04</v>
      </c>
      <c r="W66" s="134">
        <v>0.04</v>
      </c>
      <c r="X66" s="134">
        <v>0.04</v>
      </c>
      <c r="Y66" s="134">
        <v>0.04</v>
      </c>
      <c r="Z66" s="134">
        <v>0.04</v>
      </c>
      <c r="AA66" s="134">
        <v>0.04</v>
      </c>
      <c r="AB66" s="134">
        <v>0.04</v>
      </c>
      <c r="AE66" s="128">
        <v>59</v>
      </c>
      <c r="AF66" s="134">
        <v>0.04</v>
      </c>
    </row>
    <row r="67" spans="1:32" x14ac:dyDescent="0.25">
      <c r="A67" s="128">
        <v>60</v>
      </c>
      <c r="B67" s="134">
        <v>4.2999999999999997E-2</v>
      </c>
      <c r="C67" s="134">
        <v>4.2000000000000003E-2</v>
      </c>
      <c r="D67" s="134">
        <v>4.2000000000000003E-2</v>
      </c>
      <c r="E67" s="134">
        <v>4.2000000000000003E-2</v>
      </c>
      <c r="F67" s="134">
        <v>4.2000000000000003E-2</v>
      </c>
      <c r="G67" s="134">
        <v>4.2000000000000003E-2</v>
      </c>
      <c r="H67" s="134">
        <v>4.2000000000000003E-2</v>
      </c>
      <c r="I67" s="134">
        <v>4.2000000000000003E-2</v>
      </c>
      <c r="J67" s="134">
        <v>4.2000000000000003E-2</v>
      </c>
      <c r="K67" s="134">
        <v>4.2000000000000003E-2</v>
      </c>
      <c r="L67" s="134">
        <v>4.2000000000000003E-2</v>
      </c>
      <c r="M67" s="134">
        <v>4.2000000000000003E-2</v>
      </c>
      <c r="P67" s="128">
        <v>60</v>
      </c>
      <c r="Q67" s="134">
        <v>4.1000000000000002E-2</v>
      </c>
      <c r="R67" s="134">
        <v>4.1000000000000002E-2</v>
      </c>
      <c r="S67" s="134">
        <v>4.1000000000000002E-2</v>
      </c>
      <c r="T67" s="134">
        <v>4.1000000000000002E-2</v>
      </c>
      <c r="U67" s="134">
        <v>4.1000000000000002E-2</v>
      </c>
      <c r="V67" s="134">
        <v>4.1000000000000002E-2</v>
      </c>
      <c r="W67" s="134">
        <v>4.1000000000000002E-2</v>
      </c>
      <c r="X67" s="134">
        <v>4.1000000000000002E-2</v>
      </c>
      <c r="Y67" s="134">
        <v>4.1000000000000002E-2</v>
      </c>
      <c r="Z67" s="134">
        <v>4.1000000000000002E-2</v>
      </c>
      <c r="AA67" s="134">
        <v>4.1000000000000002E-2</v>
      </c>
      <c r="AB67" s="134">
        <v>4.1000000000000002E-2</v>
      </c>
      <c r="AE67" s="128">
        <v>60</v>
      </c>
      <c r="AF67" s="134">
        <v>0.04</v>
      </c>
    </row>
    <row r="68" spans="1:32" x14ac:dyDescent="0.25">
      <c r="A68" s="128">
        <v>61</v>
      </c>
      <c r="B68" s="134">
        <v>4.2999999999999997E-2</v>
      </c>
      <c r="C68" s="134">
        <v>4.2999999999999997E-2</v>
      </c>
      <c r="D68" s="134">
        <v>4.2999999999999997E-2</v>
      </c>
      <c r="E68" s="134">
        <v>4.2999999999999997E-2</v>
      </c>
      <c r="F68" s="134">
        <v>4.2999999999999997E-2</v>
      </c>
      <c r="G68" s="134">
        <v>4.2999999999999997E-2</v>
      </c>
      <c r="H68" s="134">
        <v>4.2999999999999997E-2</v>
      </c>
      <c r="I68" s="134">
        <v>4.2999999999999997E-2</v>
      </c>
      <c r="J68" s="134">
        <v>4.2999999999999997E-2</v>
      </c>
      <c r="K68" s="134">
        <v>4.2999999999999997E-2</v>
      </c>
      <c r="L68" s="134">
        <v>4.2999999999999997E-2</v>
      </c>
      <c r="M68" s="134">
        <v>4.2000000000000003E-2</v>
      </c>
      <c r="P68" s="128">
        <v>61</v>
      </c>
      <c r="Q68" s="134">
        <v>4.2000000000000003E-2</v>
      </c>
      <c r="R68" s="134">
        <v>4.2000000000000003E-2</v>
      </c>
      <c r="S68" s="134">
        <v>4.2000000000000003E-2</v>
      </c>
      <c r="T68" s="134">
        <v>4.2000000000000003E-2</v>
      </c>
      <c r="U68" s="134">
        <v>4.2000000000000003E-2</v>
      </c>
      <c r="V68" s="134">
        <v>4.2000000000000003E-2</v>
      </c>
      <c r="W68" s="134">
        <v>4.2000000000000003E-2</v>
      </c>
      <c r="X68" s="134">
        <v>4.2000000000000003E-2</v>
      </c>
      <c r="Y68" s="134">
        <v>4.2000000000000003E-2</v>
      </c>
      <c r="Z68" s="134">
        <v>4.2000000000000003E-2</v>
      </c>
      <c r="AA68" s="134">
        <v>4.1000000000000002E-2</v>
      </c>
      <c r="AB68" s="134">
        <v>4.1000000000000002E-2</v>
      </c>
      <c r="AE68" s="128">
        <v>61</v>
      </c>
      <c r="AF68" s="134">
        <v>4.1000000000000002E-2</v>
      </c>
    </row>
    <row r="69" spans="1:32" x14ac:dyDescent="0.25">
      <c r="A69" s="128">
        <v>62</v>
      </c>
      <c r="B69" s="134">
        <v>4.3999999999999997E-2</v>
      </c>
      <c r="C69" s="134">
        <v>4.3999999999999997E-2</v>
      </c>
      <c r="D69" s="134">
        <v>4.3999999999999997E-2</v>
      </c>
      <c r="E69" s="134">
        <v>4.3999999999999997E-2</v>
      </c>
      <c r="F69" s="134">
        <v>4.3999999999999997E-2</v>
      </c>
      <c r="G69" s="134">
        <v>4.3999999999999997E-2</v>
      </c>
      <c r="H69" s="134">
        <v>4.3999999999999997E-2</v>
      </c>
      <c r="I69" s="134">
        <v>4.3999999999999997E-2</v>
      </c>
      <c r="J69" s="134">
        <v>4.3999999999999997E-2</v>
      </c>
      <c r="K69" s="134">
        <v>4.3999999999999997E-2</v>
      </c>
      <c r="L69" s="134">
        <v>4.2999999999999997E-2</v>
      </c>
      <c r="M69" s="134">
        <v>4.2999999999999997E-2</v>
      </c>
      <c r="P69" s="128">
        <v>62</v>
      </c>
      <c r="Q69" s="134">
        <v>4.2999999999999997E-2</v>
      </c>
      <c r="R69" s="134">
        <v>4.2999999999999997E-2</v>
      </c>
      <c r="S69" s="134">
        <v>4.2999999999999997E-2</v>
      </c>
      <c r="T69" s="134">
        <v>4.2999999999999997E-2</v>
      </c>
      <c r="U69" s="134">
        <v>4.2999999999999997E-2</v>
      </c>
      <c r="V69" s="134">
        <v>4.2999999999999997E-2</v>
      </c>
      <c r="W69" s="134">
        <v>4.2999999999999997E-2</v>
      </c>
      <c r="X69" s="134">
        <v>4.2999999999999997E-2</v>
      </c>
      <c r="Y69" s="134">
        <v>4.2999999999999997E-2</v>
      </c>
      <c r="Z69" s="134">
        <v>4.2000000000000003E-2</v>
      </c>
      <c r="AA69" s="134">
        <v>4.2000000000000003E-2</v>
      </c>
      <c r="AB69" s="134">
        <v>4.2000000000000003E-2</v>
      </c>
      <c r="AE69" s="128">
        <v>62</v>
      </c>
      <c r="AF69" s="134">
        <v>4.2000000000000003E-2</v>
      </c>
    </row>
    <row r="70" spans="1:32" x14ac:dyDescent="0.25">
      <c r="A70" s="128">
        <v>63</v>
      </c>
      <c r="B70" s="134">
        <v>4.4999999999999998E-2</v>
      </c>
      <c r="C70" s="134">
        <v>4.4999999999999998E-2</v>
      </c>
      <c r="D70" s="134">
        <v>4.4999999999999998E-2</v>
      </c>
      <c r="E70" s="134">
        <v>4.4999999999999998E-2</v>
      </c>
      <c r="F70" s="134">
        <v>4.4999999999999998E-2</v>
      </c>
      <c r="G70" s="134">
        <v>4.4999999999999998E-2</v>
      </c>
      <c r="H70" s="134">
        <v>4.4999999999999998E-2</v>
      </c>
      <c r="I70" s="134">
        <v>4.4999999999999998E-2</v>
      </c>
      <c r="J70" s="134">
        <v>4.4999999999999998E-2</v>
      </c>
      <c r="K70" s="134">
        <v>4.4999999999999998E-2</v>
      </c>
      <c r="L70" s="134">
        <v>4.3999999999999997E-2</v>
      </c>
      <c r="M70" s="134">
        <v>4.3999999999999997E-2</v>
      </c>
      <c r="P70" s="128">
        <v>63</v>
      </c>
      <c r="Q70" s="134">
        <v>4.3999999999999997E-2</v>
      </c>
      <c r="R70" s="134">
        <v>4.3999999999999997E-2</v>
      </c>
      <c r="S70" s="134">
        <v>4.3999999999999997E-2</v>
      </c>
      <c r="T70" s="134">
        <v>4.3999999999999997E-2</v>
      </c>
      <c r="U70" s="134">
        <v>4.3999999999999997E-2</v>
      </c>
      <c r="V70" s="134">
        <v>4.3999999999999997E-2</v>
      </c>
      <c r="W70" s="134">
        <v>4.3999999999999997E-2</v>
      </c>
      <c r="X70" s="134">
        <v>4.3999999999999997E-2</v>
      </c>
      <c r="Y70" s="134">
        <v>4.3999999999999997E-2</v>
      </c>
      <c r="Z70" s="134">
        <v>4.2999999999999997E-2</v>
      </c>
      <c r="AA70" s="134">
        <v>4.2999999999999997E-2</v>
      </c>
      <c r="AB70" s="134">
        <v>4.2999999999999997E-2</v>
      </c>
      <c r="AE70" s="128">
        <v>63</v>
      </c>
      <c r="AF70" s="134">
        <v>4.2999999999999997E-2</v>
      </c>
    </row>
    <row r="71" spans="1:32" x14ac:dyDescent="0.25">
      <c r="A71" s="128">
        <v>64</v>
      </c>
      <c r="B71" s="134">
        <v>4.5999999999999999E-2</v>
      </c>
      <c r="C71" s="134">
        <v>4.5999999999999999E-2</v>
      </c>
      <c r="D71" s="134">
        <v>4.5999999999999999E-2</v>
      </c>
      <c r="E71" s="134">
        <v>4.5999999999999999E-2</v>
      </c>
      <c r="F71" s="134">
        <v>4.5999999999999999E-2</v>
      </c>
      <c r="G71" s="134">
        <v>4.5999999999999999E-2</v>
      </c>
      <c r="H71" s="134">
        <v>4.5999999999999999E-2</v>
      </c>
      <c r="I71" s="134">
        <v>4.5999999999999999E-2</v>
      </c>
      <c r="J71" s="134">
        <v>4.5999999999999999E-2</v>
      </c>
      <c r="K71" s="134">
        <v>4.4999999999999998E-2</v>
      </c>
      <c r="L71" s="134">
        <v>4.4999999999999998E-2</v>
      </c>
      <c r="M71" s="134">
        <v>4.4999999999999998E-2</v>
      </c>
      <c r="P71" s="128">
        <v>64</v>
      </c>
      <c r="Q71" s="134">
        <v>4.4999999999999998E-2</v>
      </c>
      <c r="R71" s="134">
        <v>4.4999999999999998E-2</v>
      </c>
      <c r="S71" s="134">
        <v>4.4999999999999998E-2</v>
      </c>
      <c r="T71" s="134">
        <v>4.4999999999999998E-2</v>
      </c>
      <c r="U71" s="134">
        <v>4.4999999999999998E-2</v>
      </c>
      <c r="V71" s="134">
        <v>4.4999999999999998E-2</v>
      </c>
      <c r="W71" s="134">
        <v>4.4999999999999998E-2</v>
      </c>
      <c r="X71" s="134">
        <v>4.4999999999999998E-2</v>
      </c>
      <c r="Y71" s="134">
        <v>4.4999999999999998E-2</v>
      </c>
      <c r="Z71" s="134">
        <v>4.3999999999999997E-2</v>
      </c>
      <c r="AA71" s="134">
        <v>4.3999999999999997E-2</v>
      </c>
      <c r="AB71" s="134">
        <v>4.3999999999999997E-2</v>
      </c>
      <c r="AE71" s="128">
        <v>64</v>
      </c>
      <c r="AF71" s="134">
        <v>4.3999999999999997E-2</v>
      </c>
    </row>
    <row r="72" spans="1:32" x14ac:dyDescent="0.25">
      <c r="P72" s="138">
        <v>65</v>
      </c>
      <c r="Q72" s="139">
        <v>4.5999999999999999E-2</v>
      </c>
      <c r="R72" s="139">
        <v>4.5999999999999999E-2</v>
      </c>
      <c r="S72" s="139">
        <v>4.5999999999999999E-2</v>
      </c>
      <c r="T72" s="139">
        <v>4.5999999999999999E-2</v>
      </c>
      <c r="U72" s="139">
        <v>4.5999999999999999E-2</v>
      </c>
      <c r="V72" s="139">
        <v>4.5999999999999999E-2</v>
      </c>
      <c r="W72" s="139">
        <v>4.5999999999999999E-2</v>
      </c>
      <c r="X72" s="139">
        <v>4.5999999999999999E-2</v>
      </c>
      <c r="Y72" s="139">
        <v>4.4999999999999998E-2</v>
      </c>
      <c r="Z72" s="139">
        <v>4.4999999999999998E-2</v>
      </c>
      <c r="AA72" s="139">
        <v>4.4999999999999998E-2</v>
      </c>
      <c r="AB72" s="139">
        <v>4.4999999999999998E-2</v>
      </c>
      <c r="AE72" s="128">
        <v>65</v>
      </c>
      <c r="AF72" s="134">
        <v>4.4999999999999998E-2</v>
      </c>
    </row>
  </sheetData>
  <conditionalFormatting sqref="A6:A21">
    <cfRule type="expression" dxfId="235" priority="13" stopIfTrue="1">
      <formula>MOD(ROW(),2)=0</formula>
    </cfRule>
    <cfRule type="expression" dxfId="234" priority="14" stopIfTrue="1">
      <formula>MOD(ROW(),2)&lt;&gt;0</formula>
    </cfRule>
  </conditionalFormatting>
  <conditionalFormatting sqref="A26:A71">
    <cfRule type="expression" dxfId="233" priority="31" stopIfTrue="1">
      <formula>MOD(ROW(),2)=0</formula>
    </cfRule>
    <cfRule type="expression" dxfId="232" priority="32" stopIfTrue="1">
      <formula>MOD(ROW(),2)&lt;&gt;0</formula>
    </cfRule>
  </conditionalFormatting>
  <conditionalFormatting sqref="B12">
    <cfRule type="expression" dxfId="231" priority="45" stopIfTrue="1">
      <formula>MOD(ROW(),2)=0</formula>
    </cfRule>
    <cfRule type="expression" dxfId="230" priority="46" stopIfTrue="1">
      <formula>MOD(ROW(),2)&lt;&gt;0</formula>
    </cfRule>
  </conditionalFormatting>
  <conditionalFormatting sqref="B17:B21">
    <cfRule type="expression" dxfId="229" priority="11" stopIfTrue="1">
      <formula>MOD(ROW(),2)=0</formula>
    </cfRule>
    <cfRule type="expression" dxfId="228" priority="12" stopIfTrue="1">
      <formula>MOD(ROW(),2)&lt;&gt;0</formula>
    </cfRule>
  </conditionalFormatting>
  <conditionalFormatting sqref="B6:M21">
    <cfRule type="expression" dxfId="227" priority="69" stopIfTrue="1">
      <formula>MOD(ROW(),2)=0</formula>
    </cfRule>
    <cfRule type="expression" dxfId="226" priority="70" stopIfTrue="1">
      <formula>MOD(ROW(),2)&lt;&gt;0</formula>
    </cfRule>
  </conditionalFormatting>
  <conditionalFormatting sqref="B26:M71">
    <cfRule type="expression" dxfId="225" priority="33" stopIfTrue="1">
      <formula>MOD(ROW(),2)=0</formula>
    </cfRule>
    <cfRule type="expression" dxfId="224" priority="34" stopIfTrue="1">
      <formula>MOD(ROW(),2)&lt;&gt;0</formula>
    </cfRule>
  </conditionalFormatting>
  <conditionalFormatting sqref="P6:P21">
    <cfRule type="expression" dxfId="223" priority="58" stopIfTrue="1">
      <formula>MOD(ROW(),2)&lt;&gt;0</formula>
    </cfRule>
    <cfRule type="expression" dxfId="222" priority="57" stopIfTrue="1">
      <formula>MOD(ROW(),2)=0</formula>
    </cfRule>
  </conditionalFormatting>
  <conditionalFormatting sqref="P26:P72">
    <cfRule type="expression" dxfId="221" priority="27" stopIfTrue="1">
      <formula>MOD(ROW(),2)=0</formula>
    </cfRule>
    <cfRule type="expression" dxfId="220" priority="28" stopIfTrue="1">
      <formula>MOD(ROW(),2)&lt;&gt;0</formula>
    </cfRule>
  </conditionalFormatting>
  <conditionalFormatting sqref="Q12">
    <cfRule type="expression" dxfId="219" priority="43" stopIfTrue="1">
      <formula>MOD(ROW(),2)=0</formula>
    </cfRule>
    <cfRule type="expression" dxfId="218" priority="44" stopIfTrue="1">
      <formula>MOD(ROW(),2)&lt;&gt;0</formula>
    </cfRule>
  </conditionalFormatting>
  <conditionalFormatting sqref="Q17:Q21">
    <cfRule type="expression" dxfId="217" priority="9" stopIfTrue="1">
      <formula>MOD(ROW(),2)=0</formula>
    </cfRule>
    <cfRule type="expression" dxfId="216" priority="10" stopIfTrue="1">
      <formula>MOD(ROW(),2)&lt;&gt;0</formula>
    </cfRule>
  </conditionalFormatting>
  <conditionalFormatting sqref="Q6:AB21">
    <cfRule type="expression" dxfId="215" priority="78" stopIfTrue="1">
      <formula>MOD(ROW(),2)&lt;&gt;0</formula>
    </cfRule>
    <cfRule type="expression" dxfId="214" priority="77" stopIfTrue="1">
      <formula>MOD(ROW(),2)=0</formula>
    </cfRule>
  </conditionalFormatting>
  <conditionalFormatting sqref="Q26:AB72">
    <cfRule type="expression" dxfId="213" priority="29" stopIfTrue="1">
      <formula>MOD(ROW(),2)=0</formula>
    </cfRule>
    <cfRule type="expression" dxfId="212" priority="30" stopIfTrue="1">
      <formula>MOD(ROW(),2)&lt;&gt;0</formula>
    </cfRule>
  </conditionalFormatting>
  <conditionalFormatting sqref="AE6:AE21">
    <cfRule type="expression" dxfId="211" priority="55" stopIfTrue="1">
      <formula>MOD(ROW(),2)=0</formula>
    </cfRule>
    <cfRule type="expression" dxfId="210" priority="56" stopIfTrue="1">
      <formula>MOD(ROW(),2)&lt;&gt;0</formula>
    </cfRule>
  </conditionalFormatting>
  <conditionalFormatting sqref="AE26:AE72">
    <cfRule type="expression" dxfId="209" priority="23" stopIfTrue="1">
      <formula>MOD(ROW(),2)=0</formula>
    </cfRule>
    <cfRule type="expression" dxfId="208" priority="24" stopIfTrue="1">
      <formula>MOD(ROW(),2)&lt;&gt;0</formula>
    </cfRule>
  </conditionalFormatting>
  <conditionalFormatting sqref="AF6:AF20">
    <cfRule type="expression" dxfId="207" priority="86" stopIfTrue="1">
      <formula>MOD(ROW(),2)&lt;&gt;0</formula>
    </cfRule>
    <cfRule type="expression" dxfId="206" priority="85" stopIfTrue="1">
      <formula>MOD(ROW(),2)=0</formula>
    </cfRule>
  </conditionalFormatting>
  <conditionalFormatting sqref="AF12">
    <cfRule type="expression" dxfId="205" priority="42" stopIfTrue="1">
      <formula>MOD(ROW(),2)&lt;&gt;0</formula>
    </cfRule>
    <cfRule type="expression" dxfId="204" priority="41" stopIfTrue="1">
      <formula>MOD(ROW(),2)=0</formula>
    </cfRule>
  </conditionalFormatting>
  <conditionalFormatting sqref="AF17:AF21">
    <cfRule type="expression" dxfId="203" priority="3" stopIfTrue="1">
      <formula>MOD(ROW(),2)=0</formula>
    </cfRule>
    <cfRule type="expression" dxfId="202" priority="4" stopIfTrue="1">
      <formula>MOD(ROW(),2)&lt;&gt;0</formula>
    </cfRule>
  </conditionalFormatting>
  <conditionalFormatting sqref="AF21">
    <cfRule type="expression" dxfId="201" priority="1" stopIfTrue="1">
      <formula>MOD(ROW(),2)=0</formula>
    </cfRule>
    <cfRule type="expression" dxfId="200" priority="2" stopIfTrue="1">
      <formula>MOD(ROW(),2)&lt;&gt;0</formula>
    </cfRule>
  </conditionalFormatting>
  <conditionalFormatting sqref="AF26:AF72">
    <cfRule type="expression" dxfId="199" priority="26" stopIfTrue="1">
      <formula>MOD(ROW(),2)&lt;&gt;0</formula>
    </cfRule>
    <cfRule type="expression" dxfId="198" priority="25" stopIfTrue="1">
      <formula>MOD(ROW(),2)=0</formula>
    </cfRule>
  </conditionalFormatting>
  <hyperlinks>
    <hyperlink ref="B24" location="Assumptions!A1" display="Assumptions" xr:uid="{3BD0EAB3-7613-441E-BE80-DB204769632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0"/>
  <dimension ref="A1:Q71"/>
  <sheetViews>
    <sheetView workbookViewId="0"/>
  </sheetViews>
  <sheetFormatPr defaultColWidth="10" defaultRowHeight="12.5" x14ac:dyDescent="0.25"/>
  <cols>
    <col min="1" max="1" width="31.54296875" style="28" customWidth="1"/>
    <col min="2" max="13" width="22.54296875" style="28" customWidth="1"/>
    <col min="14" max="15" width="10" style="28"/>
    <col min="16" max="16" width="31.54296875" style="28" customWidth="1"/>
    <col min="17" max="17" width="53.54296875" style="28" customWidth="1"/>
    <col min="18" max="16384" width="10" style="28"/>
  </cols>
  <sheetData>
    <row r="1" spans="1:17" ht="20" x14ac:dyDescent="0.4">
      <c r="A1" s="53" t="s">
        <v>0</v>
      </c>
      <c r="B1" s="54"/>
      <c r="C1" s="54"/>
      <c r="D1" s="54"/>
      <c r="E1" s="54"/>
      <c r="F1" s="54"/>
      <c r="G1" s="54"/>
      <c r="H1" s="54"/>
      <c r="I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7" ht="15.5" x14ac:dyDescent="0.35">
      <c r="A3" s="57" t="str">
        <f>TABLE_FACTOR_TYPE_1&amp;" - x-"&amp;TABLE_SERIES_NUMBER_1</f>
        <v>EPA - x-719</v>
      </c>
      <c r="B3" s="56"/>
      <c r="C3" s="56"/>
      <c r="D3" s="56"/>
      <c r="E3" s="56"/>
      <c r="F3" s="56"/>
      <c r="G3" s="56"/>
      <c r="H3" s="56"/>
      <c r="I3" s="56"/>
    </row>
    <row r="4" spans="1:17" x14ac:dyDescent="0.25">
      <c r="A4" s="58"/>
    </row>
    <row r="6" spans="1:17" ht="13" x14ac:dyDescent="0.3">
      <c r="A6" s="86" t="s">
        <v>716</v>
      </c>
      <c r="B6" s="111" t="s">
        <v>717</v>
      </c>
      <c r="C6" s="111"/>
      <c r="D6" s="111"/>
      <c r="E6" s="111"/>
      <c r="F6" s="111"/>
      <c r="G6" s="111"/>
      <c r="H6" s="111"/>
      <c r="I6" s="111"/>
      <c r="J6" s="111"/>
      <c r="K6" s="111"/>
      <c r="L6" s="111"/>
      <c r="M6" s="111"/>
      <c r="P6" s="86" t="s">
        <v>716</v>
      </c>
      <c r="Q6" s="111" t="s">
        <v>717</v>
      </c>
    </row>
    <row r="7" spans="1:17" x14ac:dyDescent="0.25">
      <c r="A7" s="87" t="s">
        <v>797</v>
      </c>
      <c r="B7" s="111" t="s">
        <v>316</v>
      </c>
      <c r="C7" s="111"/>
      <c r="D7" s="111"/>
      <c r="E7" s="111"/>
      <c r="F7" s="111"/>
      <c r="G7" s="111"/>
      <c r="H7" s="111"/>
      <c r="I7" s="111"/>
      <c r="J7" s="111"/>
      <c r="K7" s="111"/>
      <c r="L7" s="111"/>
      <c r="M7" s="111"/>
      <c r="P7" s="87" t="s">
        <v>797</v>
      </c>
      <c r="Q7" s="111" t="s">
        <v>316</v>
      </c>
    </row>
    <row r="8" spans="1:17" x14ac:dyDescent="0.25">
      <c r="A8" s="87" t="s">
        <v>798</v>
      </c>
      <c r="B8" s="111" t="s">
        <v>92</v>
      </c>
      <c r="C8" s="111"/>
      <c r="D8" s="111"/>
      <c r="E8" s="111"/>
      <c r="F8" s="111"/>
      <c r="G8" s="111"/>
      <c r="H8" s="111"/>
      <c r="I8" s="111"/>
      <c r="J8" s="111"/>
      <c r="K8" s="111"/>
      <c r="L8" s="111"/>
      <c r="M8" s="111"/>
      <c r="P8" s="87" t="s">
        <v>798</v>
      </c>
      <c r="Q8" s="111" t="s">
        <v>92</v>
      </c>
    </row>
    <row r="9" spans="1:17" x14ac:dyDescent="0.25">
      <c r="A9" s="87" t="s">
        <v>300</v>
      </c>
      <c r="B9" s="111" t="s">
        <v>636</v>
      </c>
      <c r="C9" s="111"/>
      <c r="D9" s="111"/>
      <c r="E9" s="111"/>
      <c r="F9" s="111"/>
      <c r="G9" s="111"/>
      <c r="H9" s="111"/>
      <c r="I9" s="111"/>
      <c r="J9" s="111"/>
      <c r="K9" s="111"/>
      <c r="L9" s="111"/>
      <c r="M9" s="111"/>
      <c r="P9" s="87" t="s">
        <v>300</v>
      </c>
      <c r="Q9" s="111" t="s">
        <v>636</v>
      </c>
    </row>
    <row r="10" spans="1:17" x14ac:dyDescent="0.25">
      <c r="A10" s="87" t="s">
        <v>6</v>
      </c>
      <c r="B10" s="111" t="s">
        <v>653</v>
      </c>
      <c r="C10" s="111"/>
      <c r="D10" s="111"/>
      <c r="E10" s="111"/>
      <c r="F10" s="111"/>
      <c r="G10" s="111"/>
      <c r="H10" s="111"/>
      <c r="I10" s="111"/>
      <c r="J10" s="111"/>
      <c r="K10" s="111"/>
      <c r="L10" s="111"/>
      <c r="M10" s="111"/>
      <c r="P10" s="87" t="s">
        <v>6</v>
      </c>
      <c r="Q10" s="111" t="s">
        <v>657</v>
      </c>
    </row>
    <row r="11" spans="1:17" x14ac:dyDescent="0.25">
      <c r="A11" s="87" t="s">
        <v>301</v>
      </c>
      <c r="B11" s="111" t="s">
        <v>319</v>
      </c>
      <c r="C11" s="111"/>
      <c r="D11" s="111"/>
      <c r="E11" s="111"/>
      <c r="F11" s="111"/>
      <c r="G11" s="111"/>
      <c r="H11" s="111"/>
      <c r="I11" s="111"/>
      <c r="J11" s="111"/>
      <c r="K11" s="111"/>
      <c r="L11" s="111"/>
      <c r="M11" s="111"/>
      <c r="P11" s="87" t="s">
        <v>301</v>
      </c>
      <c r="Q11" s="111" t="s">
        <v>319</v>
      </c>
    </row>
    <row r="12" spans="1:17" x14ac:dyDescent="0.25">
      <c r="A12" s="87" t="s">
        <v>302</v>
      </c>
      <c r="B12" s="111" t="s">
        <v>638</v>
      </c>
      <c r="C12" s="111"/>
      <c r="D12" s="111"/>
      <c r="E12" s="111"/>
      <c r="F12" s="111"/>
      <c r="G12" s="111"/>
      <c r="H12" s="111"/>
      <c r="I12" s="111"/>
      <c r="J12" s="111"/>
      <c r="K12" s="111"/>
      <c r="L12" s="111"/>
      <c r="M12" s="111"/>
      <c r="P12" s="87" t="s">
        <v>302</v>
      </c>
      <c r="Q12" s="111" t="s">
        <v>650</v>
      </c>
    </row>
    <row r="13" spans="1:17" x14ac:dyDescent="0.25">
      <c r="A13" s="87" t="s">
        <v>813</v>
      </c>
      <c r="B13" s="111">
        <v>0</v>
      </c>
      <c r="C13" s="111"/>
      <c r="D13" s="111"/>
      <c r="E13" s="111"/>
      <c r="F13" s="111"/>
      <c r="G13" s="111"/>
      <c r="H13" s="111"/>
      <c r="I13" s="111"/>
      <c r="J13" s="111"/>
      <c r="K13" s="111"/>
      <c r="L13" s="111"/>
      <c r="M13" s="111"/>
      <c r="P13" s="87" t="s">
        <v>813</v>
      </c>
      <c r="Q13" s="111">
        <v>0</v>
      </c>
    </row>
    <row r="14" spans="1:17" x14ac:dyDescent="0.25">
      <c r="A14" s="87" t="s">
        <v>304</v>
      </c>
      <c r="B14" s="111">
        <v>719</v>
      </c>
      <c r="C14" s="111"/>
      <c r="D14" s="111"/>
      <c r="E14" s="111"/>
      <c r="F14" s="111"/>
      <c r="G14" s="111"/>
      <c r="H14" s="111"/>
      <c r="I14" s="111"/>
      <c r="J14" s="111"/>
      <c r="K14" s="111"/>
      <c r="L14" s="111"/>
      <c r="M14" s="111"/>
      <c r="P14" s="87" t="s">
        <v>304</v>
      </c>
      <c r="Q14" s="111">
        <v>719</v>
      </c>
    </row>
    <row r="15" spans="1:17" x14ac:dyDescent="0.25">
      <c r="A15" s="87" t="s">
        <v>727</v>
      </c>
      <c r="B15" s="111" t="s">
        <v>654</v>
      </c>
      <c r="C15" s="111"/>
      <c r="D15" s="111"/>
      <c r="E15" s="111"/>
      <c r="F15" s="111"/>
      <c r="G15" s="111"/>
      <c r="H15" s="111"/>
      <c r="I15" s="111"/>
      <c r="J15" s="111"/>
      <c r="K15" s="111"/>
      <c r="L15" s="111"/>
      <c r="M15" s="111"/>
      <c r="P15" s="87" t="s">
        <v>727</v>
      </c>
      <c r="Q15" s="111" t="s">
        <v>658</v>
      </c>
    </row>
    <row r="16" spans="1:17" x14ac:dyDescent="0.25">
      <c r="A16" s="87" t="s">
        <v>306</v>
      </c>
      <c r="B16" s="111" t="s">
        <v>655</v>
      </c>
      <c r="C16" s="111"/>
      <c r="D16" s="111"/>
      <c r="E16" s="111"/>
      <c r="F16" s="111"/>
      <c r="G16" s="111"/>
      <c r="H16" s="111"/>
      <c r="I16" s="111"/>
      <c r="J16" s="111"/>
      <c r="K16" s="111"/>
      <c r="L16" s="111"/>
      <c r="M16" s="111"/>
      <c r="P16" s="87" t="s">
        <v>306</v>
      </c>
      <c r="Q16" s="111" t="s">
        <v>655</v>
      </c>
    </row>
    <row r="17" spans="1:17" x14ac:dyDescent="0.25">
      <c r="A17" s="87" t="s">
        <v>800</v>
      </c>
      <c r="B17" s="111"/>
      <c r="C17" s="111"/>
      <c r="D17" s="111"/>
      <c r="E17" s="111"/>
      <c r="F17" s="111"/>
      <c r="G17" s="111"/>
      <c r="H17" s="111"/>
      <c r="I17" s="111"/>
      <c r="J17" s="111"/>
      <c r="K17" s="111"/>
      <c r="L17" s="111"/>
      <c r="M17" s="111"/>
      <c r="P17" s="87" t="s">
        <v>800</v>
      </c>
      <c r="Q17" s="111"/>
    </row>
    <row r="18" spans="1:17" x14ac:dyDescent="0.25">
      <c r="A18" s="87" t="s">
        <v>308</v>
      </c>
      <c r="B18" s="122">
        <v>45184</v>
      </c>
      <c r="C18" s="111"/>
      <c r="D18" s="111"/>
      <c r="E18" s="111"/>
      <c r="F18" s="111"/>
      <c r="G18" s="111"/>
      <c r="H18" s="111"/>
      <c r="I18" s="111"/>
      <c r="J18" s="111"/>
      <c r="K18" s="111"/>
      <c r="L18" s="111"/>
      <c r="M18" s="111"/>
      <c r="P18" s="87" t="s">
        <v>308</v>
      </c>
      <c r="Q18" s="122">
        <v>45184</v>
      </c>
    </row>
    <row r="19" spans="1:17" x14ac:dyDescent="0.25">
      <c r="A19" s="87" t="s">
        <v>309</v>
      </c>
      <c r="B19" s="122">
        <v>45383</v>
      </c>
      <c r="C19" s="111"/>
      <c r="D19" s="111"/>
      <c r="E19" s="111"/>
      <c r="F19" s="111"/>
      <c r="G19" s="111"/>
      <c r="H19" s="111"/>
      <c r="I19" s="111"/>
      <c r="J19" s="111"/>
      <c r="K19" s="111"/>
      <c r="L19" s="111"/>
      <c r="M19" s="111"/>
      <c r="P19" s="87" t="s">
        <v>309</v>
      </c>
      <c r="Q19" s="122">
        <v>45383</v>
      </c>
    </row>
    <row r="20" spans="1:17" x14ac:dyDescent="0.25">
      <c r="A20" s="87" t="s">
        <v>310</v>
      </c>
      <c r="B20" s="111" t="s">
        <v>324</v>
      </c>
      <c r="C20" s="111"/>
      <c r="D20" s="111"/>
      <c r="E20" s="111"/>
      <c r="F20" s="111"/>
      <c r="G20" s="111"/>
      <c r="H20" s="111"/>
      <c r="I20" s="111"/>
      <c r="J20" s="111"/>
      <c r="K20" s="111"/>
      <c r="L20" s="111"/>
      <c r="M20" s="111"/>
      <c r="P20" s="87" t="s">
        <v>310</v>
      </c>
      <c r="Q20" s="111" t="s">
        <v>324</v>
      </c>
    </row>
    <row r="21" spans="1:17" x14ac:dyDescent="0.25">
      <c r="A21" s="87" t="s">
        <v>311</v>
      </c>
      <c r="B21" s="111" t="s">
        <v>325</v>
      </c>
      <c r="C21" s="111"/>
      <c r="D21" s="111"/>
      <c r="E21" s="111"/>
      <c r="F21" s="111"/>
      <c r="G21" s="111"/>
      <c r="H21" s="111"/>
      <c r="I21" s="111"/>
      <c r="J21" s="111"/>
      <c r="K21" s="111"/>
      <c r="L21" s="111"/>
      <c r="M21" s="111"/>
      <c r="P21" s="87" t="s">
        <v>311</v>
      </c>
      <c r="Q21" s="111" t="s">
        <v>325</v>
      </c>
    </row>
    <row r="23" spans="1:17" x14ac:dyDescent="0.25">
      <c r="B23" s="104" t="str">
        <f>HYPERLINK("#'Factor List'!A1","Back to Factor List")</f>
        <v>Back to Factor List</v>
      </c>
    </row>
    <row r="24" spans="1:17" x14ac:dyDescent="0.25">
      <c r="B24" s="104" t="s">
        <v>13</v>
      </c>
    </row>
    <row r="26" spans="1:17" ht="13" x14ac:dyDescent="0.25">
      <c r="A26" s="127" t="s">
        <v>985</v>
      </c>
      <c r="B26" s="127">
        <v>0</v>
      </c>
      <c r="C26" s="127">
        <v>1</v>
      </c>
      <c r="D26" s="127">
        <v>2</v>
      </c>
      <c r="E26" s="127">
        <v>3</v>
      </c>
      <c r="F26" s="127">
        <v>4</v>
      </c>
      <c r="G26" s="127">
        <v>5</v>
      </c>
      <c r="H26" s="127">
        <v>6</v>
      </c>
      <c r="I26" s="127">
        <v>7</v>
      </c>
      <c r="J26" s="127">
        <v>8</v>
      </c>
      <c r="K26" s="127">
        <v>9</v>
      </c>
      <c r="L26" s="127">
        <v>10</v>
      </c>
      <c r="M26" s="127">
        <v>11</v>
      </c>
      <c r="P26" s="127" t="s">
        <v>534</v>
      </c>
      <c r="Q26" s="127" t="s">
        <v>802</v>
      </c>
    </row>
    <row r="27" spans="1:17" x14ac:dyDescent="0.25">
      <c r="A27" s="128">
        <v>20</v>
      </c>
      <c r="B27" s="134">
        <v>3.1E-2</v>
      </c>
      <c r="C27" s="134">
        <v>3.1E-2</v>
      </c>
      <c r="D27" s="134">
        <v>3.1E-2</v>
      </c>
      <c r="E27" s="134">
        <v>3.1E-2</v>
      </c>
      <c r="F27" s="134">
        <v>3.1E-2</v>
      </c>
      <c r="G27" s="134">
        <v>3.1E-2</v>
      </c>
      <c r="H27" s="134">
        <v>3.1E-2</v>
      </c>
      <c r="I27" s="134">
        <v>3.1E-2</v>
      </c>
      <c r="J27" s="134">
        <v>3.1E-2</v>
      </c>
      <c r="K27" s="134">
        <v>3.1E-2</v>
      </c>
      <c r="L27" s="134">
        <v>3.1E-2</v>
      </c>
      <c r="M27" s="134">
        <v>3.1E-2</v>
      </c>
      <c r="P27" s="128">
        <v>20</v>
      </c>
      <c r="Q27" s="134">
        <v>3.1E-2</v>
      </c>
    </row>
    <row r="28" spans="1:17" x14ac:dyDescent="0.25">
      <c r="A28" s="128">
        <v>21</v>
      </c>
      <c r="B28" s="134">
        <v>3.2000000000000001E-2</v>
      </c>
      <c r="C28" s="134">
        <v>3.2000000000000001E-2</v>
      </c>
      <c r="D28" s="134">
        <v>3.2000000000000001E-2</v>
      </c>
      <c r="E28" s="134">
        <v>3.2000000000000001E-2</v>
      </c>
      <c r="F28" s="134">
        <v>3.2000000000000001E-2</v>
      </c>
      <c r="G28" s="134">
        <v>3.2000000000000001E-2</v>
      </c>
      <c r="H28" s="134">
        <v>3.1E-2</v>
      </c>
      <c r="I28" s="134">
        <v>3.1E-2</v>
      </c>
      <c r="J28" s="134">
        <v>3.1E-2</v>
      </c>
      <c r="K28" s="134">
        <v>3.1E-2</v>
      </c>
      <c r="L28" s="134">
        <v>3.1E-2</v>
      </c>
      <c r="M28" s="134">
        <v>3.1E-2</v>
      </c>
      <c r="P28" s="128">
        <v>21</v>
      </c>
      <c r="Q28" s="134">
        <v>3.1E-2</v>
      </c>
    </row>
    <row r="29" spans="1:17" x14ac:dyDescent="0.25">
      <c r="A29" s="128">
        <v>22</v>
      </c>
      <c r="B29" s="134">
        <v>3.2000000000000001E-2</v>
      </c>
      <c r="C29" s="134">
        <v>3.2000000000000001E-2</v>
      </c>
      <c r="D29" s="134">
        <v>3.2000000000000001E-2</v>
      </c>
      <c r="E29" s="134">
        <v>3.2000000000000001E-2</v>
      </c>
      <c r="F29" s="134">
        <v>3.2000000000000001E-2</v>
      </c>
      <c r="G29" s="134">
        <v>3.2000000000000001E-2</v>
      </c>
      <c r="H29" s="134">
        <v>3.2000000000000001E-2</v>
      </c>
      <c r="I29" s="134">
        <v>3.2000000000000001E-2</v>
      </c>
      <c r="J29" s="134">
        <v>3.2000000000000001E-2</v>
      </c>
      <c r="K29" s="134">
        <v>3.2000000000000001E-2</v>
      </c>
      <c r="L29" s="134">
        <v>3.2000000000000001E-2</v>
      </c>
      <c r="M29" s="134">
        <v>3.2000000000000001E-2</v>
      </c>
      <c r="P29" s="128">
        <v>22</v>
      </c>
      <c r="Q29" s="134">
        <v>3.2000000000000001E-2</v>
      </c>
    </row>
    <row r="30" spans="1:17" x14ac:dyDescent="0.25">
      <c r="A30" s="128">
        <v>23</v>
      </c>
      <c r="B30" s="134">
        <v>3.3000000000000002E-2</v>
      </c>
      <c r="C30" s="134">
        <v>3.3000000000000002E-2</v>
      </c>
      <c r="D30" s="134">
        <v>3.3000000000000002E-2</v>
      </c>
      <c r="E30" s="134">
        <v>3.3000000000000002E-2</v>
      </c>
      <c r="F30" s="134">
        <v>3.3000000000000002E-2</v>
      </c>
      <c r="G30" s="134">
        <v>3.3000000000000002E-2</v>
      </c>
      <c r="H30" s="134">
        <v>3.3000000000000002E-2</v>
      </c>
      <c r="I30" s="134">
        <v>3.2000000000000001E-2</v>
      </c>
      <c r="J30" s="134">
        <v>3.2000000000000001E-2</v>
      </c>
      <c r="K30" s="134">
        <v>3.2000000000000001E-2</v>
      </c>
      <c r="L30" s="134">
        <v>3.2000000000000001E-2</v>
      </c>
      <c r="M30" s="134">
        <v>3.2000000000000001E-2</v>
      </c>
      <c r="P30" s="128">
        <v>23</v>
      </c>
      <c r="Q30" s="134">
        <v>3.2000000000000001E-2</v>
      </c>
    </row>
    <row r="31" spans="1:17" x14ac:dyDescent="0.25">
      <c r="A31" s="128">
        <v>24</v>
      </c>
      <c r="B31" s="134">
        <v>3.3000000000000002E-2</v>
      </c>
      <c r="C31" s="134">
        <v>3.3000000000000002E-2</v>
      </c>
      <c r="D31" s="134">
        <v>3.3000000000000002E-2</v>
      </c>
      <c r="E31" s="134">
        <v>3.3000000000000002E-2</v>
      </c>
      <c r="F31" s="134">
        <v>3.3000000000000002E-2</v>
      </c>
      <c r="G31" s="134">
        <v>3.3000000000000002E-2</v>
      </c>
      <c r="H31" s="134">
        <v>3.3000000000000002E-2</v>
      </c>
      <c r="I31" s="134">
        <v>3.3000000000000002E-2</v>
      </c>
      <c r="J31" s="134">
        <v>3.3000000000000002E-2</v>
      </c>
      <c r="K31" s="134">
        <v>3.3000000000000002E-2</v>
      </c>
      <c r="L31" s="134">
        <v>3.3000000000000002E-2</v>
      </c>
      <c r="M31" s="134">
        <v>3.3000000000000002E-2</v>
      </c>
      <c r="P31" s="128">
        <v>24</v>
      </c>
      <c r="Q31" s="134">
        <v>3.3000000000000002E-2</v>
      </c>
    </row>
    <row r="32" spans="1:17" x14ac:dyDescent="0.25">
      <c r="A32" s="128">
        <v>25</v>
      </c>
      <c r="B32" s="134">
        <v>3.4000000000000002E-2</v>
      </c>
      <c r="C32" s="134">
        <v>3.4000000000000002E-2</v>
      </c>
      <c r="D32" s="134">
        <v>3.4000000000000002E-2</v>
      </c>
      <c r="E32" s="134">
        <v>3.4000000000000002E-2</v>
      </c>
      <c r="F32" s="134">
        <v>3.4000000000000002E-2</v>
      </c>
      <c r="G32" s="134">
        <v>3.4000000000000002E-2</v>
      </c>
      <c r="H32" s="134">
        <v>3.4000000000000002E-2</v>
      </c>
      <c r="I32" s="134">
        <v>3.4000000000000002E-2</v>
      </c>
      <c r="J32" s="134">
        <v>3.3000000000000002E-2</v>
      </c>
      <c r="K32" s="134">
        <v>3.3000000000000002E-2</v>
      </c>
      <c r="L32" s="134">
        <v>3.3000000000000002E-2</v>
      </c>
      <c r="M32" s="134">
        <v>3.3000000000000002E-2</v>
      </c>
      <c r="P32" s="128">
        <v>25</v>
      </c>
      <c r="Q32" s="134">
        <v>3.3000000000000002E-2</v>
      </c>
    </row>
    <row r="33" spans="1:17" x14ac:dyDescent="0.25">
      <c r="A33" s="128">
        <v>26</v>
      </c>
      <c r="B33" s="134">
        <v>3.5000000000000003E-2</v>
      </c>
      <c r="C33" s="134">
        <v>3.4000000000000002E-2</v>
      </c>
      <c r="D33" s="134">
        <v>3.4000000000000002E-2</v>
      </c>
      <c r="E33" s="134">
        <v>3.4000000000000002E-2</v>
      </c>
      <c r="F33" s="134">
        <v>3.4000000000000002E-2</v>
      </c>
      <c r="G33" s="134">
        <v>3.4000000000000002E-2</v>
      </c>
      <c r="H33" s="134">
        <v>3.4000000000000002E-2</v>
      </c>
      <c r="I33" s="134">
        <v>3.4000000000000002E-2</v>
      </c>
      <c r="J33" s="134">
        <v>3.4000000000000002E-2</v>
      </c>
      <c r="K33" s="134">
        <v>3.4000000000000002E-2</v>
      </c>
      <c r="L33" s="134">
        <v>3.4000000000000002E-2</v>
      </c>
      <c r="M33" s="134">
        <v>3.4000000000000002E-2</v>
      </c>
      <c r="P33" s="128">
        <v>26</v>
      </c>
      <c r="Q33" s="134">
        <v>3.4000000000000002E-2</v>
      </c>
    </row>
    <row r="34" spans="1:17" x14ac:dyDescent="0.25">
      <c r="A34" s="128">
        <v>27</v>
      </c>
      <c r="B34" s="134">
        <v>3.5000000000000003E-2</v>
      </c>
      <c r="C34" s="134">
        <v>3.5000000000000003E-2</v>
      </c>
      <c r="D34" s="134">
        <v>3.5000000000000003E-2</v>
      </c>
      <c r="E34" s="134">
        <v>3.5000000000000003E-2</v>
      </c>
      <c r="F34" s="134">
        <v>3.5000000000000003E-2</v>
      </c>
      <c r="G34" s="134">
        <v>3.5000000000000003E-2</v>
      </c>
      <c r="H34" s="134">
        <v>3.5000000000000003E-2</v>
      </c>
      <c r="I34" s="134">
        <v>3.5000000000000003E-2</v>
      </c>
      <c r="J34" s="134">
        <v>3.5000000000000003E-2</v>
      </c>
      <c r="K34" s="134">
        <v>3.5000000000000003E-2</v>
      </c>
      <c r="L34" s="134">
        <v>3.4000000000000002E-2</v>
      </c>
      <c r="M34" s="134">
        <v>3.4000000000000002E-2</v>
      </c>
      <c r="P34" s="128">
        <v>27</v>
      </c>
      <c r="Q34" s="134">
        <v>3.4000000000000002E-2</v>
      </c>
    </row>
    <row r="35" spans="1:17" x14ac:dyDescent="0.25">
      <c r="A35" s="128">
        <v>28</v>
      </c>
      <c r="B35" s="134">
        <v>3.5999999999999997E-2</v>
      </c>
      <c r="C35" s="134">
        <v>3.5999999999999997E-2</v>
      </c>
      <c r="D35" s="134">
        <v>3.5999999999999997E-2</v>
      </c>
      <c r="E35" s="134">
        <v>3.5999999999999997E-2</v>
      </c>
      <c r="F35" s="134">
        <v>3.5000000000000003E-2</v>
      </c>
      <c r="G35" s="134">
        <v>3.5000000000000003E-2</v>
      </c>
      <c r="H35" s="134">
        <v>3.5000000000000003E-2</v>
      </c>
      <c r="I35" s="134">
        <v>3.5000000000000003E-2</v>
      </c>
      <c r="J35" s="134">
        <v>3.5000000000000003E-2</v>
      </c>
      <c r="K35" s="134">
        <v>3.5000000000000003E-2</v>
      </c>
      <c r="L35" s="134">
        <v>3.5000000000000003E-2</v>
      </c>
      <c r="M35" s="134">
        <v>3.5000000000000003E-2</v>
      </c>
      <c r="P35" s="128">
        <v>28</v>
      </c>
      <c r="Q35" s="134">
        <v>3.5000000000000003E-2</v>
      </c>
    </row>
    <row r="36" spans="1:17" x14ac:dyDescent="0.25">
      <c r="A36" s="128">
        <v>29</v>
      </c>
      <c r="B36" s="134">
        <v>3.5999999999999997E-2</v>
      </c>
      <c r="C36" s="134">
        <v>3.5999999999999997E-2</v>
      </c>
      <c r="D36" s="134">
        <v>3.5999999999999997E-2</v>
      </c>
      <c r="E36" s="134">
        <v>3.5999999999999997E-2</v>
      </c>
      <c r="F36" s="134">
        <v>3.5999999999999997E-2</v>
      </c>
      <c r="G36" s="134">
        <v>3.5999999999999997E-2</v>
      </c>
      <c r="H36" s="134">
        <v>3.5999999999999997E-2</v>
      </c>
      <c r="I36" s="134">
        <v>3.5999999999999997E-2</v>
      </c>
      <c r="J36" s="134">
        <v>3.5999999999999997E-2</v>
      </c>
      <c r="K36" s="134">
        <v>3.5999999999999997E-2</v>
      </c>
      <c r="L36" s="134">
        <v>3.5999999999999997E-2</v>
      </c>
      <c r="M36" s="134">
        <v>3.5999999999999997E-2</v>
      </c>
      <c r="P36" s="128">
        <v>29</v>
      </c>
      <c r="Q36" s="134">
        <v>3.5000000000000003E-2</v>
      </c>
    </row>
    <row r="37" spans="1:17" x14ac:dyDescent="0.25">
      <c r="A37" s="128">
        <v>30</v>
      </c>
      <c r="B37" s="134">
        <v>3.6999999999999998E-2</v>
      </c>
      <c r="C37" s="134">
        <v>3.6999999999999998E-2</v>
      </c>
      <c r="D37" s="134">
        <v>3.6999999999999998E-2</v>
      </c>
      <c r="E37" s="134">
        <v>3.6999999999999998E-2</v>
      </c>
      <c r="F37" s="134">
        <v>3.6999999999999998E-2</v>
      </c>
      <c r="G37" s="134">
        <v>3.6999999999999998E-2</v>
      </c>
      <c r="H37" s="134">
        <v>3.5999999999999997E-2</v>
      </c>
      <c r="I37" s="134">
        <v>3.5999999999999997E-2</v>
      </c>
      <c r="J37" s="134">
        <v>3.5999999999999997E-2</v>
      </c>
      <c r="K37" s="134">
        <v>3.5999999999999997E-2</v>
      </c>
      <c r="L37" s="134">
        <v>3.5999999999999997E-2</v>
      </c>
      <c r="M37" s="134">
        <v>3.5999999999999997E-2</v>
      </c>
      <c r="P37" s="128">
        <v>30</v>
      </c>
      <c r="Q37" s="134">
        <v>3.5999999999999997E-2</v>
      </c>
    </row>
    <row r="38" spans="1:17" x14ac:dyDescent="0.25">
      <c r="A38" s="128">
        <v>31</v>
      </c>
      <c r="B38" s="134">
        <v>3.7999999999999999E-2</v>
      </c>
      <c r="C38" s="134">
        <v>3.6999999999999998E-2</v>
      </c>
      <c r="D38" s="134">
        <v>3.6999999999999998E-2</v>
      </c>
      <c r="E38" s="134">
        <v>3.6999999999999998E-2</v>
      </c>
      <c r="F38" s="134">
        <v>3.6999999999999998E-2</v>
      </c>
      <c r="G38" s="134">
        <v>3.6999999999999998E-2</v>
      </c>
      <c r="H38" s="134">
        <v>3.6999999999999998E-2</v>
      </c>
      <c r="I38" s="134">
        <v>3.6999999999999998E-2</v>
      </c>
      <c r="J38" s="134">
        <v>3.6999999999999998E-2</v>
      </c>
      <c r="K38" s="134">
        <v>3.6999999999999998E-2</v>
      </c>
      <c r="L38" s="134">
        <v>3.6999999999999998E-2</v>
      </c>
      <c r="M38" s="134">
        <v>3.6999999999999998E-2</v>
      </c>
      <c r="P38" s="128">
        <v>31</v>
      </c>
      <c r="Q38" s="134">
        <v>3.6999999999999998E-2</v>
      </c>
    </row>
    <row r="39" spans="1:17" x14ac:dyDescent="0.25">
      <c r="A39" s="128">
        <v>32</v>
      </c>
      <c r="B39" s="134">
        <v>3.7999999999999999E-2</v>
      </c>
      <c r="C39" s="134">
        <v>3.7999999999999999E-2</v>
      </c>
      <c r="D39" s="134">
        <v>3.7999999999999999E-2</v>
      </c>
      <c r="E39" s="134">
        <v>3.7999999999999999E-2</v>
      </c>
      <c r="F39" s="134">
        <v>3.7999999999999999E-2</v>
      </c>
      <c r="G39" s="134">
        <v>3.7999999999999999E-2</v>
      </c>
      <c r="H39" s="134">
        <v>3.7999999999999999E-2</v>
      </c>
      <c r="I39" s="134">
        <v>3.7999999999999999E-2</v>
      </c>
      <c r="J39" s="134">
        <v>3.7999999999999999E-2</v>
      </c>
      <c r="K39" s="134">
        <v>3.7999999999999999E-2</v>
      </c>
      <c r="L39" s="134">
        <v>3.6999999999999998E-2</v>
      </c>
      <c r="M39" s="134">
        <v>3.6999999999999998E-2</v>
      </c>
      <c r="P39" s="128">
        <v>32</v>
      </c>
      <c r="Q39" s="134">
        <v>3.6999999999999998E-2</v>
      </c>
    </row>
    <row r="40" spans="1:17" x14ac:dyDescent="0.25">
      <c r="A40" s="128">
        <v>33</v>
      </c>
      <c r="B40" s="134">
        <v>3.9E-2</v>
      </c>
      <c r="C40" s="134">
        <v>3.9E-2</v>
      </c>
      <c r="D40" s="134">
        <v>3.9E-2</v>
      </c>
      <c r="E40" s="134">
        <v>3.9E-2</v>
      </c>
      <c r="F40" s="134">
        <v>3.9E-2</v>
      </c>
      <c r="G40" s="134">
        <v>3.7999999999999999E-2</v>
      </c>
      <c r="H40" s="134">
        <v>3.7999999999999999E-2</v>
      </c>
      <c r="I40" s="134">
        <v>3.7999999999999999E-2</v>
      </c>
      <c r="J40" s="134">
        <v>3.7999999999999999E-2</v>
      </c>
      <c r="K40" s="134">
        <v>3.7999999999999999E-2</v>
      </c>
      <c r="L40" s="134">
        <v>3.7999999999999999E-2</v>
      </c>
      <c r="M40" s="134">
        <v>3.7999999999999999E-2</v>
      </c>
      <c r="P40" s="128">
        <v>33</v>
      </c>
      <c r="Q40" s="134">
        <v>3.7999999999999999E-2</v>
      </c>
    </row>
    <row r="41" spans="1:17" x14ac:dyDescent="0.25">
      <c r="A41" s="128">
        <v>34</v>
      </c>
      <c r="B41" s="134">
        <v>3.9E-2</v>
      </c>
      <c r="C41" s="134">
        <v>3.9E-2</v>
      </c>
      <c r="D41" s="134">
        <v>3.9E-2</v>
      </c>
      <c r="E41" s="134">
        <v>3.9E-2</v>
      </c>
      <c r="F41" s="134">
        <v>3.9E-2</v>
      </c>
      <c r="G41" s="134">
        <v>3.9E-2</v>
      </c>
      <c r="H41" s="134">
        <v>3.9E-2</v>
      </c>
      <c r="I41" s="134">
        <v>3.9E-2</v>
      </c>
      <c r="J41" s="134">
        <v>3.9E-2</v>
      </c>
      <c r="K41" s="134">
        <v>3.9E-2</v>
      </c>
      <c r="L41" s="134">
        <v>3.9E-2</v>
      </c>
      <c r="M41" s="134">
        <v>3.9E-2</v>
      </c>
      <c r="P41" s="128">
        <v>34</v>
      </c>
      <c r="Q41" s="134">
        <v>3.9E-2</v>
      </c>
    </row>
    <row r="42" spans="1:17" x14ac:dyDescent="0.25">
      <c r="A42" s="128">
        <v>35</v>
      </c>
      <c r="B42" s="134">
        <v>0.04</v>
      </c>
      <c r="C42" s="134">
        <v>0.04</v>
      </c>
      <c r="D42" s="134">
        <v>0.04</v>
      </c>
      <c r="E42" s="134">
        <v>0.04</v>
      </c>
      <c r="F42" s="134">
        <v>0.04</v>
      </c>
      <c r="G42" s="134">
        <v>0.04</v>
      </c>
      <c r="H42" s="134">
        <v>0.04</v>
      </c>
      <c r="I42" s="134">
        <v>0.04</v>
      </c>
      <c r="J42" s="134">
        <v>0.04</v>
      </c>
      <c r="K42" s="134">
        <v>3.9E-2</v>
      </c>
      <c r="L42" s="134">
        <v>3.9E-2</v>
      </c>
      <c r="M42" s="134">
        <v>3.9E-2</v>
      </c>
      <c r="P42" s="128">
        <v>35</v>
      </c>
      <c r="Q42" s="134">
        <v>3.9E-2</v>
      </c>
    </row>
    <row r="43" spans="1:17" x14ac:dyDescent="0.25">
      <c r="A43" s="128">
        <v>36</v>
      </c>
      <c r="B43" s="134">
        <v>4.1000000000000002E-2</v>
      </c>
      <c r="C43" s="134">
        <v>4.1000000000000002E-2</v>
      </c>
      <c r="D43" s="134">
        <v>4.1000000000000002E-2</v>
      </c>
      <c r="E43" s="134">
        <v>4.1000000000000002E-2</v>
      </c>
      <c r="F43" s="134">
        <v>0.04</v>
      </c>
      <c r="G43" s="134">
        <v>0.04</v>
      </c>
      <c r="H43" s="134">
        <v>0.04</v>
      </c>
      <c r="I43" s="134">
        <v>0.04</v>
      </c>
      <c r="J43" s="134">
        <v>0.04</v>
      </c>
      <c r="K43" s="134">
        <v>0.04</v>
      </c>
      <c r="L43" s="134">
        <v>0.04</v>
      </c>
      <c r="M43" s="134">
        <v>0.04</v>
      </c>
      <c r="P43" s="128">
        <v>36</v>
      </c>
      <c r="Q43" s="134">
        <v>0.04</v>
      </c>
    </row>
    <row r="44" spans="1:17" x14ac:dyDescent="0.25">
      <c r="A44" s="128">
        <v>37</v>
      </c>
      <c r="B44" s="134">
        <v>4.1000000000000002E-2</v>
      </c>
      <c r="C44" s="134">
        <v>4.1000000000000002E-2</v>
      </c>
      <c r="D44" s="134">
        <v>4.1000000000000002E-2</v>
      </c>
      <c r="E44" s="134">
        <v>4.1000000000000002E-2</v>
      </c>
      <c r="F44" s="134">
        <v>4.1000000000000002E-2</v>
      </c>
      <c r="G44" s="134">
        <v>4.1000000000000002E-2</v>
      </c>
      <c r="H44" s="134">
        <v>4.1000000000000002E-2</v>
      </c>
      <c r="I44" s="134">
        <v>4.1000000000000002E-2</v>
      </c>
      <c r="J44" s="134">
        <v>4.1000000000000002E-2</v>
      </c>
      <c r="K44" s="134">
        <v>4.1000000000000002E-2</v>
      </c>
      <c r="L44" s="134">
        <v>4.1000000000000002E-2</v>
      </c>
      <c r="M44" s="134">
        <v>4.1000000000000002E-2</v>
      </c>
      <c r="P44" s="128">
        <v>37</v>
      </c>
      <c r="Q44" s="134">
        <v>4.1000000000000002E-2</v>
      </c>
    </row>
    <row r="45" spans="1:17" x14ac:dyDescent="0.25">
      <c r="A45" s="128">
        <v>38</v>
      </c>
      <c r="B45" s="134">
        <v>4.2000000000000003E-2</v>
      </c>
      <c r="C45" s="134">
        <v>4.2000000000000003E-2</v>
      </c>
      <c r="D45" s="134">
        <v>4.2000000000000003E-2</v>
      </c>
      <c r="E45" s="134">
        <v>4.2000000000000003E-2</v>
      </c>
      <c r="F45" s="134">
        <v>4.2000000000000003E-2</v>
      </c>
      <c r="G45" s="134">
        <v>4.2000000000000003E-2</v>
      </c>
      <c r="H45" s="134">
        <v>4.2000000000000003E-2</v>
      </c>
      <c r="I45" s="134">
        <v>4.2000000000000003E-2</v>
      </c>
      <c r="J45" s="134">
        <v>4.2000000000000003E-2</v>
      </c>
      <c r="K45" s="134">
        <v>4.1000000000000002E-2</v>
      </c>
      <c r="L45" s="134">
        <v>4.1000000000000002E-2</v>
      </c>
      <c r="M45" s="134">
        <v>4.1000000000000002E-2</v>
      </c>
      <c r="P45" s="128">
        <v>38</v>
      </c>
      <c r="Q45" s="134">
        <v>4.1000000000000002E-2</v>
      </c>
    </row>
    <row r="46" spans="1:17" x14ac:dyDescent="0.25">
      <c r="A46" s="128">
        <v>39</v>
      </c>
      <c r="B46" s="134">
        <v>4.2999999999999997E-2</v>
      </c>
      <c r="C46" s="134">
        <v>4.2999999999999997E-2</v>
      </c>
      <c r="D46" s="134">
        <v>4.2999999999999997E-2</v>
      </c>
      <c r="E46" s="134">
        <v>4.2999999999999997E-2</v>
      </c>
      <c r="F46" s="134">
        <v>4.2999999999999997E-2</v>
      </c>
      <c r="G46" s="134">
        <v>4.2000000000000003E-2</v>
      </c>
      <c r="H46" s="134">
        <v>4.2000000000000003E-2</v>
      </c>
      <c r="I46" s="134">
        <v>4.2000000000000003E-2</v>
      </c>
      <c r="J46" s="134">
        <v>4.2000000000000003E-2</v>
      </c>
      <c r="K46" s="134">
        <v>4.2000000000000003E-2</v>
      </c>
      <c r="L46" s="134">
        <v>4.2000000000000003E-2</v>
      </c>
      <c r="M46" s="134">
        <v>4.2000000000000003E-2</v>
      </c>
      <c r="P46" s="128">
        <v>39</v>
      </c>
      <c r="Q46" s="134">
        <v>4.2000000000000003E-2</v>
      </c>
    </row>
    <row r="47" spans="1:17" x14ac:dyDescent="0.25">
      <c r="A47" s="128">
        <v>40</v>
      </c>
      <c r="B47" s="134">
        <v>4.3999999999999997E-2</v>
      </c>
      <c r="C47" s="134">
        <v>4.3999999999999997E-2</v>
      </c>
      <c r="D47" s="134">
        <v>4.2999999999999997E-2</v>
      </c>
      <c r="E47" s="134">
        <v>4.2999999999999997E-2</v>
      </c>
      <c r="F47" s="134">
        <v>4.2999999999999997E-2</v>
      </c>
      <c r="G47" s="134">
        <v>4.2999999999999997E-2</v>
      </c>
      <c r="H47" s="134">
        <v>4.2999999999999997E-2</v>
      </c>
      <c r="I47" s="134">
        <v>4.2999999999999997E-2</v>
      </c>
      <c r="J47" s="134">
        <v>4.2999999999999997E-2</v>
      </c>
      <c r="K47" s="134">
        <v>4.2999999999999997E-2</v>
      </c>
      <c r="L47" s="134">
        <v>4.2999999999999997E-2</v>
      </c>
      <c r="M47" s="134">
        <v>4.2999999999999997E-2</v>
      </c>
      <c r="P47" s="128">
        <v>40</v>
      </c>
      <c r="Q47" s="134">
        <v>4.2999999999999997E-2</v>
      </c>
    </row>
    <row r="48" spans="1:17" x14ac:dyDescent="0.25">
      <c r="A48" s="128">
        <v>41</v>
      </c>
      <c r="B48" s="134">
        <v>4.3999999999999997E-2</v>
      </c>
      <c r="C48" s="134">
        <v>4.3999999999999997E-2</v>
      </c>
      <c r="D48" s="134">
        <v>4.3999999999999997E-2</v>
      </c>
      <c r="E48" s="134">
        <v>4.3999999999999997E-2</v>
      </c>
      <c r="F48" s="134">
        <v>4.3999999999999997E-2</v>
      </c>
      <c r="G48" s="134">
        <v>4.3999999999999997E-2</v>
      </c>
      <c r="H48" s="134">
        <v>4.3999999999999997E-2</v>
      </c>
      <c r="I48" s="134">
        <v>4.3999999999999997E-2</v>
      </c>
      <c r="J48" s="134">
        <v>4.3999999999999997E-2</v>
      </c>
      <c r="K48" s="134">
        <v>4.3999999999999997E-2</v>
      </c>
      <c r="L48" s="134">
        <v>4.3999999999999997E-2</v>
      </c>
      <c r="M48" s="134">
        <v>4.2999999999999997E-2</v>
      </c>
      <c r="P48" s="128">
        <v>41</v>
      </c>
      <c r="Q48" s="134">
        <v>4.2999999999999997E-2</v>
      </c>
    </row>
    <row r="49" spans="1:17" x14ac:dyDescent="0.25">
      <c r="A49" s="128">
        <v>42</v>
      </c>
      <c r="B49" s="134">
        <v>4.4999999999999998E-2</v>
      </c>
      <c r="C49" s="134">
        <v>4.4999999999999998E-2</v>
      </c>
      <c r="D49" s="134">
        <v>4.4999999999999998E-2</v>
      </c>
      <c r="E49" s="134">
        <v>4.4999999999999998E-2</v>
      </c>
      <c r="F49" s="134">
        <v>4.4999999999999998E-2</v>
      </c>
      <c r="G49" s="134">
        <v>4.4999999999999998E-2</v>
      </c>
      <c r="H49" s="134">
        <v>4.4999999999999998E-2</v>
      </c>
      <c r="I49" s="134">
        <v>4.4999999999999998E-2</v>
      </c>
      <c r="J49" s="134">
        <v>4.3999999999999997E-2</v>
      </c>
      <c r="K49" s="134">
        <v>4.3999999999999997E-2</v>
      </c>
      <c r="L49" s="134">
        <v>4.3999999999999997E-2</v>
      </c>
      <c r="M49" s="134">
        <v>4.3999999999999997E-2</v>
      </c>
      <c r="P49" s="128">
        <v>42</v>
      </c>
      <c r="Q49" s="134">
        <v>4.3999999999999997E-2</v>
      </c>
    </row>
    <row r="50" spans="1:17" x14ac:dyDescent="0.25">
      <c r="A50" s="128">
        <v>43</v>
      </c>
      <c r="B50" s="134">
        <v>4.5999999999999999E-2</v>
      </c>
      <c r="C50" s="134">
        <v>4.5999999999999999E-2</v>
      </c>
      <c r="D50" s="134">
        <v>4.5999999999999999E-2</v>
      </c>
      <c r="E50" s="134">
        <v>4.5999999999999999E-2</v>
      </c>
      <c r="F50" s="134">
        <v>4.5999999999999999E-2</v>
      </c>
      <c r="G50" s="134">
        <v>4.4999999999999998E-2</v>
      </c>
      <c r="H50" s="134">
        <v>4.4999999999999998E-2</v>
      </c>
      <c r="I50" s="134">
        <v>4.4999999999999998E-2</v>
      </c>
      <c r="J50" s="134">
        <v>4.4999999999999998E-2</v>
      </c>
      <c r="K50" s="134">
        <v>4.4999999999999998E-2</v>
      </c>
      <c r="L50" s="134">
        <v>4.4999999999999998E-2</v>
      </c>
      <c r="M50" s="134">
        <v>4.4999999999999998E-2</v>
      </c>
      <c r="P50" s="128">
        <v>43</v>
      </c>
      <c r="Q50" s="134">
        <v>4.4999999999999998E-2</v>
      </c>
    </row>
    <row r="51" spans="1:17" x14ac:dyDescent="0.25">
      <c r="A51" s="128">
        <v>44</v>
      </c>
      <c r="B51" s="134">
        <v>4.7E-2</v>
      </c>
      <c r="C51" s="134">
        <v>4.7E-2</v>
      </c>
      <c r="D51" s="134">
        <v>4.7E-2</v>
      </c>
      <c r="E51" s="134">
        <v>4.5999999999999999E-2</v>
      </c>
      <c r="F51" s="134">
        <v>4.5999999999999999E-2</v>
      </c>
      <c r="G51" s="134">
        <v>4.5999999999999999E-2</v>
      </c>
      <c r="H51" s="134">
        <v>4.5999999999999999E-2</v>
      </c>
      <c r="I51" s="134">
        <v>4.5999999999999999E-2</v>
      </c>
      <c r="J51" s="134">
        <v>4.5999999999999999E-2</v>
      </c>
      <c r="K51" s="134">
        <v>4.5999999999999999E-2</v>
      </c>
      <c r="L51" s="134">
        <v>4.5999999999999999E-2</v>
      </c>
      <c r="M51" s="134">
        <v>4.5999999999999999E-2</v>
      </c>
      <c r="P51" s="128">
        <v>44</v>
      </c>
      <c r="Q51" s="134">
        <v>4.5999999999999999E-2</v>
      </c>
    </row>
    <row r="52" spans="1:17" x14ac:dyDescent="0.25">
      <c r="A52" s="128">
        <v>45</v>
      </c>
      <c r="B52" s="134">
        <v>4.8000000000000001E-2</v>
      </c>
      <c r="C52" s="134">
        <v>4.7E-2</v>
      </c>
      <c r="D52" s="134">
        <v>4.7E-2</v>
      </c>
      <c r="E52" s="134">
        <v>4.7E-2</v>
      </c>
      <c r="F52" s="134">
        <v>4.7E-2</v>
      </c>
      <c r="G52" s="134">
        <v>4.7E-2</v>
      </c>
      <c r="H52" s="134">
        <v>4.7E-2</v>
      </c>
      <c r="I52" s="134">
        <v>4.7E-2</v>
      </c>
      <c r="J52" s="134">
        <v>4.7E-2</v>
      </c>
      <c r="K52" s="134">
        <v>4.7E-2</v>
      </c>
      <c r="L52" s="134">
        <v>4.7E-2</v>
      </c>
      <c r="M52" s="134">
        <v>4.7E-2</v>
      </c>
      <c r="P52" s="128">
        <v>45</v>
      </c>
      <c r="Q52" s="134">
        <v>4.5999999999999999E-2</v>
      </c>
    </row>
    <row r="53" spans="1:17" x14ac:dyDescent="0.25">
      <c r="A53" s="128">
        <v>46</v>
      </c>
      <c r="B53" s="134">
        <v>4.8000000000000001E-2</v>
      </c>
      <c r="C53" s="134">
        <v>4.8000000000000001E-2</v>
      </c>
      <c r="D53" s="134">
        <v>4.8000000000000001E-2</v>
      </c>
      <c r="E53" s="134">
        <v>4.8000000000000001E-2</v>
      </c>
      <c r="F53" s="134">
        <v>4.8000000000000001E-2</v>
      </c>
      <c r="G53" s="134">
        <v>4.8000000000000001E-2</v>
      </c>
      <c r="H53" s="134">
        <v>4.8000000000000001E-2</v>
      </c>
      <c r="I53" s="134">
        <v>4.8000000000000001E-2</v>
      </c>
      <c r="J53" s="134">
        <v>4.8000000000000001E-2</v>
      </c>
      <c r="K53" s="134">
        <v>4.8000000000000001E-2</v>
      </c>
      <c r="L53" s="134">
        <v>4.7E-2</v>
      </c>
      <c r="M53" s="134">
        <v>4.7E-2</v>
      </c>
      <c r="P53" s="128">
        <v>46</v>
      </c>
      <c r="Q53" s="134">
        <v>4.7E-2</v>
      </c>
    </row>
    <row r="54" spans="1:17" x14ac:dyDescent="0.25">
      <c r="A54" s="128">
        <v>47</v>
      </c>
      <c r="B54" s="134">
        <v>4.9000000000000002E-2</v>
      </c>
      <c r="C54" s="134">
        <v>4.9000000000000002E-2</v>
      </c>
      <c r="D54" s="134">
        <v>4.9000000000000002E-2</v>
      </c>
      <c r="E54" s="134">
        <v>4.9000000000000002E-2</v>
      </c>
      <c r="F54" s="134">
        <v>4.9000000000000002E-2</v>
      </c>
      <c r="G54" s="134">
        <v>4.9000000000000002E-2</v>
      </c>
      <c r="H54" s="134">
        <v>4.9000000000000002E-2</v>
      </c>
      <c r="I54" s="134">
        <v>4.9000000000000002E-2</v>
      </c>
      <c r="J54" s="134">
        <v>4.8000000000000001E-2</v>
      </c>
      <c r="K54" s="134">
        <v>4.8000000000000001E-2</v>
      </c>
      <c r="L54" s="134">
        <v>4.8000000000000001E-2</v>
      </c>
      <c r="M54" s="134">
        <v>4.8000000000000001E-2</v>
      </c>
      <c r="P54" s="128">
        <v>47</v>
      </c>
      <c r="Q54" s="134">
        <v>4.8000000000000001E-2</v>
      </c>
    </row>
    <row r="55" spans="1:17" x14ac:dyDescent="0.25">
      <c r="A55" s="128">
        <v>48</v>
      </c>
      <c r="B55" s="134">
        <v>0.05</v>
      </c>
      <c r="C55" s="134">
        <v>0.05</v>
      </c>
      <c r="D55" s="134">
        <v>0.05</v>
      </c>
      <c r="E55" s="134">
        <v>0.05</v>
      </c>
      <c r="F55" s="134">
        <v>0.05</v>
      </c>
      <c r="G55" s="134">
        <v>0.05</v>
      </c>
      <c r="H55" s="134">
        <v>0.05</v>
      </c>
      <c r="I55" s="134">
        <v>4.9000000000000002E-2</v>
      </c>
      <c r="J55" s="134">
        <v>4.9000000000000002E-2</v>
      </c>
      <c r="K55" s="134">
        <v>4.9000000000000002E-2</v>
      </c>
      <c r="L55" s="134">
        <v>4.9000000000000002E-2</v>
      </c>
      <c r="M55" s="134">
        <v>4.9000000000000002E-2</v>
      </c>
      <c r="P55" s="128">
        <v>48</v>
      </c>
      <c r="Q55" s="134">
        <v>4.9000000000000002E-2</v>
      </c>
    </row>
    <row r="56" spans="1:17" x14ac:dyDescent="0.25">
      <c r="A56" s="128">
        <v>49</v>
      </c>
      <c r="B56" s="134">
        <v>5.0999999999999997E-2</v>
      </c>
      <c r="C56" s="134">
        <v>5.0999999999999997E-2</v>
      </c>
      <c r="D56" s="134">
        <v>5.0999999999999997E-2</v>
      </c>
      <c r="E56" s="134">
        <v>5.0999999999999997E-2</v>
      </c>
      <c r="F56" s="134">
        <v>5.0999999999999997E-2</v>
      </c>
      <c r="G56" s="134">
        <v>5.0999999999999997E-2</v>
      </c>
      <c r="H56" s="134">
        <v>0.05</v>
      </c>
      <c r="I56" s="134">
        <v>0.05</v>
      </c>
      <c r="J56" s="134">
        <v>0.05</v>
      </c>
      <c r="K56" s="134">
        <v>0.05</v>
      </c>
      <c r="L56" s="134">
        <v>0.05</v>
      </c>
      <c r="M56" s="134">
        <v>0.05</v>
      </c>
      <c r="P56" s="128">
        <v>49</v>
      </c>
      <c r="Q56" s="134">
        <v>0.05</v>
      </c>
    </row>
    <row r="57" spans="1:17" x14ac:dyDescent="0.25">
      <c r="A57" s="128">
        <v>50</v>
      </c>
      <c r="B57" s="134">
        <v>5.1999999999999998E-2</v>
      </c>
      <c r="C57" s="134">
        <v>5.1999999999999998E-2</v>
      </c>
      <c r="D57" s="134">
        <v>5.1999999999999998E-2</v>
      </c>
      <c r="E57" s="134">
        <v>5.1999999999999998E-2</v>
      </c>
      <c r="F57" s="134">
        <v>5.1999999999999998E-2</v>
      </c>
      <c r="G57" s="134">
        <v>5.0999999999999997E-2</v>
      </c>
      <c r="H57" s="134">
        <v>5.0999999999999997E-2</v>
      </c>
      <c r="I57" s="134">
        <v>5.0999999999999997E-2</v>
      </c>
      <c r="J57" s="134">
        <v>5.0999999999999997E-2</v>
      </c>
      <c r="K57" s="134">
        <v>5.0999999999999997E-2</v>
      </c>
      <c r="L57" s="134">
        <v>5.0999999999999997E-2</v>
      </c>
      <c r="M57" s="134">
        <v>5.0999999999999997E-2</v>
      </c>
      <c r="P57" s="128">
        <v>50</v>
      </c>
      <c r="Q57" s="134">
        <v>5.0999999999999997E-2</v>
      </c>
    </row>
    <row r="58" spans="1:17" x14ac:dyDescent="0.25">
      <c r="A58" s="128">
        <v>51</v>
      </c>
      <c r="B58" s="134">
        <v>5.2999999999999999E-2</v>
      </c>
      <c r="C58" s="134">
        <v>5.2999999999999999E-2</v>
      </c>
      <c r="D58" s="134">
        <v>5.2999999999999999E-2</v>
      </c>
      <c r="E58" s="134">
        <v>5.2999999999999999E-2</v>
      </c>
      <c r="F58" s="134">
        <v>5.2999999999999999E-2</v>
      </c>
      <c r="G58" s="134">
        <v>5.1999999999999998E-2</v>
      </c>
      <c r="H58" s="134">
        <v>5.1999999999999998E-2</v>
      </c>
      <c r="I58" s="134">
        <v>5.1999999999999998E-2</v>
      </c>
      <c r="J58" s="134">
        <v>5.1999999999999998E-2</v>
      </c>
      <c r="K58" s="134">
        <v>5.1999999999999998E-2</v>
      </c>
      <c r="L58" s="134">
        <v>5.1999999999999998E-2</v>
      </c>
      <c r="M58" s="134">
        <v>5.1999999999999998E-2</v>
      </c>
      <c r="P58" s="128">
        <v>51</v>
      </c>
      <c r="Q58" s="134">
        <v>5.1999999999999998E-2</v>
      </c>
    </row>
    <row r="59" spans="1:17" x14ac:dyDescent="0.25">
      <c r="A59" s="128">
        <v>52</v>
      </c>
      <c r="B59" s="134">
        <v>5.3999999999999999E-2</v>
      </c>
      <c r="C59" s="134">
        <v>5.3999999999999999E-2</v>
      </c>
      <c r="D59" s="134">
        <v>5.3999999999999999E-2</v>
      </c>
      <c r="E59" s="134">
        <v>5.3999999999999999E-2</v>
      </c>
      <c r="F59" s="134">
        <v>5.2999999999999999E-2</v>
      </c>
      <c r="G59" s="134">
        <v>5.2999999999999999E-2</v>
      </c>
      <c r="H59" s="134">
        <v>5.2999999999999999E-2</v>
      </c>
      <c r="I59" s="134">
        <v>5.2999999999999999E-2</v>
      </c>
      <c r="J59" s="134">
        <v>5.2999999999999999E-2</v>
      </c>
      <c r="K59" s="134">
        <v>5.2999999999999999E-2</v>
      </c>
      <c r="L59" s="134">
        <v>5.2999999999999999E-2</v>
      </c>
      <c r="M59" s="134">
        <v>5.2999999999999999E-2</v>
      </c>
      <c r="P59" s="128">
        <v>52</v>
      </c>
      <c r="Q59" s="134">
        <v>5.2999999999999999E-2</v>
      </c>
    </row>
    <row r="60" spans="1:17" x14ac:dyDescent="0.25">
      <c r="A60" s="128">
        <v>53</v>
      </c>
      <c r="B60" s="134">
        <v>5.5E-2</v>
      </c>
      <c r="C60" s="134">
        <v>5.5E-2</v>
      </c>
      <c r="D60" s="134">
        <v>5.5E-2</v>
      </c>
      <c r="E60" s="134">
        <v>5.5E-2</v>
      </c>
      <c r="F60" s="134">
        <v>5.3999999999999999E-2</v>
      </c>
      <c r="G60" s="134">
        <v>5.3999999999999999E-2</v>
      </c>
      <c r="H60" s="134">
        <v>5.3999999999999999E-2</v>
      </c>
      <c r="I60" s="134">
        <v>5.3999999999999999E-2</v>
      </c>
      <c r="J60" s="134">
        <v>5.3999999999999999E-2</v>
      </c>
      <c r="K60" s="134">
        <v>5.3999999999999999E-2</v>
      </c>
      <c r="L60" s="134">
        <v>5.3999999999999999E-2</v>
      </c>
      <c r="M60" s="134">
        <v>5.3999999999999999E-2</v>
      </c>
      <c r="P60" s="128">
        <v>53</v>
      </c>
      <c r="Q60" s="134">
        <v>5.3999999999999999E-2</v>
      </c>
    </row>
    <row r="61" spans="1:17" x14ac:dyDescent="0.25">
      <c r="A61" s="128">
        <v>54</v>
      </c>
      <c r="B61" s="134">
        <v>5.6000000000000001E-2</v>
      </c>
      <c r="C61" s="134">
        <v>5.6000000000000001E-2</v>
      </c>
      <c r="D61" s="134">
        <v>5.6000000000000001E-2</v>
      </c>
      <c r="E61" s="134">
        <v>5.6000000000000001E-2</v>
      </c>
      <c r="F61" s="134">
        <v>5.6000000000000001E-2</v>
      </c>
      <c r="G61" s="134">
        <v>5.5E-2</v>
      </c>
      <c r="H61" s="134">
        <v>5.5E-2</v>
      </c>
      <c r="I61" s="134">
        <v>5.5E-2</v>
      </c>
      <c r="J61" s="134">
        <v>5.5E-2</v>
      </c>
      <c r="K61" s="134">
        <v>5.5E-2</v>
      </c>
      <c r="L61" s="134">
        <v>5.5E-2</v>
      </c>
      <c r="M61" s="134">
        <v>5.5E-2</v>
      </c>
      <c r="P61" s="128">
        <v>54</v>
      </c>
      <c r="Q61" s="134">
        <v>5.5E-2</v>
      </c>
    </row>
    <row r="62" spans="1:17" x14ac:dyDescent="0.25">
      <c r="A62" s="128">
        <v>55</v>
      </c>
      <c r="B62" s="134">
        <v>5.7000000000000002E-2</v>
      </c>
      <c r="C62" s="134">
        <v>5.7000000000000002E-2</v>
      </c>
      <c r="D62" s="134">
        <v>5.7000000000000002E-2</v>
      </c>
      <c r="E62" s="134">
        <v>5.7000000000000002E-2</v>
      </c>
      <c r="F62" s="134">
        <v>5.7000000000000002E-2</v>
      </c>
      <c r="G62" s="134">
        <v>5.6000000000000001E-2</v>
      </c>
      <c r="H62" s="134">
        <v>5.6000000000000001E-2</v>
      </c>
      <c r="I62" s="134">
        <v>5.6000000000000001E-2</v>
      </c>
      <c r="J62" s="134">
        <v>5.6000000000000001E-2</v>
      </c>
      <c r="K62" s="134">
        <v>5.6000000000000001E-2</v>
      </c>
      <c r="L62" s="134">
        <v>5.6000000000000001E-2</v>
      </c>
      <c r="M62" s="134">
        <v>5.6000000000000001E-2</v>
      </c>
      <c r="P62" s="128">
        <v>55</v>
      </c>
      <c r="Q62" s="134">
        <v>5.6000000000000001E-2</v>
      </c>
    </row>
    <row r="63" spans="1:17" x14ac:dyDescent="0.25">
      <c r="A63" s="128">
        <v>56</v>
      </c>
      <c r="B63" s="134">
        <v>5.8000000000000003E-2</v>
      </c>
      <c r="C63" s="134">
        <v>5.8000000000000003E-2</v>
      </c>
      <c r="D63" s="134">
        <v>5.8000000000000003E-2</v>
      </c>
      <c r="E63" s="134">
        <v>5.8000000000000003E-2</v>
      </c>
      <c r="F63" s="134">
        <v>5.8000000000000003E-2</v>
      </c>
      <c r="G63" s="134">
        <v>5.8000000000000003E-2</v>
      </c>
      <c r="H63" s="134">
        <v>5.7000000000000002E-2</v>
      </c>
      <c r="I63" s="134">
        <v>5.7000000000000002E-2</v>
      </c>
      <c r="J63" s="134">
        <v>5.7000000000000002E-2</v>
      </c>
      <c r="K63" s="134">
        <v>5.7000000000000002E-2</v>
      </c>
      <c r="L63" s="134">
        <v>5.7000000000000002E-2</v>
      </c>
      <c r="M63" s="134">
        <v>5.7000000000000002E-2</v>
      </c>
      <c r="P63" s="128">
        <v>56</v>
      </c>
      <c r="Q63" s="134">
        <v>5.7000000000000002E-2</v>
      </c>
    </row>
    <row r="64" spans="1:17" x14ac:dyDescent="0.25">
      <c r="A64" s="128">
        <v>57</v>
      </c>
      <c r="B64" s="134">
        <v>5.8999999999999997E-2</v>
      </c>
      <c r="C64" s="134">
        <v>5.8999999999999997E-2</v>
      </c>
      <c r="D64" s="134">
        <v>5.8999999999999997E-2</v>
      </c>
      <c r="E64" s="134">
        <v>5.8999999999999997E-2</v>
      </c>
      <c r="F64" s="134">
        <v>5.8999999999999997E-2</v>
      </c>
      <c r="G64" s="134">
        <v>5.8999999999999997E-2</v>
      </c>
      <c r="H64" s="134">
        <v>5.8999999999999997E-2</v>
      </c>
      <c r="I64" s="134">
        <v>5.8000000000000003E-2</v>
      </c>
      <c r="J64" s="134">
        <v>5.8000000000000003E-2</v>
      </c>
      <c r="K64" s="134">
        <v>5.8000000000000003E-2</v>
      </c>
      <c r="L64" s="134">
        <v>5.8000000000000003E-2</v>
      </c>
      <c r="M64" s="134">
        <v>5.8000000000000003E-2</v>
      </c>
      <c r="P64" s="128">
        <v>57</v>
      </c>
      <c r="Q64" s="134">
        <v>5.8000000000000003E-2</v>
      </c>
    </row>
    <row r="65" spans="1:17" x14ac:dyDescent="0.25">
      <c r="A65" s="128">
        <v>58</v>
      </c>
      <c r="B65" s="134">
        <v>0.06</v>
      </c>
      <c r="C65" s="134">
        <v>0.06</v>
      </c>
      <c r="D65" s="134">
        <v>0.06</v>
      </c>
      <c r="E65" s="134">
        <v>0.06</v>
      </c>
      <c r="F65" s="134">
        <v>0.06</v>
      </c>
      <c r="G65" s="134">
        <v>0.06</v>
      </c>
      <c r="H65" s="134">
        <v>0.06</v>
      </c>
      <c r="I65" s="134">
        <v>0.06</v>
      </c>
      <c r="J65" s="134">
        <v>5.8999999999999997E-2</v>
      </c>
      <c r="K65" s="134">
        <v>5.8999999999999997E-2</v>
      </c>
      <c r="L65" s="134">
        <v>5.8999999999999997E-2</v>
      </c>
      <c r="M65" s="134">
        <v>5.8999999999999997E-2</v>
      </c>
      <c r="P65" s="128">
        <v>58</v>
      </c>
      <c r="Q65" s="134">
        <v>5.8999999999999997E-2</v>
      </c>
    </row>
    <row r="66" spans="1:17" x14ac:dyDescent="0.25">
      <c r="A66" s="128">
        <v>59</v>
      </c>
      <c r="B66" s="134">
        <v>6.2E-2</v>
      </c>
      <c r="C66" s="134">
        <v>6.2E-2</v>
      </c>
      <c r="D66" s="134">
        <v>6.0999999999999999E-2</v>
      </c>
      <c r="E66" s="134">
        <v>6.0999999999999999E-2</v>
      </c>
      <c r="F66" s="134">
        <v>6.0999999999999999E-2</v>
      </c>
      <c r="G66" s="134">
        <v>6.0999999999999999E-2</v>
      </c>
      <c r="H66" s="134">
        <v>6.0999999999999999E-2</v>
      </c>
      <c r="I66" s="134">
        <v>6.0999999999999999E-2</v>
      </c>
      <c r="J66" s="134">
        <v>6.0999999999999999E-2</v>
      </c>
      <c r="K66" s="134">
        <v>6.0999999999999999E-2</v>
      </c>
      <c r="L66" s="134">
        <v>0.06</v>
      </c>
      <c r="M66" s="134">
        <v>0.06</v>
      </c>
      <c r="P66" s="128">
        <v>59</v>
      </c>
      <c r="Q66" s="134">
        <v>0.06</v>
      </c>
    </row>
    <row r="67" spans="1:17" x14ac:dyDescent="0.25">
      <c r="A67" s="128">
        <v>60</v>
      </c>
      <c r="B67" s="134">
        <v>6.3E-2</v>
      </c>
      <c r="C67" s="134">
        <v>6.3E-2</v>
      </c>
      <c r="D67" s="134">
        <v>6.3E-2</v>
      </c>
      <c r="E67" s="134">
        <v>6.3E-2</v>
      </c>
      <c r="F67" s="134">
        <v>6.2E-2</v>
      </c>
      <c r="G67" s="134">
        <v>6.2E-2</v>
      </c>
      <c r="H67" s="134">
        <v>6.2E-2</v>
      </c>
      <c r="I67" s="134">
        <v>6.2E-2</v>
      </c>
      <c r="J67" s="134">
        <v>6.2E-2</v>
      </c>
      <c r="K67" s="134">
        <v>6.2E-2</v>
      </c>
      <c r="L67" s="134">
        <v>6.2E-2</v>
      </c>
      <c r="M67" s="134">
        <v>6.2E-2</v>
      </c>
      <c r="P67" s="128">
        <v>60</v>
      </c>
      <c r="Q67" s="134">
        <v>6.0999999999999999E-2</v>
      </c>
    </row>
    <row r="68" spans="1:17" x14ac:dyDescent="0.25">
      <c r="A68" s="128">
        <v>61</v>
      </c>
      <c r="B68" s="134">
        <v>6.4000000000000001E-2</v>
      </c>
      <c r="C68" s="134">
        <v>6.4000000000000001E-2</v>
      </c>
      <c r="D68" s="134">
        <v>6.4000000000000001E-2</v>
      </c>
      <c r="E68" s="134">
        <v>6.4000000000000001E-2</v>
      </c>
      <c r="F68" s="134">
        <v>6.4000000000000001E-2</v>
      </c>
      <c r="G68" s="134">
        <v>6.4000000000000001E-2</v>
      </c>
      <c r="H68" s="134">
        <v>6.4000000000000001E-2</v>
      </c>
      <c r="I68" s="134">
        <v>6.3E-2</v>
      </c>
      <c r="J68" s="134">
        <v>6.3E-2</v>
      </c>
      <c r="K68" s="134">
        <v>6.3E-2</v>
      </c>
      <c r="L68" s="134">
        <v>6.3E-2</v>
      </c>
      <c r="M68" s="134">
        <v>6.3E-2</v>
      </c>
      <c r="P68" s="128">
        <v>61</v>
      </c>
      <c r="Q68" s="134">
        <v>6.3E-2</v>
      </c>
    </row>
    <row r="69" spans="1:17" x14ac:dyDescent="0.25">
      <c r="A69" s="128">
        <v>62</v>
      </c>
      <c r="B69" s="134">
        <v>6.6000000000000003E-2</v>
      </c>
      <c r="C69" s="134">
        <v>6.6000000000000003E-2</v>
      </c>
      <c r="D69" s="134">
        <v>6.6000000000000003E-2</v>
      </c>
      <c r="E69" s="134">
        <v>6.5000000000000002E-2</v>
      </c>
      <c r="F69" s="134">
        <v>6.5000000000000002E-2</v>
      </c>
      <c r="G69" s="134">
        <v>6.5000000000000002E-2</v>
      </c>
      <c r="H69" s="134">
        <v>6.5000000000000002E-2</v>
      </c>
      <c r="I69" s="134">
        <v>6.5000000000000002E-2</v>
      </c>
      <c r="J69" s="134">
        <v>6.5000000000000002E-2</v>
      </c>
      <c r="K69" s="134">
        <v>6.5000000000000002E-2</v>
      </c>
      <c r="L69" s="134">
        <v>6.4000000000000001E-2</v>
      </c>
      <c r="M69" s="134">
        <v>6.4000000000000001E-2</v>
      </c>
      <c r="P69" s="128">
        <v>62</v>
      </c>
      <c r="Q69" s="134">
        <v>6.4000000000000001E-2</v>
      </c>
    </row>
    <row r="70" spans="1:17" x14ac:dyDescent="0.25">
      <c r="A70" s="128">
        <v>63</v>
      </c>
      <c r="B70" s="134">
        <v>6.7000000000000004E-2</v>
      </c>
      <c r="C70" s="134">
        <v>6.7000000000000004E-2</v>
      </c>
      <c r="D70" s="134">
        <v>6.7000000000000004E-2</v>
      </c>
      <c r="E70" s="134">
        <v>6.7000000000000004E-2</v>
      </c>
      <c r="F70" s="134">
        <v>6.7000000000000004E-2</v>
      </c>
      <c r="G70" s="134">
        <v>6.7000000000000004E-2</v>
      </c>
      <c r="H70" s="134">
        <v>6.6000000000000003E-2</v>
      </c>
      <c r="I70" s="134">
        <v>6.6000000000000003E-2</v>
      </c>
      <c r="J70" s="134">
        <v>6.6000000000000003E-2</v>
      </c>
      <c r="K70" s="134">
        <v>6.6000000000000003E-2</v>
      </c>
      <c r="L70" s="134">
        <v>6.6000000000000003E-2</v>
      </c>
      <c r="M70" s="134">
        <v>6.6000000000000003E-2</v>
      </c>
      <c r="P70" s="128">
        <v>63</v>
      </c>
      <c r="Q70" s="134">
        <v>6.6000000000000003E-2</v>
      </c>
    </row>
    <row r="71" spans="1:17" x14ac:dyDescent="0.25">
      <c r="A71" s="128">
        <v>64</v>
      </c>
      <c r="B71" s="134">
        <v>6.8000000000000005E-2</v>
      </c>
      <c r="C71" s="134">
        <v>6.8000000000000005E-2</v>
      </c>
      <c r="D71" s="134">
        <v>6.8000000000000005E-2</v>
      </c>
      <c r="E71" s="134">
        <v>6.8000000000000005E-2</v>
      </c>
      <c r="F71" s="134">
        <v>6.8000000000000005E-2</v>
      </c>
      <c r="G71" s="134">
        <v>6.8000000000000005E-2</v>
      </c>
      <c r="H71" s="134">
        <v>6.8000000000000005E-2</v>
      </c>
      <c r="I71" s="134">
        <v>6.8000000000000005E-2</v>
      </c>
      <c r="J71" s="134">
        <v>6.7000000000000004E-2</v>
      </c>
      <c r="K71" s="134">
        <v>6.7000000000000004E-2</v>
      </c>
      <c r="L71" s="134">
        <v>6.7000000000000004E-2</v>
      </c>
      <c r="M71" s="134">
        <v>6.7000000000000004E-2</v>
      </c>
      <c r="P71" s="128">
        <v>64</v>
      </c>
      <c r="Q71" s="134">
        <v>6.7000000000000004E-2</v>
      </c>
    </row>
  </sheetData>
  <conditionalFormatting sqref="A6:A21">
    <cfRule type="expression" dxfId="197" priority="5" stopIfTrue="1">
      <formula>MOD(ROW(),2)=0</formula>
    </cfRule>
    <cfRule type="expression" dxfId="196" priority="6" stopIfTrue="1">
      <formula>MOD(ROW(),2)&lt;&gt;0</formula>
    </cfRule>
  </conditionalFormatting>
  <conditionalFormatting sqref="A26:A71">
    <cfRule type="expression" dxfId="195" priority="17" stopIfTrue="1">
      <formula>MOD(ROW(),2)=0</formula>
    </cfRule>
    <cfRule type="expression" dxfId="194" priority="18" stopIfTrue="1">
      <formula>MOD(ROW(),2)&lt;&gt;0</formula>
    </cfRule>
  </conditionalFormatting>
  <conditionalFormatting sqref="B12">
    <cfRule type="expression" dxfId="193" priority="27" stopIfTrue="1">
      <formula>MOD(ROW(),2)=0</formula>
    </cfRule>
    <cfRule type="expression" dxfId="192" priority="28" stopIfTrue="1">
      <formula>MOD(ROW(),2)&lt;&gt;0</formula>
    </cfRule>
  </conditionalFormatting>
  <conditionalFormatting sqref="B17:B21">
    <cfRule type="expression" dxfId="191" priority="3" stopIfTrue="1">
      <formula>MOD(ROW(),2)=0</formula>
    </cfRule>
    <cfRule type="expression" dxfId="190" priority="4" stopIfTrue="1">
      <formula>MOD(ROW(),2)&lt;&gt;0</formula>
    </cfRule>
  </conditionalFormatting>
  <conditionalFormatting sqref="B6:M6 C7:M21">
    <cfRule type="expression" dxfId="189" priority="46" stopIfTrue="1">
      <formula>MOD(ROW(),2)&lt;&gt;0</formula>
    </cfRule>
    <cfRule type="expression" dxfId="188" priority="45" stopIfTrue="1">
      <formula>MOD(ROW(),2)=0</formula>
    </cfRule>
  </conditionalFormatting>
  <conditionalFormatting sqref="B6:M21">
    <cfRule type="expression" dxfId="187" priority="38" stopIfTrue="1">
      <formula>MOD(ROW(),2)&lt;&gt;0</formula>
    </cfRule>
    <cfRule type="expression" dxfId="186" priority="37" stopIfTrue="1">
      <formula>MOD(ROW(),2)=0</formula>
    </cfRule>
  </conditionalFormatting>
  <conditionalFormatting sqref="B26:M71">
    <cfRule type="expression" dxfId="185" priority="19" stopIfTrue="1">
      <formula>MOD(ROW(),2)=0</formula>
    </cfRule>
    <cfRule type="expression" dxfId="184" priority="20" stopIfTrue="1">
      <formula>MOD(ROW(),2)&lt;&gt;0</formula>
    </cfRule>
  </conditionalFormatting>
  <conditionalFormatting sqref="P6:P21">
    <cfRule type="expression" dxfId="183" priority="31" stopIfTrue="1">
      <formula>MOD(ROW(),2)=0</formula>
    </cfRule>
    <cfRule type="expression" dxfId="182" priority="32" stopIfTrue="1">
      <formula>MOD(ROW(),2)&lt;&gt;0</formula>
    </cfRule>
  </conditionalFormatting>
  <conditionalFormatting sqref="P26:P71">
    <cfRule type="expression" dxfId="181" priority="13" stopIfTrue="1">
      <formula>MOD(ROW(),2)=0</formula>
    </cfRule>
    <cfRule type="expression" dxfId="180" priority="14" stopIfTrue="1">
      <formula>MOD(ROW(),2)&lt;&gt;0</formula>
    </cfRule>
  </conditionalFormatting>
  <conditionalFormatting sqref="Q6:Q21">
    <cfRule type="expression" dxfId="179" priority="54" stopIfTrue="1">
      <formula>MOD(ROW(),2)&lt;&gt;0</formula>
    </cfRule>
    <cfRule type="expression" dxfId="178" priority="53" stopIfTrue="1">
      <formula>MOD(ROW(),2)=0</formula>
    </cfRule>
  </conditionalFormatting>
  <conditionalFormatting sqref="Q12">
    <cfRule type="expression" dxfId="177" priority="25" stopIfTrue="1">
      <formula>MOD(ROW(),2)=0</formula>
    </cfRule>
    <cfRule type="expression" dxfId="176" priority="26" stopIfTrue="1">
      <formula>MOD(ROW(),2)&lt;&gt;0</formula>
    </cfRule>
  </conditionalFormatting>
  <conditionalFormatting sqref="Q17:Q21">
    <cfRule type="expression" dxfId="175" priority="2" stopIfTrue="1">
      <formula>MOD(ROW(),2)&lt;&gt;0</formula>
    </cfRule>
    <cfRule type="expression" dxfId="174" priority="1" stopIfTrue="1">
      <formula>MOD(ROW(),2)=0</formula>
    </cfRule>
  </conditionalFormatting>
  <conditionalFormatting sqref="Q26:Q71">
    <cfRule type="expression" dxfId="173" priority="16" stopIfTrue="1">
      <formula>MOD(ROW(),2)&lt;&gt;0</formula>
    </cfRule>
    <cfRule type="expression" dxfId="172" priority="15" stopIfTrue="1">
      <formula>MOD(ROW(),2)=0</formula>
    </cfRule>
  </conditionalFormatting>
  <hyperlinks>
    <hyperlink ref="B24" location="Assumptions!A1" display="Assumptions" xr:uid="{FBAF23D6-E198-447A-AF7D-8EB8929177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01"/>
  <dimension ref="A1:M78"/>
  <sheetViews>
    <sheetView workbookViewId="0"/>
  </sheetViews>
  <sheetFormatPr defaultColWidth="10" defaultRowHeight="12.5" x14ac:dyDescent="0.25"/>
  <cols>
    <col min="1" max="1" width="31.54296875" style="28" customWidth="1"/>
    <col min="2" max="13" width="22.54296875" style="28" customWidth="1"/>
    <col min="14" max="16384" width="10" style="28"/>
  </cols>
  <sheetData>
    <row r="1" spans="1:13" ht="20" x14ac:dyDescent="0.4">
      <c r="A1" s="53" t="s">
        <v>0</v>
      </c>
      <c r="B1" s="54"/>
      <c r="C1" s="54"/>
      <c r="D1" s="54"/>
      <c r="E1" s="54"/>
      <c r="F1" s="54"/>
      <c r="G1" s="54"/>
      <c r="H1" s="54"/>
      <c r="I1" s="54"/>
    </row>
    <row r="2" spans="1:13"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3" ht="15.5" x14ac:dyDescent="0.35">
      <c r="A3" s="57" t="str">
        <f>TABLE_FACTOR_TYPE_1&amp;" - x-"&amp;TABLE_SERIES_NUMBER_1</f>
        <v>EPA - x-720</v>
      </c>
      <c r="B3" s="56"/>
      <c r="C3" s="56"/>
      <c r="D3" s="56"/>
      <c r="E3" s="56"/>
      <c r="F3" s="56"/>
      <c r="G3" s="56"/>
      <c r="H3" s="56"/>
      <c r="I3" s="56"/>
    </row>
    <row r="4" spans="1:13" x14ac:dyDescent="0.25">
      <c r="A4" s="58"/>
    </row>
    <row r="6" spans="1:13" ht="13" x14ac:dyDescent="0.3">
      <c r="A6" s="86" t="s">
        <v>716</v>
      </c>
      <c r="B6" s="111" t="s">
        <v>717</v>
      </c>
      <c r="C6" s="111"/>
      <c r="D6" s="111"/>
      <c r="E6" s="111"/>
      <c r="F6" s="111"/>
      <c r="G6" s="111"/>
      <c r="H6" s="111"/>
      <c r="I6" s="111"/>
      <c r="J6" s="111"/>
      <c r="K6" s="111"/>
      <c r="L6" s="111"/>
      <c r="M6" s="111"/>
    </row>
    <row r="7" spans="1:13" x14ac:dyDescent="0.25">
      <c r="A7" s="87" t="s">
        <v>797</v>
      </c>
      <c r="B7" s="111" t="s">
        <v>316</v>
      </c>
      <c r="C7" s="111"/>
      <c r="D7" s="111"/>
      <c r="E7" s="111"/>
      <c r="F7" s="111"/>
      <c r="G7" s="111"/>
      <c r="H7" s="111"/>
      <c r="I7" s="111"/>
      <c r="J7" s="111"/>
      <c r="K7" s="111"/>
      <c r="L7" s="111"/>
      <c r="M7" s="111"/>
    </row>
    <row r="8" spans="1:13" x14ac:dyDescent="0.25">
      <c r="A8" s="87" t="s">
        <v>798</v>
      </c>
      <c r="B8" s="111" t="s">
        <v>92</v>
      </c>
      <c r="C8" s="111"/>
      <c r="D8" s="111"/>
      <c r="E8" s="111"/>
      <c r="F8" s="111"/>
      <c r="G8" s="111"/>
      <c r="H8" s="111"/>
      <c r="I8" s="111"/>
      <c r="J8" s="111"/>
      <c r="K8" s="111"/>
      <c r="L8" s="111"/>
      <c r="M8" s="111"/>
    </row>
    <row r="9" spans="1:13" x14ac:dyDescent="0.25">
      <c r="A9" s="87" t="s">
        <v>300</v>
      </c>
      <c r="B9" s="111" t="s">
        <v>636</v>
      </c>
      <c r="C9" s="111"/>
      <c r="D9" s="111"/>
      <c r="E9" s="111"/>
      <c r="F9" s="111"/>
      <c r="G9" s="111"/>
      <c r="H9" s="111"/>
      <c r="I9" s="111"/>
      <c r="J9" s="111"/>
      <c r="K9" s="111"/>
      <c r="L9" s="111"/>
      <c r="M9" s="111"/>
    </row>
    <row r="10" spans="1:13" x14ac:dyDescent="0.25">
      <c r="A10" s="87" t="s">
        <v>6</v>
      </c>
      <c r="B10" s="111" t="s">
        <v>660</v>
      </c>
      <c r="C10" s="111"/>
      <c r="D10" s="111"/>
      <c r="E10" s="111"/>
      <c r="F10" s="111"/>
      <c r="G10" s="111"/>
      <c r="H10" s="111"/>
      <c r="I10" s="111"/>
      <c r="J10" s="111"/>
      <c r="K10" s="111"/>
      <c r="L10" s="111"/>
      <c r="M10" s="111"/>
    </row>
    <row r="11" spans="1:13" x14ac:dyDescent="0.25">
      <c r="A11" s="87" t="s">
        <v>301</v>
      </c>
      <c r="B11" s="111" t="s">
        <v>319</v>
      </c>
      <c r="C11" s="111"/>
      <c r="D11" s="111"/>
      <c r="E11" s="111"/>
      <c r="F11" s="111"/>
      <c r="G11" s="111"/>
      <c r="H11" s="111"/>
      <c r="I11" s="111"/>
      <c r="J11" s="111"/>
      <c r="K11" s="111"/>
      <c r="L11" s="111"/>
      <c r="M11" s="111"/>
    </row>
    <row r="12" spans="1:13" x14ac:dyDescent="0.25">
      <c r="A12" s="87" t="s">
        <v>302</v>
      </c>
      <c r="B12" s="111" t="s">
        <v>661</v>
      </c>
      <c r="C12" s="111"/>
      <c r="D12" s="111"/>
      <c r="E12" s="111"/>
      <c r="F12" s="111"/>
      <c r="G12" s="111"/>
      <c r="H12" s="111"/>
      <c r="I12" s="111"/>
      <c r="J12" s="111"/>
      <c r="K12" s="111"/>
      <c r="L12" s="111"/>
      <c r="M12" s="111"/>
    </row>
    <row r="13" spans="1:13" x14ac:dyDescent="0.25">
      <c r="A13" s="87" t="s">
        <v>813</v>
      </c>
      <c r="B13" s="111">
        <v>0</v>
      </c>
      <c r="C13" s="111"/>
      <c r="D13" s="111"/>
      <c r="E13" s="111"/>
      <c r="F13" s="111"/>
      <c r="G13" s="111"/>
      <c r="H13" s="111"/>
      <c r="I13" s="111"/>
      <c r="J13" s="111"/>
      <c r="K13" s="111"/>
      <c r="L13" s="111"/>
      <c r="M13" s="111"/>
    </row>
    <row r="14" spans="1:13" x14ac:dyDescent="0.25">
      <c r="A14" s="87" t="s">
        <v>304</v>
      </c>
      <c r="B14" s="111">
        <v>720</v>
      </c>
      <c r="C14" s="111"/>
      <c r="D14" s="111"/>
      <c r="E14" s="111"/>
      <c r="F14" s="111"/>
      <c r="G14" s="111"/>
      <c r="H14" s="111"/>
      <c r="I14" s="111"/>
      <c r="J14" s="111"/>
      <c r="K14" s="111"/>
      <c r="L14" s="111"/>
      <c r="M14" s="111"/>
    </row>
    <row r="15" spans="1:13" x14ac:dyDescent="0.25">
      <c r="A15" s="87" t="s">
        <v>727</v>
      </c>
      <c r="B15" s="111" t="s">
        <v>662</v>
      </c>
      <c r="C15" s="111"/>
      <c r="D15" s="111"/>
      <c r="E15" s="111"/>
      <c r="F15" s="111"/>
      <c r="G15" s="111"/>
      <c r="H15" s="111"/>
      <c r="I15" s="111"/>
      <c r="J15" s="111"/>
      <c r="K15" s="111"/>
      <c r="L15" s="111"/>
      <c r="M15" s="111"/>
    </row>
    <row r="16" spans="1:13" x14ac:dyDescent="0.25">
      <c r="A16" s="87" t="s">
        <v>306</v>
      </c>
      <c r="B16" s="111" t="s">
        <v>663</v>
      </c>
      <c r="C16" s="111"/>
      <c r="D16" s="111"/>
      <c r="E16" s="111"/>
      <c r="F16" s="111"/>
      <c r="G16" s="111"/>
      <c r="H16" s="111"/>
      <c r="I16" s="111"/>
      <c r="J16" s="111"/>
      <c r="K16" s="111"/>
      <c r="L16" s="111"/>
      <c r="M16" s="111"/>
    </row>
    <row r="17" spans="1:13" x14ac:dyDescent="0.25">
      <c r="A17" s="87" t="s">
        <v>800</v>
      </c>
      <c r="B17" s="111"/>
      <c r="C17" s="111"/>
      <c r="D17" s="111"/>
      <c r="E17" s="111"/>
      <c r="F17" s="111"/>
      <c r="G17" s="111"/>
      <c r="H17" s="111"/>
      <c r="I17" s="111"/>
      <c r="J17" s="111"/>
      <c r="K17" s="111"/>
      <c r="L17" s="111"/>
      <c r="M17" s="111"/>
    </row>
    <row r="18" spans="1:13" x14ac:dyDescent="0.25">
      <c r="A18" s="87" t="s">
        <v>308</v>
      </c>
      <c r="B18" s="122">
        <v>45184</v>
      </c>
      <c r="C18" s="111"/>
      <c r="D18" s="111"/>
      <c r="E18" s="111"/>
      <c r="F18" s="111"/>
      <c r="G18" s="111"/>
      <c r="H18" s="111"/>
      <c r="I18" s="111"/>
      <c r="J18" s="111"/>
      <c r="K18" s="111"/>
      <c r="L18" s="111"/>
      <c r="M18" s="111"/>
    </row>
    <row r="19" spans="1:13" x14ac:dyDescent="0.25">
      <c r="A19" s="87" t="s">
        <v>309</v>
      </c>
      <c r="B19" s="122">
        <v>45383</v>
      </c>
      <c r="C19" s="111"/>
      <c r="D19" s="111"/>
      <c r="E19" s="111"/>
      <c r="F19" s="111"/>
      <c r="G19" s="111"/>
      <c r="H19" s="111"/>
      <c r="I19" s="111"/>
      <c r="J19" s="111"/>
      <c r="K19" s="111"/>
      <c r="L19" s="111"/>
      <c r="M19" s="111"/>
    </row>
    <row r="20" spans="1:13" x14ac:dyDescent="0.25">
      <c r="A20" s="87" t="s">
        <v>310</v>
      </c>
      <c r="B20" s="111" t="s">
        <v>324</v>
      </c>
      <c r="C20" s="111"/>
      <c r="D20" s="111"/>
      <c r="E20" s="111"/>
      <c r="F20" s="111"/>
      <c r="G20" s="111"/>
      <c r="H20" s="111"/>
      <c r="I20" s="111"/>
      <c r="J20" s="111"/>
      <c r="K20" s="111"/>
      <c r="L20" s="111"/>
      <c r="M20" s="111"/>
    </row>
    <row r="21" spans="1:13" x14ac:dyDescent="0.25">
      <c r="A21" s="87" t="s">
        <v>311</v>
      </c>
      <c r="B21" s="111" t="s">
        <v>325</v>
      </c>
      <c r="C21" s="111"/>
      <c r="D21" s="111"/>
      <c r="E21" s="111"/>
      <c r="F21" s="111"/>
      <c r="G21" s="111"/>
      <c r="H21" s="111"/>
      <c r="I21" s="111"/>
      <c r="J21" s="111"/>
      <c r="K21" s="111"/>
      <c r="L21" s="111"/>
      <c r="M21" s="111"/>
    </row>
    <row r="23" spans="1:13" x14ac:dyDescent="0.25">
      <c r="B23" s="104" t="str">
        <f>HYPERLINK("#'Factor List'!A1","Back to Factor List")</f>
        <v>Back to Factor List</v>
      </c>
    </row>
    <row r="24" spans="1:13" x14ac:dyDescent="0.25">
      <c r="B24" s="104" t="s">
        <v>13</v>
      </c>
    </row>
    <row r="26" spans="1:13" ht="13" x14ac:dyDescent="0.25">
      <c r="A26" s="127" t="s">
        <v>986</v>
      </c>
      <c r="B26" s="127">
        <v>0</v>
      </c>
      <c r="C26" s="127">
        <v>1</v>
      </c>
      <c r="D26" s="127">
        <v>2</v>
      </c>
      <c r="E26" s="127">
        <v>3</v>
      </c>
      <c r="F26" s="127">
        <v>4</v>
      </c>
      <c r="G26" s="127">
        <v>5</v>
      </c>
      <c r="H26" s="127">
        <v>6</v>
      </c>
      <c r="I26" s="127">
        <v>7</v>
      </c>
      <c r="J26" s="127">
        <v>8</v>
      </c>
      <c r="K26" s="127">
        <v>9</v>
      </c>
      <c r="L26" s="127">
        <v>10</v>
      </c>
      <c r="M26" s="127">
        <v>11</v>
      </c>
    </row>
    <row r="27" spans="1:13" x14ac:dyDescent="0.25">
      <c r="A27" s="128">
        <v>0</v>
      </c>
      <c r="B27" s="135">
        <v>0</v>
      </c>
      <c r="C27" s="135">
        <v>0</v>
      </c>
      <c r="D27" s="135">
        <v>0</v>
      </c>
      <c r="E27" s="135">
        <v>0.01</v>
      </c>
      <c r="F27" s="135">
        <v>0.01</v>
      </c>
      <c r="G27" s="135">
        <v>0.01</v>
      </c>
      <c r="H27" s="135">
        <v>0.01</v>
      </c>
      <c r="I27" s="135">
        <v>0.01</v>
      </c>
      <c r="J27" s="135">
        <v>0.02</v>
      </c>
      <c r="K27" s="135">
        <v>0.02</v>
      </c>
      <c r="L27" s="135">
        <v>0.02</v>
      </c>
      <c r="M27" s="135">
        <v>0.02</v>
      </c>
    </row>
    <row r="28" spans="1:13" x14ac:dyDescent="0.25">
      <c r="A28" s="128">
        <v>1</v>
      </c>
      <c r="B28" s="135">
        <v>0.02</v>
      </c>
      <c r="C28" s="135">
        <v>0.03</v>
      </c>
      <c r="D28" s="135">
        <v>0.03</v>
      </c>
      <c r="E28" s="135">
        <v>0.03</v>
      </c>
      <c r="F28" s="135">
        <v>0.03</v>
      </c>
      <c r="G28" s="135">
        <v>0.03</v>
      </c>
      <c r="H28" s="135">
        <v>0.04</v>
      </c>
      <c r="I28" s="135">
        <v>0.04</v>
      </c>
      <c r="J28" s="135">
        <v>0.04</v>
      </c>
      <c r="K28" s="135">
        <v>0.04</v>
      </c>
      <c r="L28" s="135">
        <v>0.04</v>
      </c>
      <c r="M28" s="135">
        <v>0.05</v>
      </c>
    </row>
    <row r="29" spans="1:13" x14ac:dyDescent="0.25">
      <c r="A29" s="128">
        <v>2</v>
      </c>
      <c r="B29" s="135">
        <v>0.05</v>
      </c>
      <c r="C29" s="135">
        <v>0.05</v>
      </c>
      <c r="D29" s="135">
        <v>0.05</v>
      </c>
      <c r="E29" s="135">
        <v>0.06</v>
      </c>
      <c r="F29" s="135">
        <v>0.06</v>
      </c>
      <c r="G29" s="135">
        <v>0.06</v>
      </c>
      <c r="H29" s="135">
        <v>0.06</v>
      </c>
      <c r="I29" s="135">
        <v>0.06</v>
      </c>
      <c r="J29" s="135">
        <v>7.0000000000000007E-2</v>
      </c>
      <c r="K29" s="135">
        <v>7.0000000000000007E-2</v>
      </c>
      <c r="L29" s="135">
        <v>7.0000000000000007E-2</v>
      </c>
      <c r="M29" s="135">
        <v>7.0000000000000007E-2</v>
      </c>
    </row>
    <row r="30" spans="1:13" x14ac:dyDescent="0.25">
      <c r="A30" s="128">
        <v>3</v>
      </c>
      <c r="B30" s="135">
        <v>0.08</v>
      </c>
      <c r="C30" s="135">
        <v>0.08</v>
      </c>
      <c r="D30" s="135">
        <v>0.08</v>
      </c>
      <c r="E30" s="135">
        <v>0.08</v>
      </c>
      <c r="F30" s="135">
        <v>0.08</v>
      </c>
      <c r="G30" s="135">
        <v>0.09</v>
      </c>
      <c r="H30" s="135">
        <v>0.09</v>
      </c>
      <c r="I30" s="135">
        <v>0.09</v>
      </c>
      <c r="J30" s="135">
        <v>0.09</v>
      </c>
      <c r="K30" s="135">
        <v>0.1</v>
      </c>
      <c r="L30" s="135">
        <v>0.1</v>
      </c>
      <c r="M30" s="135">
        <v>0.1</v>
      </c>
    </row>
    <row r="31" spans="1:13" x14ac:dyDescent="0.25">
      <c r="A31" s="128">
        <v>4</v>
      </c>
      <c r="B31" s="135">
        <v>0.1</v>
      </c>
      <c r="C31" s="135">
        <v>0.11</v>
      </c>
      <c r="D31" s="135">
        <v>0.11</v>
      </c>
      <c r="E31" s="135">
        <v>0.11</v>
      </c>
      <c r="F31" s="135">
        <v>0.11</v>
      </c>
      <c r="G31" s="135">
        <v>0.12</v>
      </c>
      <c r="H31" s="135">
        <v>0.12</v>
      </c>
      <c r="I31" s="135">
        <v>0.12</v>
      </c>
      <c r="J31" s="135">
        <v>0.12</v>
      </c>
      <c r="K31" s="135">
        <v>0.13</v>
      </c>
      <c r="L31" s="135">
        <v>0.13</v>
      </c>
      <c r="M31" s="135">
        <v>0.13</v>
      </c>
    </row>
    <row r="32" spans="1:13" x14ac:dyDescent="0.25">
      <c r="A32" s="128">
        <v>5</v>
      </c>
      <c r="B32" s="135">
        <v>0.13</v>
      </c>
      <c r="C32" s="135">
        <v>0.14000000000000001</v>
      </c>
      <c r="D32" s="135">
        <v>0.14000000000000001</v>
      </c>
      <c r="E32" s="135">
        <v>0.14000000000000001</v>
      </c>
      <c r="F32" s="135">
        <v>0.14000000000000001</v>
      </c>
      <c r="G32" s="135">
        <v>0.15</v>
      </c>
      <c r="H32" s="135">
        <v>0.15</v>
      </c>
      <c r="I32" s="135">
        <v>0.15</v>
      </c>
      <c r="J32" s="135">
        <v>0.15</v>
      </c>
      <c r="K32" s="135">
        <v>0.16</v>
      </c>
      <c r="L32" s="135">
        <v>0.16</v>
      </c>
      <c r="M32" s="135">
        <v>0.16</v>
      </c>
    </row>
    <row r="33" spans="1:13" x14ac:dyDescent="0.25">
      <c r="A33" s="128">
        <v>6</v>
      </c>
      <c r="B33" s="135">
        <v>0.16</v>
      </c>
      <c r="C33" s="135">
        <v>0.17</v>
      </c>
      <c r="D33" s="135">
        <v>0.17</v>
      </c>
      <c r="E33" s="135">
        <v>0.17</v>
      </c>
      <c r="F33" s="135">
        <v>0.17</v>
      </c>
      <c r="G33" s="135">
        <v>0.18</v>
      </c>
      <c r="H33" s="135">
        <v>0.18</v>
      </c>
      <c r="I33" s="135">
        <v>0.18</v>
      </c>
      <c r="J33" s="135">
        <v>0.19</v>
      </c>
      <c r="K33" s="135">
        <v>0.19</v>
      </c>
      <c r="L33" s="135">
        <v>0.19</v>
      </c>
      <c r="M33" s="135">
        <v>0.19</v>
      </c>
    </row>
    <row r="34" spans="1:13" x14ac:dyDescent="0.25">
      <c r="A34" s="128">
        <v>7</v>
      </c>
      <c r="B34" s="135">
        <v>0.2</v>
      </c>
      <c r="C34" s="135">
        <v>0.2</v>
      </c>
      <c r="D34" s="135">
        <v>0.2</v>
      </c>
      <c r="E34" s="135">
        <v>0.21</v>
      </c>
      <c r="F34" s="135">
        <v>0.21</v>
      </c>
      <c r="G34" s="135">
        <v>0.21</v>
      </c>
      <c r="H34" s="135">
        <v>0.21</v>
      </c>
      <c r="I34" s="135">
        <v>0.22</v>
      </c>
      <c r="J34" s="135">
        <v>0.22</v>
      </c>
      <c r="K34" s="135">
        <v>0.22</v>
      </c>
      <c r="L34" s="135">
        <v>0.23</v>
      </c>
      <c r="M34" s="135">
        <v>0.23</v>
      </c>
    </row>
    <row r="35" spans="1:13" x14ac:dyDescent="0.25">
      <c r="A35" s="128">
        <v>8</v>
      </c>
      <c r="B35" s="135">
        <v>0.23</v>
      </c>
      <c r="C35" s="135">
        <v>0.23</v>
      </c>
      <c r="D35" s="135">
        <v>0.24</v>
      </c>
      <c r="E35" s="135">
        <v>0.24</v>
      </c>
      <c r="F35" s="135">
        <v>0.24</v>
      </c>
      <c r="G35" s="135">
        <v>0.25</v>
      </c>
      <c r="H35" s="135">
        <v>0.25</v>
      </c>
      <c r="I35" s="135">
        <v>0.25</v>
      </c>
      <c r="J35" s="135">
        <v>0.26</v>
      </c>
      <c r="K35" s="135">
        <v>0.26</v>
      </c>
      <c r="L35" s="135">
        <v>0.26</v>
      </c>
      <c r="M35" s="135">
        <v>0.26</v>
      </c>
    </row>
    <row r="36" spans="1:13" x14ac:dyDescent="0.25">
      <c r="A36" s="128">
        <v>9</v>
      </c>
      <c r="B36" s="135">
        <v>0.27</v>
      </c>
      <c r="C36" s="135">
        <v>0.27</v>
      </c>
      <c r="D36" s="135">
        <v>0.27</v>
      </c>
      <c r="E36" s="135">
        <v>0.28000000000000003</v>
      </c>
      <c r="F36" s="135">
        <v>0.28000000000000003</v>
      </c>
      <c r="G36" s="135">
        <v>0.28000000000000003</v>
      </c>
      <c r="H36" s="135">
        <v>0.28999999999999998</v>
      </c>
      <c r="I36" s="135">
        <v>0.28999999999999998</v>
      </c>
      <c r="J36" s="135">
        <v>0.28999999999999998</v>
      </c>
      <c r="K36" s="135">
        <v>0.3</v>
      </c>
      <c r="L36" s="135">
        <v>0.3</v>
      </c>
      <c r="M36" s="135">
        <v>0.3</v>
      </c>
    </row>
    <row r="37" spans="1:13" x14ac:dyDescent="0.25">
      <c r="A37" s="128">
        <v>10</v>
      </c>
      <c r="B37" s="135">
        <v>0.31</v>
      </c>
      <c r="C37" s="135">
        <v>0.31</v>
      </c>
      <c r="D37" s="135">
        <v>0.31</v>
      </c>
      <c r="E37" s="135">
        <v>0.32</v>
      </c>
      <c r="F37" s="135">
        <v>0.32</v>
      </c>
      <c r="G37" s="135">
        <v>0.32</v>
      </c>
      <c r="H37" s="135">
        <v>0.33</v>
      </c>
      <c r="I37" s="135">
        <v>0.33</v>
      </c>
      <c r="J37" s="135">
        <v>0.33</v>
      </c>
      <c r="K37" s="135">
        <v>0.34</v>
      </c>
      <c r="L37" s="135">
        <v>0.34</v>
      </c>
      <c r="M37" s="135">
        <v>0.34</v>
      </c>
    </row>
    <row r="38" spans="1:13" x14ac:dyDescent="0.25">
      <c r="A38" s="128">
        <v>11</v>
      </c>
      <c r="B38" s="135">
        <v>0.35</v>
      </c>
      <c r="C38" s="135">
        <v>0.35</v>
      </c>
      <c r="D38" s="135">
        <v>0.35</v>
      </c>
      <c r="E38" s="135">
        <v>0.36</v>
      </c>
      <c r="F38" s="135">
        <v>0.36</v>
      </c>
      <c r="G38" s="135">
        <v>0.36</v>
      </c>
      <c r="H38" s="135">
        <v>0.37</v>
      </c>
      <c r="I38" s="135">
        <v>0.37</v>
      </c>
      <c r="J38" s="135">
        <v>0.37</v>
      </c>
      <c r="K38" s="135">
        <v>0.38</v>
      </c>
      <c r="L38" s="135">
        <v>0.38</v>
      </c>
      <c r="M38" s="135">
        <v>0.39</v>
      </c>
    </row>
    <row r="39" spans="1:13" x14ac:dyDescent="0.25">
      <c r="A39" s="128">
        <v>12</v>
      </c>
      <c r="B39" s="135">
        <v>0.39</v>
      </c>
      <c r="C39" s="135">
        <v>0.39</v>
      </c>
      <c r="D39" s="135">
        <v>0.4</v>
      </c>
      <c r="E39" s="135">
        <v>0.4</v>
      </c>
      <c r="F39" s="135">
        <v>0.4</v>
      </c>
      <c r="G39" s="135">
        <v>0.41</v>
      </c>
      <c r="H39" s="135">
        <v>0.41</v>
      </c>
      <c r="I39" s="135">
        <v>0.42</v>
      </c>
      <c r="J39" s="135">
        <v>0.42</v>
      </c>
      <c r="K39" s="135">
        <v>0.42</v>
      </c>
      <c r="L39" s="135">
        <v>0.43</v>
      </c>
      <c r="M39" s="135">
        <v>0.43</v>
      </c>
    </row>
    <row r="40" spans="1:13" x14ac:dyDescent="0.25">
      <c r="A40" s="128">
        <v>13</v>
      </c>
      <c r="B40" s="135">
        <v>0.43</v>
      </c>
      <c r="C40" s="135">
        <v>0.44</v>
      </c>
      <c r="D40" s="135">
        <v>0.44</v>
      </c>
      <c r="E40" s="135">
        <v>0.45</v>
      </c>
      <c r="F40" s="135">
        <v>0.45</v>
      </c>
      <c r="G40" s="135">
        <v>0.45</v>
      </c>
      <c r="H40" s="135">
        <v>0.46</v>
      </c>
      <c r="I40" s="135">
        <v>0.46</v>
      </c>
      <c r="J40" s="135">
        <v>0.47</v>
      </c>
      <c r="K40" s="135">
        <v>0.47</v>
      </c>
      <c r="L40" s="135">
        <v>0.47</v>
      </c>
      <c r="M40" s="135">
        <v>0.48</v>
      </c>
    </row>
    <row r="41" spans="1:13" x14ac:dyDescent="0.25">
      <c r="A41" s="128">
        <v>14</v>
      </c>
      <c r="B41" s="135">
        <v>0.48</v>
      </c>
      <c r="C41" s="135">
        <v>0.48</v>
      </c>
      <c r="D41" s="135">
        <v>0.49</v>
      </c>
      <c r="E41" s="135">
        <v>0.49</v>
      </c>
      <c r="F41" s="135">
        <v>0.5</v>
      </c>
      <c r="G41" s="135">
        <v>0.5</v>
      </c>
      <c r="H41" s="135">
        <v>0.51</v>
      </c>
      <c r="I41" s="135">
        <v>0.51</v>
      </c>
      <c r="J41" s="135">
        <v>0.51</v>
      </c>
      <c r="K41" s="135">
        <v>0.52</v>
      </c>
      <c r="L41" s="135">
        <v>0.52</v>
      </c>
      <c r="M41" s="135">
        <v>0.53</v>
      </c>
    </row>
    <row r="42" spans="1:13" x14ac:dyDescent="0.25">
      <c r="A42" s="128">
        <v>15</v>
      </c>
      <c r="B42" s="135">
        <v>0.53</v>
      </c>
      <c r="C42" s="135">
        <v>0.53</v>
      </c>
      <c r="D42" s="135">
        <v>0.54</v>
      </c>
      <c r="E42" s="135">
        <v>0.54</v>
      </c>
      <c r="F42" s="135">
        <v>0.55000000000000004</v>
      </c>
      <c r="G42" s="135">
        <v>0.55000000000000004</v>
      </c>
      <c r="H42" s="135">
        <v>0.56000000000000005</v>
      </c>
      <c r="I42" s="135">
        <v>0.56000000000000005</v>
      </c>
      <c r="J42" s="135">
        <v>0.56000000000000005</v>
      </c>
      <c r="K42" s="135">
        <v>0.56999999999999995</v>
      </c>
      <c r="L42" s="135">
        <v>0.56999999999999995</v>
      </c>
      <c r="M42" s="135">
        <v>0.57999999999999996</v>
      </c>
    </row>
    <row r="43" spans="1:13" x14ac:dyDescent="0.25">
      <c r="A43" s="128">
        <v>16</v>
      </c>
      <c r="B43" s="135">
        <v>0.57999999999999996</v>
      </c>
      <c r="C43" s="135">
        <v>0.59</v>
      </c>
      <c r="D43" s="135">
        <v>0.59</v>
      </c>
      <c r="E43" s="135">
        <v>0.6</v>
      </c>
      <c r="F43" s="135">
        <v>0.6</v>
      </c>
      <c r="G43" s="135">
        <v>0.6</v>
      </c>
      <c r="H43" s="135">
        <v>0.61</v>
      </c>
      <c r="I43" s="135">
        <v>0.61</v>
      </c>
      <c r="J43" s="135">
        <v>0.62</v>
      </c>
      <c r="K43" s="135">
        <v>0.62</v>
      </c>
      <c r="L43" s="135">
        <v>0.63</v>
      </c>
      <c r="M43" s="135">
        <v>0.63</v>
      </c>
    </row>
    <row r="44" spans="1:13" x14ac:dyDescent="0.25">
      <c r="A44" s="128">
        <v>17</v>
      </c>
      <c r="B44" s="135">
        <v>0.64</v>
      </c>
      <c r="C44" s="135">
        <v>0.64</v>
      </c>
      <c r="D44" s="135">
        <v>0.65</v>
      </c>
      <c r="E44" s="135">
        <v>0.65</v>
      </c>
      <c r="F44" s="135">
        <v>0.66</v>
      </c>
      <c r="G44" s="135">
        <v>0.66</v>
      </c>
      <c r="H44" s="135">
        <v>0.67</v>
      </c>
      <c r="I44" s="135">
        <v>0.67</v>
      </c>
      <c r="J44" s="135">
        <v>0.68</v>
      </c>
      <c r="K44" s="135">
        <v>0.68</v>
      </c>
      <c r="L44" s="135">
        <v>0.68</v>
      </c>
      <c r="M44" s="135">
        <v>0.69</v>
      </c>
    </row>
    <row r="45" spans="1:13" x14ac:dyDescent="0.25">
      <c r="A45" s="128">
        <v>18</v>
      </c>
      <c r="B45" s="135">
        <v>0.69</v>
      </c>
      <c r="C45" s="135">
        <v>0.7</v>
      </c>
      <c r="D45" s="135">
        <v>0.7</v>
      </c>
      <c r="E45" s="135">
        <v>0.71</v>
      </c>
      <c r="F45" s="135">
        <v>0.71</v>
      </c>
      <c r="G45" s="135">
        <v>0.72</v>
      </c>
      <c r="H45" s="135">
        <v>0.72</v>
      </c>
      <c r="I45" s="135">
        <v>0.73</v>
      </c>
      <c r="J45" s="135">
        <v>0.73</v>
      </c>
      <c r="K45" s="135">
        <v>0.74</v>
      </c>
      <c r="L45" s="135">
        <v>0.74</v>
      </c>
      <c r="M45" s="135">
        <v>0.75</v>
      </c>
    </row>
    <row r="46" spans="1:13" x14ac:dyDescent="0.25">
      <c r="A46" s="128">
        <v>19</v>
      </c>
      <c r="B46" s="135">
        <v>0.75</v>
      </c>
      <c r="C46" s="135">
        <v>0.76</v>
      </c>
      <c r="D46" s="135">
        <v>0.76</v>
      </c>
      <c r="E46" s="135">
        <v>0.77</v>
      </c>
      <c r="F46" s="135">
        <v>0.78</v>
      </c>
      <c r="G46" s="135">
        <v>0.78</v>
      </c>
      <c r="H46" s="135">
        <v>0.79</v>
      </c>
      <c r="I46" s="135">
        <v>0.79</v>
      </c>
      <c r="J46" s="135">
        <v>0.8</v>
      </c>
      <c r="K46" s="135">
        <v>0.8</v>
      </c>
      <c r="L46" s="135">
        <v>0.81</v>
      </c>
      <c r="M46" s="135">
        <v>0.81</v>
      </c>
    </row>
    <row r="47" spans="1:13" x14ac:dyDescent="0.25">
      <c r="A47" s="128">
        <v>20</v>
      </c>
      <c r="B47" s="135">
        <v>0.82</v>
      </c>
      <c r="C47" s="135">
        <v>0.82</v>
      </c>
      <c r="D47" s="135">
        <v>0.83</v>
      </c>
      <c r="E47" s="135">
        <v>0.83</v>
      </c>
      <c r="F47" s="135">
        <v>0.84</v>
      </c>
      <c r="G47" s="135">
        <v>0.84</v>
      </c>
      <c r="H47" s="135">
        <v>0.85</v>
      </c>
      <c r="I47" s="135">
        <v>0.86</v>
      </c>
      <c r="J47" s="135">
        <v>0.86</v>
      </c>
      <c r="K47" s="135">
        <v>0.87</v>
      </c>
      <c r="L47" s="135">
        <v>0.87</v>
      </c>
      <c r="M47" s="135">
        <v>0.88</v>
      </c>
    </row>
    <row r="48" spans="1:13" x14ac:dyDescent="0.25">
      <c r="A48" s="128">
        <v>21</v>
      </c>
      <c r="B48" s="135">
        <v>0.88</v>
      </c>
      <c r="C48" s="135">
        <v>0.89</v>
      </c>
      <c r="D48" s="135">
        <v>0.9</v>
      </c>
      <c r="E48" s="135">
        <v>0.9</v>
      </c>
      <c r="F48" s="135">
        <v>0.91</v>
      </c>
      <c r="G48" s="135">
        <v>0.91</v>
      </c>
      <c r="H48" s="135">
        <v>0.92</v>
      </c>
      <c r="I48" s="135">
        <v>0.92</v>
      </c>
      <c r="J48" s="135">
        <v>0.93</v>
      </c>
      <c r="K48" s="135">
        <v>0.94</v>
      </c>
      <c r="L48" s="135">
        <v>0.94</v>
      </c>
      <c r="M48" s="135">
        <v>0.95</v>
      </c>
    </row>
    <row r="49" spans="1:13" x14ac:dyDescent="0.25">
      <c r="A49" s="128">
        <v>22</v>
      </c>
      <c r="B49" s="135">
        <v>0.95</v>
      </c>
      <c r="C49" s="135">
        <v>0.96</v>
      </c>
      <c r="D49" s="135">
        <v>0.97</v>
      </c>
      <c r="E49" s="135">
        <v>0.97</v>
      </c>
      <c r="F49" s="135">
        <v>0.98</v>
      </c>
      <c r="G49" s="135">
        <v>0.98</v>
      </c>
      <c r="H49" s="135">
        <v>0.99</v>
      </c>
      <c r="I49" s="135">
        <v>1</v>
      </c>
      <c r="J49" s="135">
        <v>1</v>
      </c>
      <c r="K49" s="135">
        <v>1.01</v>
      </c>
      <c r="L49" s="135">
        <v>1.01</v>
      </c>
      <c r="M49" s="135">
        <v>1.02</v>
      </c>
    </row>
    <row r="50" spans="1:13" x14ac:dyDescent="0.25">
      <c r="A50" s="128">
        <v>23</v>
      </c>
      <c r="B50" s="135">
        <v>1.03</v>
      </c>
      <c r="C50" s="135">
        <v>1.03</v>
      </c>
      <c r="D50" s="135">
        <v>1.04</v>
      </c>
      <c r="E50" s="135">
        <v>1.04</v>
      </c>
      <c r="F50" s="135">
        <v>1.05</v>
      </c>
      <c r="G50" s="135">
        <v>1.06</v>
      </c>
      <c r="H50" s="135">
        <v>1.06</v>
      </c>
      <c r="I50" s="135">
        <v>1.07</v>
      </c>
      <c r="J50" s="135">
        <v>1.08</v>
      </c>
      <c r="K50" s="135">
        <v>1.08</v>
      </c>
      <c r="L50" s="135">
        <v>1.0900000000000001</v>
      </c>
      <c r="M50" s="135">
        <v>1.1000000000000001</v>
      </c>
    </row>
    <row r="51" spans="1:13" x14ac:dyDescent="0.25">
      <c r="A51" s="128">
        <v>24</v>
      </c>
      <c r="B51" s="135">
        <v>1.1000000000000001</v>
      </c>
      <c r="C51" s="135">
        <v>1.1100000000000001</v>
      </c>
      <c r="D51" s="135">
        <v>1.1200000000000001</v>
      </c>
      <c r="E51" s="135">
        <v>1.1200000000000001</v>
      </c>
      <c r="F51" s="135">
        <v>1.1299999999999999</v>
      </c>
      <c r="G51" s="135">
        <v>1.1399999999999999</v>
      </c>
      <c r="H51" s="135">
        <v>1.1399999999999999</v>
      </c>
      <c r="I51" s="135">
        <v>1.1499999999999999</v>
      </c>
      <c r="J51" s="135">
        <v>1.1599999999999999</v>
      </c>
      <c r="K51" s="135">
        <v>1.1599999999999999</v>
      </c>
      <c r="L51" s="135">
        <v>1.17</v>
      </c>
      <c r="M51" s="135">
        <v>1.18</v>
      </c>
    </row>
    <row r="52" spans="1:13" x14ac:dyDescent="0.25">
      <c r="A52" s="128">
        <v>25</v>
      </c>
      <c r="B52" s="135">
        <v>1.18</v>
      </c>
      <c r="C52" s="135">
        <v>1.19</v>
      </c>
      <c r="D52" s="135">
        <v>1.2</v>
      </c>
      <c r="E52" s="135">
        <v>1.2</v>
      </c>
      <c r="F52" s="135">
        <v>1.21</v>
      </c>
      <c r="G52" s="135">
        <v>1.22</v>
      </c>
      <c r="H52" s="135">
        <v>1.22</v>
      </c>
      <c r="I52" s="135">
        <v>1.23</v>
      </c>
      <c r="J52" s="135">
        <v>1.24</v>
      </c>
      <c r="K52" s="135">
        <v>1.24</v>
      </c>
      <c r="L52" s="135">
        <v>1.25</v>
      </c>
      <c r="M52" s="135">
        <v>1.26</v>
      </c>
    </row>
    <row r="53" spans="1:13" x14ac:dyDescent="0.25">
      <c r="A53" s="128">
        <v>26</v>
      </c>
      <c r="B53" s="135">
        <v>1.27</v>
      </c>
      <c r="C53" s="135">
        <v>1.27</v>
      </c>
      <c r="D53" s="135">
        <v>1.28</v>
      </c>
      <c r="E53" s="135">
        <v>1.29</v>
      </c>
      <c r="F53" s="135">
        <v>1.29</v>
      </c>
      <c r="G53" s="135">
        <v>1.3</v>
      </c>
      <c r="H53" s="135">
        <v>1.31</v>
      </c>
      <c r="I53" s="135">
        <v>1.32</v>
      </c>
      <c r="J53" s="135">
        <v>1.32</v>
      </c>
      <c r="K53" s="135">
        <v>1.33</v>
      </c>
      <c r="L53" s="135">
        <v>1.34</v>
      </c>
      <c r="M53" s="135">
        <v>1.35</v>
      </c>
    </row>
    <row r="54" spans="1:13" x14ac:dyDescent="0.25">
      <c r="A54" s="128">
        <v>27</v>
      </c>
      <c r="B54" s="135">
        <v>1.35</v>
      </c>
      <c r="C54" s="135">
        <v>1.36</v>
      </c>
      <c r="D54" s="135">
        <v>1.37</v>
      </c>
      <c r="E54" s="135">
        <v>1.38</v>
      </c>
      <c r="F54" s="135">
        <v>1.38</v>
      </c>
      <c r="G54" s="135">
        <v>1.39</v>
      </c>
      <c r="H54" s="135">
        <v>1.4</v>
      </c>
      <c r="I54" s="135">
        <v>1.41</v>
      </c>
      <c r="J54" s="135">
        <v>1.41</v>
      </c>
      <c r="K54" s="135">
        <v>1.42</v>
      </c>
      <c r="L54" s="135">
        <v>1.43</v>
      </c>
      <c r="M54" s="135">
        <v>1.44</v>
      </c>
    </row>
    <row r="55" spans="1:13" x14ac:dyDescent="0.25">
      <c r="A55" s="128">
        <v>28</v>
      </c>
      <c r="B55" s="135">
        <v>1.44</v>
      </c>
      <c r="C55" s="135">
        <v>1.45</v>
      </c>
      <c r="D55" s="135">
        <v>1.46</v>
      </c>
      <c r="E55" s="135">
        <v>1.47</v>
      </c>
      <c r="F55" s="135">
        <v>1.48</v>
      </c>
      <c r="G55" s="135">
        <v>1.48</v>
      </c>
      <c r="H55" s="135">
        <v>1.49</v>
      </c>
      <c r="I55" s="135">
        <v>1.5</v>
      </c>
      <c r="J55" s="135">
        <v>1.51</v>
      </c>
      <c r="K55" s="135">
        <v>1.52</v>
      </c>
      <c r="L55" s="135">
        <v>1.52</v>
      </c>
      <c r="M55" s="135">
        <v>1.53</v>
      </c>
    </row>
    <row r="56" spans="1:13" x14ac:dyDescent="0.25">
      <c r="A56" s="128">
        <v>29</v>
      </c>
      <c r="B56" s="135">
        <v>1.54</v>
      </c>
      <c r="C56" s="135">
        <v>1.55</v>
      </c>
      <c r="D56" s="135">
        <v>1.56</v>
      </c>
      <c r="E56" s="135">
        <v>1.57</v>
      </c>
      <c r="F56" s="135">
        <v>1.57</v>
      </c>
      <c r="G56" s="135">
        <v>1.58</v>
      </c>
      <c r="H56" s="135">
        <v>1.59</v>
      </c>
      <c r="I56" s="135">
        <v>1.6</v>
      </c>
      <c r="J56" s="135">
        <v>1.61</v>
      </c>
      <c r="K56" s="135">
        <v>1.62</v>
      </c>
      <c r="L56" s="135">
        <v>1.62</v>
      </c>
      <c r="M56" s="135">
        <v>1.63</v>
      </c>
    </row>
    <row r="57" spans="1:13" x14ac:dyDescent="0.25">
      <c r="A57" s="128">
        <v>30</v>
      </c>
      <c r="B57" s="135">
        <v>1.64</v>
      </c>
      <c r="C57" s="135">
        <v>1.65</v>
      </c>
      <c r="D57" s="135">
        <v>1.66</v>
      </c>
      <c r="E57" s="135">
        <v>1.67</v>
      </c>
      <c r="F57" s="135">
        <v>1.68</v>
      </c>
      <c r="G57" s="135">
        <v>1.69</v>
      </c>
      <c r="H57" s="135">
        <v>1.69</v>
      </c>
      <c r="I57" s="135">
        <v>1.7</v>
      </c>
      <c r="J57" s="135">
        <v>1.71</v>
      </c>
      <c r="K57" s="135">
        <v>1.72</v>
      </c>
      <c r="L57" s="135">
        <v>1.73</v>
      </c>
      <c r="M57" s="135">
        <v>1.74</v>
      </c>
    </row>
    <row r="58" spans="1:13" x14ac:dyDescent="0.25">
      <c r="A58" s="128">
        <v>31</v>
      </c>
      <c r="B58" s="135">
        <v>1.75</v>
      </c>
      <c r="C58" s="135">
        <v>1.76</v>
      </c>
      <c r="D58" s="135">
        <v>1.77</v>
      </c>
      <c r="E58" s="135">
        <v>1.77</v>
      </c>
      <c r="F58" s="135">
        <v>1.78</v>
      </c>
      <c r="G58" s="135">
        <v>1.79</v>
      </c>
      <c r="H58" s="135">
        <v>1.8</v>
      </c>
      <c r="I58" s="135">
        <v>1.81</v>
      </c>
      <c r="J58" s="135">
        <v>1.82</v>
      </c>
      <c r="K58" s="135">
        <v>1.83</v>
      </c>
      <c r="L58" s="135">
        <v>1.84</v>
      </c>
      <c r="M58" s="135">
        <v>1.85</v>
      </c>
    </row>
    <row r="59" spans="1:13" x14ac:dyDescent="0.25">
      <c r="A59" s="128">
        <v>32</v>
      </c>
      <c r="B59" s="135">
        <v>1.86</v>
      </c>
      <c r="C59" s="135">
        <v>1.87</v>
      </c>
      <c r="D59" s="135">
        <v>1.88</v>
      </c>
      <c r="E59" s="135">
        <v>1.89</v>
      </c>
      <c r="F59" s="135">
        <v>1.9</v>
      </c>
      <c r="G59" s="135">
        <v>1.9</v>
      </c>
      <c r="H59" s="135">
        <v>1.91</v>
      </c>
      <c r="I59" s="135">
        <v>1.92</v>
      </c>
      <c r="J59" s="135">
        <v>1.93</v>
      </c>
      <c r="K59" s="135">
        <v>1.94</v>
      </c>
      <c r="L59" s="135">
        <v>1.95</v>
      </c>
      <c r="M59" s="135">
        <v>1.96</v>
      </c>
    </row>
    <row r="60" spans="1:13" x14ac:dyDescent="0.25">
      <c r="A60" s="128">
        <v>33</v>
      </c>
      <c r="B60" s="135">
        <v>1.97</v>
      </c>
      <c r="C60" s="135">
        <v>1.98</v>
      </c>
      <c r="D60" s="135">
        <v>1.99</v>
      </c>
      <c r="E60" s="135">
        <v>2</v>
      </c>
      <c r="F60" s="135">
        <v>2.0099999999999998</v>
      </c>
      <c r="G60" s="135">
        <v>2.02</v>
      </c>
      <c r="H60" s="135">
        <v>2.0299999999999998</v>
      </c>
      <c r="I60" s="135">
        <v>2.04</v>
      </c>
      <c r="J60" s="135">
        <v>2.0499999999999998</v>
      </c>
      <c r="K60" s="135">
        <v>2.06</v>
      </c>
      <c r="L60" s="135">
        <v>2.0699999999999998</v>
      </c>
      <c r="M60" s="135">
        <v>2.08</v>
      </c>
    </row>
    <row r="61" spans="1:13" x14ac:dyDescent="0.25">
      <c r="A61" s="128">
        <v>34</v>
      </c>
      <c r="B61" s="135">
        <v>2.09</v>
      </c>
      <c r="C61" s="135">
        <v>2.1</v>
      </c>
      <c r="D61" s="135">
        <v>2.11</v>
      </c>
      <c r="E61" s="135">
        <v>2.12</v>
      </c>
      <c r="F61" s="135">
        <v>2.13</v>
      </c>
      <c r="G61" s="135">
        <v>2.14</v>
      </c>
      <c r="H61" s="135">
        <v>2.16</v>
      </c>
      <c r="I61" s="135">
        <v>2.17</v>
      </c>
      <c r="J61" s="135">
        <v>2.1800000000000002</v>
      </c>
      <c r="K61" s="135">
        <v>2.19</v>
      </c>
      <c r="L61" s="135">
        <v>2.2000000000000002</v>
      </c>
      <c r="M61" s="135">
        <v>2.21</v>
      </c>
    </row>
    <row r="62" spans="1:13" x14ac:dyDescent="0.25">
      <c r="A62" s="128">
        <v>35</v>
      </c>
      <c r="B62" s="135">
        <v>2.2200000000000002</v>
      </c>
      <c r="C62" s="135">
        <v>2.23</v>
      </c>
      <c r="D62" s="135">
        <v>2.2400000000000002</v>
      </c>
      <c r="E62" s="135">
        <v>2.25</v>
      </c>
      <c r="F62" s="135">
        <v>2.2599999999999998</v>
      </c>
      <c r="G62" s="135">
        <v>2.27</v>
      </c>
      <c r="H62" s="135">
        <v>2.2799999999999998</v>
      </c>
      <c r="I62" s="135">
        <v>2.29</v>
      </c>
      <c r="J62" s="135">
        <v>2.31</v>
      </c>
      <c r="K62" s="135">
        <v>2.3199999999999998</v>
      </c>
      <c r="L62" s="135">
        <v>2.33</v>
      </c>
      <c r="M62" s="135">
        <v>2.34</v>
      </c>
    </row>
    <row r="63" spans="1:13" x14ac:dyDescent="0.25">
      <c r="A63" s="128">
        <v>36</v>
      </c>
      <c r="B63" s="135">
        <v>2.35</v>
      </c>
      <c r="C63" s="135">
        <v>2.36</v>
      </c>
      <c r="D63" s="135">
        <v>2.37</v>
      </c>
      <c r="E63" s="135">
        <v>2.38</v>
      </c>
      <c r="F63" s="135">
        <v>2.4</v>
      </c>
      <c r="G63" s="135">
        <v>2.41</v>
      </c>
      <c r="H63" s="135">
        <v>2.42</v>
      </c>
      <c r="I63" s="135">
        <v>2.4300000000000002</v>
      </c>
      <c r="J63" s="135">
        <v>2.44</v>
      </c>
      <c r="K63" s="135">
        <v>2.4500000000000002</v>
      </c>
      <c r="L63" s="135">
        <v>2.46</v>
      </c>
      <c r="M63" s="135">
        <v>2.48</v>
      </c>
    </row>
    <row r="64" spans="1:13" x14ac:dyDescent="0.25">
      <c r="A64" s="128">
        <v>37</v>
      </c>
      <c r="B64" s="135">
        <v>2.4900000000000002</v>
      </c>
      <c r="C64" s="135">
        <v>2.5</v>
      </c>
      <c r="D64" s="135">
        <v>2.5099999999999998</v>
      </c>
      <c r="E64" s="135">
        <v>2.52</v>
      </c>
      <c r="F64" s="135">
        <v>2.5299999999999998</v>
      </c>
      <c r="G64" s="135">
        <v>2.5499999999999998</v>
      </c>
      <c r="H64" s="135">
        <v>2.56</v>
      </c>
      <c r="I64" s="135">
        <v>2.57</v>
      </c>
      <c r="J64" s="135">
        <v>2.58</v>
      </c>
      <c r="K64" s="135">
        <v>2.59</v>
      </c>
      <c r="L64" s="135">
        <v>2.61</v>
      </c>
      <c r="M64" s="135">
        <v>2.62</v>
      </c>
    </row>
    <row r="65" spans="1:13" x14ac:dyDescent="0.25">
      <c r="A65" s="128">
        <v>38</v>
      </c>
      <c r="B65" s="135">
        <v>2.63</v>
      </c>
      <c r="C65" s="135">
        <v>2.64</v>
      </c>
      <c r="D65" s="135">
        <v>2.66</v>
      </c>
      <c r="E65" s="135">
        <v>2.67</v>
      </c>
      <c r="F65" s="135">
        <v>2.68</v>
      </c>
      <c r="G65" s="135">
        <v>2.69</v>
      </c>
      <c r="H65" s="135">
        <v>2.71</v>
      </c>
      <c r="I65" s="135">
        <v>2.72</v>
      </c>
      <c r="J65" s="135">
        <v>2.73</v>
      </c>
      <c r="K65" s="135">
        <v>2.74</v>
      </c>
      <c r="L65" s="135">
        <v>2.76</v>
      </c>
      <c r="M65" s="135">
        <v>2.77</v>
      </c>
    </row>
    <row r="66" spans="1:13" x14ac:dyDescent="0.25">
      <c r="A66" s="128">
        <v>39</v>
      </c>
      <c r="B66" s="135">
        <v>2.78</v>
      </c>
      <c r="C66" s="135">
        <v>2.79</v>
      </c>
      <c r="D66" s="135">
        <v>2.81</v>
      </c>
      <c r="E66" s="135">
        <v>2.82</v>
      </c>
      <c r="F66" s="135">
        <v>2.83</v>
      </c>
      <c r="G66" s="135">
        <v>2.85</v>
      </c>
      <c r="H66" s="135">
        <v>2.86</v>
      </c>
      <c r="I66" s="135">
        <v>2.87</v>
      </c>
      <c r="J66" s="135">
        <v>2.89</v>
      </c>
      <c r="K66" s="135">
        <v>2.9</v>
      </c>
      <c r="L66" s="135">
        <v>2.91</v>
      </c>
      <c r="M66" s="135">
        <v>2.92</v>
      </c>
    </row>
    <row r="67" spans="1:13" x14ac:dyDescent="0.25">
      <c r="A67" s="128">
        <v>40</v>
      </c>
      <c r="B67" s="135">
        <v>2.94</v>
      </c>
      <c r="C67" s="135">
        <v>2.95</v>
      </c>
      <c r="D67" s="135">
        <v>2.97</v>
      </c>
      <c r="E67" s="135">
        <v>2.98</v>
      </c>
      <c r="F67" s="135">
        <v>2.99</v>
      </c>
      <c r="G67" s="135">
        <v>3.01</v>
      </c>
      <c r="H67" s="135">
        <v>3.02</v>
      </c>
      <c r="I67" s="135">
        <v>3.03</v>
      </c>
      <c r="J67" s="135">
        <v>3.05</v>
      </c>
      <c r="K67" s="135">
        <v>3.06</v>
      </c>
      <c r="L67" s="135">
        <v>3.07</v>
      </c>
      <c r="M67" s="135">
        <v>3.09</v>
      </c>
    </row>
    <row r="68" spans="1:13" x14ac:dyDescent="0.25">
      <c r="A68" s="128">
        <v>41</v>
      </c>
      <c r="B68" s="135">
        <v>3.1</v>
      </c>
      <c r="C68" s="135">
        <v>3.12</v>
      </c>
      <c r="D68" s="135">
        <v>3.13</v>
      </c>
      <c r="E68" s="135">
        <v>3.14</v>
      </c>
      <c r="F68" s="135">
        <v>3.16</v>
      </c>
      <c r="G68" s="135">
        <v>3.17</v>
      </c>
      <c r="H68" s="135">
        <v>3.19</v>
      </c>
      <c r="I68" s="135">
        <v>3.2</v>
      </c>
      <c r="J68" s="135">
        <v>3.22</v>
      </c>
      <c r="K68" s="135">
        <v>3.23</v>
      </c>
      <c r="L68" s="135">
        <v>3.24</v>
      </c>
      <c r="M68" s="135">
        <v>3.26</v>
      </c>
    </row>
    <row r="69" spans="1:13" x14ac:dyDescent="0.25">
      <c r="A69" s="128">
        <v>42</v>
      </c>
      <c r="B69" s="135">
        <v>3.27</v>
      </c>
      <c r="C69" s="135">
        <v>3.29</v>
      </c>
      <c r="D69" s="135">
        <v>3.3</v>
      </c>
      <c r="E69" s="135">
        <v>3.32</v>
      </c>
      <c r="F69" s="135">
        <v>3.33</v>
      </c>
      <c r="G69" s="135">
        <v>3.35</v>
      </c>
      <c r="H69" s="135">
        <v>3.36</v>
      </c>
      <c r="I69" s="135">
        <v>3.38</v>
      </c>
      <c r="J69" s="135">
        <v>3.39</v>
      </c>
      <c r="K69" s="135">
        <v>3.41</v>
      </c>
      <c r="L69" s="135">
        <v>3.42</v>
      </c>
      <c r="M69" s="135">
        <v>3.44</v>
      </c>
    </row>
    <row r="70" spans="1:13" x14ac:dyDescent="0.25">
      <c r="A70" s="128">
        <v>43</v>
      </c>
      <c r="B70" s="135">
        <v>3.45</v>
      </c>
      <c r="C70" s="135">
        <v>3.47</v>
      </c>
      <c r="D70" s="135">
        <v>3.48</v>
      </c>
      <c r="E70" s="135">
        <v>3.5</v>
      </c>
      <c r="F70" s="135">
        <v>3.51</v>
      </c>
      <c r="G70" s="135">
        <v>3.53</v>
      </c>
      <c r="H70" s="135">
        <v>3.54</v>
      </c>
      <c r="I70" s="135">
        <v>3.56</v>
      </c>
      <c r="J70" s="135">
        <v>3.58</v>
      </c>
      <c r="K70" s="135">
        <v>3.59</v>
      </c>
      <c r="L70" s="135">
        <v>3.61</v>
      </c>
      <c r="M70" s="135">
        <v>3.62</v>
      </c>
    </row>
    <row r="71" spans="1:13" x14ac:dyDescent="0.25">
      <c r="A71" s="128">
        <v>44</v>
      </c>
      <c r="B71" s="135">
        <v>3.64</v>
      </c>
      <c r="C71" s="135">
        <v>3.65</v>
      </c>
      <c r="D71" s="135">
        <v>3.67</v>
      </c>
      <c r="E71" s="135">
        <v>3.69</v>
      </c>
      <c r="F71" s="135">
        <v>3.7</v>
      </c>
      <c r="G71" s="135">
        <v>3.72</v>
      </c>
      <c r="H71" s="135">
        <v>3.74</v>
      </c>
      <c r="I71" s="135">
        <v>3.75</v>
      </c>
      <c r="J71" s="135">
        <v>3.77</v>
      </c>
      <c r="K71" s="135">
        <v>3.78</v>
      </c>
      <c r="L71" s="135">
        <v>3.8</v>
      </c>
      <c r="M71" s="135">
        <v>3.82</v>
      </c>
    </row>
    <row r="72" spans="1:13" x14ac:dyDescent="0.25">
      <c r="A72" s="128">
        <v>45</v>
      </c>
      <c r="B72" s="135">
        <v>3.83</v>
      </c>
      <c r="C72" s="135">
        <v>3.85</v>
      </c>
      <c r="D72" s="135">
        <v>3.87</v>
      </c>
      <c r="E72" s="135">
        <v>3.88</v>
      </c>
      <c r="F72" s="135">
        <v>3.9</v>
      </c>
      <c r="G72" s="135">
        <v>3.92</v>
      </c>
      <c r="H72" s="135">
        <v>3.93</v>
      </c>
      <c r="I72" s="135">
        <v>3.95</v>
      </c>
      <c r="J72" s="135">
        <v>3.97</v>
      </c>
      <c r="K72" s="135">
        <v>3.99</v>
      </c>
      <c r="L72" s="135">
        <v>4</v>
      </c>
      <c r="M72" s="135">
        <v>4.0199999999999996</v>
      </c>
    </row>
    <row r="73" spans="1:13" x14ac:dyDescent="0.25">
      <c r="A73" s="128">
        <v>46</v>
      </c>
      <c r="B73" s="135">
        <v>4.04</v>
      </c>
      <c r="C73" s="135">
        <v>4.05</v>
      </c>
      <c r="D73" s="135">
        <v>4.07</v>
      </c>
      <c r="E73" s="135">
        <v>4.09</v>
      </c>
      <c r="F73" s="135">
        <v>4.1100000000000003</v>
      </c>
      <c r="G73" s="135">
        <v>4.12</v>
      </c>
      <c r="H73" s="135">
        <v>4.1399999999999997</v>
      </c>
      <c r="I73" s="135">
        <v>4.16</v>
      </c>
      <c r="J73" s="135">
        <v>4.18</v>
      </c>
      <c r="K73" s="135">
        <v>4.1900000000000004</v>
      </c>
      <c r="L73" s="135">
        <v>4.21</v>
      </c>
      <c r="M73" s="135">
        <v>4.2300000000000004</v>
      </c>
    </row>
    <row r="74" spans="1:13" x14ac:dyDescent="0.25">
      <c r="A74" s="128">
        <v>47</v>
      </c>
      <c r="B74" s="135">
        <v>4.25</v>
      </c>
      <c r="C74" s="135">
        <v>4.2699999999999996</v>
      </c>
      <c r="D74" s="135">
        <v>4.28</v>
      </c>
      <c r="E74" s="135">
        <v>4.3</v>
      </c>
      <c r="F74" s="135">
        <v>4.32</v>
      </c>
      <c r="G74" s="135">
        <v>4.34</v>
      </c>
      <c r="H74" s="135">
        <v>4.3600000000000003</v>
      </c>
      <c r="I74" s="135">
        <v>4.38</v>
      </c>
      <c r="J74" s="135">
        <v>4.4000000000000004</v>
      </c>
      <c r="K74" s="135">
        <v>4.41</v>
      </c>
      <c r="L74" s="135">
        <v>4.43</v>
      </c>
      <c r="M74" s="135">
        <v>4.45</v>
      </c>
    </row>
    <row r="75" spans="1:13" x14ac:dyDescent="0.25">
      <c r="A75" s="128">
        <v>48</v>
      </c>
      <c r="B75" s="135">
        <v>4.47</v>
      </c>
      <c r="C75" s="135">
        <v>4.49</v>
      </c>
      <c r="D75" s="135">
        <v>4.51</v>
      </c>
      <c r="E75" s="135">
        <v>4.53</v>
      </c>
      <c r="F75" s="135">
        <v>4.55</v>
      </c>
      <c r="G75" s="135">
        <v>4.57</v>
      </c>
      <c r="H75" s="135">
        <v>4.58</v>
      </c>
      <c r="I75" s="135">
        <v>4.5999999999999996</v>
      </c>
      <c r="J75" s="135">
        <v>4.62</v>
      </c>
      <c r="K75" s="135">
        <v>4.6399999999999997</v>
      </c>
      <c r="L75" s="135">
        <v>4.66</v>
      </c>
      <c r="M75" s="135">
        <v>4.68</v>
      </c>
    </row>
    <row r="76" spans="1:13" x14ac:dyDescent="0.25">
      <c r="A76" s="128">
        <v>49</v>
      </c>
      <c r="B76" s="135">
        <v>4.7</v>
      </c>
      <c r="C76" s="135">
        <v>4.72</v>
      </c>
      <c r="D76" s="135">
        <v>4.74</v>
      </c>
      <c r="E76" s="135">
        <v>4.76</v>
      </c>
      <c r="F76" s="135">
        <v>4.78</v>
      </c>
      <c r="G76" s="135">
        <v>4.8</v>
      </c>
      <c r="H76" s="135">
        <v>4.82</v>
      </c>
      <c r="I76" s="135">
        <v>4.84</v>
      </c>
      <c r="J76" s="135">
        <v>4.8600000000000003</v>
      </c>
      <c r="K76" s="135">
        <v>4.88</v>
      </c>
      <c r="L76" s="135">
        <v>4.9000000000000004</v>
      </c>
      <c r="M76" s="135">
        <v>4.92</v>
      </c>
    </row>
    <row r="77" spans="1:13" x14ac:dyDescent="0.25">
      <c r="A77" s="128">
        <v>50</v>
      </c>
      <c r="B77" s="135">
        <v>4.9400000000000004</v>
      </c>
      <c r="C77" s="135">
        <v>4.96</v>
      </c>
      <c r="D77" s="135">
        <v>4.9800000000000004</v>
      </c>
      <c r="E77" s="135">
        <v>5</v>
      </c>
      <c r="F77" s="135">
        <v>5.03</v>
      </c>
      <c r="G77" s="135">
        <v>5.05</v>
      </c>
      <c r="H77" s="135">
        <v>5.07</v>
      </c>
      <c r="I77" s="135">
        <v>5.09</v>
      </c>
      <c r="J77" s="135">
        <v>5.1100000000000003</v>
      </c>
      <c r="K77" s="135">
        <v>5.13</v>
      </c>
      <c r="L77" s="135">
        <v>5.15</v>
      </c>
      <c r="M77" s="135">
        <v>5.17</v>
      </c>
    </row>
    <row r="78" spans="1:13" x14ac:dyDescent="0.25">
      <c r="A78" s="128">
        <v>51</v>
      </c>
      <c r="B78" s="135">
        <v>5.19</v>
      </c>
      <c r="C78" s="135"/>
      <c r="D78" s="135"/>
      <c r="E78" s="135"/>
      <c r="F78" s="135"/>
      <c r="G78" s="135"/>
      <c r="H78" s="135"/>
      <c r="I78" s="135"/>
      <c r="J78" s="135"/>
      <c r="K78" s="135"/>
      <c r="L78" s="135"/>
      <c r="M78" s="135"/>
    </row>
  </sheetData>
  <conditionalFormatting sqref="A6:A21">
    <cfRule type="expression" dxfId="171" priority="3" stopIfTrue="1">
      <formula>MOD(ROW(),2)=0</formula>
    </cfRule>
    <cfRule type="expression" dxfId="170" priority="4" stopIfTrue="1">
      <formula>MOD(ROW(),2)&lt;&gt;0</formula>
    </cfRule>
  </conditionalFormatting>
  <conditionalFormatting sqref="A26:A78">
    <cfRule type="expression" dxfId="169" priority="13" stopIfTrue="1">
      <formula>MOD(ROW(),2)=0</formula>
    </cfRule>
    <cfRule type="expression" dxfId="168" priority="14" stopIfTrue="1">
      <formula>MOD(ROW(),2)&lt;&gt;0</formula>
    </cfRule>
  </conditionalFormatting>
  <conditionalFormatting sqref="B18:B21">
    <cfRule type="expression" dxfId="167" priority="1" stopIfTrue="1">
      <formula>MOD(ROW(),2)=0</formula>
    </cfRule>
    <cfRule type="expression" dxfId="166" priority="2" stopIfTrue="1">
      <formula>MOD(ROW(),2)&lt;&gt;0</formula>
    </cfRule>
  </conditionalFormatting>
  <conditionalFormatting sqref="B6:M21">
    <cfRule type="expression" dxfId="165" priority="33" stopIfTrue="1">
      <formula>MOD(ROW(),2)=0</formula>
    </cfRule>
    <cfRule type="expression" dxfId="164" priority="34" stopIfTrue="1">
      <formula>MOD(ROW(),2)&lt;&gt;0</formula>
    </cfRule>
  </conditionalFormatting>
  <conditionalFormatting sqref="B26:M78">
    <cfRule type="expression" dxfId="163" priority="9" stopIfTrue="1">
      <formula>MOD(ROW(),2)=0</formula>
    </cfRule>
    <cfRule type="expression" dxfId="162" priority="10" stopIfTrue="1">
      <formula>MOD(ROW(),2)&lt;&gt;0</formula>
    </cfRule>
  </conditionalFormatting>
  <hyperlinks>
    <hyperlink ref="B24" location="Assumptions!A1" display="Assumptions" xr:uid="{33889AC2-88F8-4D42-9A16-5231A55613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2"/>
  <dimension ref="A1:I77"/>
  <sheetViews>
    <sheetView workbookViewId="0">
      <selection activeCell="B17" sqref="B17"/>
    </sheetView>
  </sheetViews>
  <sheetFormatPr defaultColWidth="10" defaultRowHeight="12.5" x14ac:dyDescent="0.25"/>
  <cols>
    <col min="1" max="1" width="31.54296875" style="28" customWidth="1"/>
    <col min="2" max="2" width="22.54296875" style="28" customWidth="1"/>
    <col min="3" max="3" width="10.1796875" style="28" customWidth="1"/>
    <col min="4" max="4" width="10" style="28" customWidth="1"/>
    <col min="5" max="16384" width="10" style="28"/>
  </cols>
  <sheetData>
    <row r="1" spans="1:9" ht="20" x14ac:dyDescent="0.4">
      <c r="A1" s="53" t="s">
        <v>0</v>
      </c>
      <c r="B1" s="54"/>
      <c r="C1" s="54"/>
      <c r="D1" s="54"/>
      <c r="E1" s="54"/>
      <c r="F1" s="54"/>
      <c r="G1" s="54"/>
      <c r="H1" s="54"/>
      <c r="I1" s="54"/>
    </row>
    <row r="2" spans="1:9" ht="15.5" x14ac:dyDescent="0.35">
      <c r="A2" s="55" t="s">
        <v>1</v>
      </c>
      <c r="B2" s="56"/>
      <c r="C2" s="56"/>
      <c r="D2" s="56"/>
      <c r="E2" s="56"/>
      <c r="F2" s="56"/>
      <c r="G2" s="56"/>
      <c r="H2" s="56"/>
      <c r="I2" s="56"/>
    </row>
    <row r="3" spans="1:9" ht="15.5" x14ac:dyDescent="0.35">
      <c r="A3" s="57" t="str">
        <f>TABLE_FACTOR_TYPE_1&amp;" - x-"&amp;TABLE_SERIES_NUMBER_1</f>
        <v>EPA - x-721</v>
      </c>
      <c r="B3" s="56"/>
      <c r="C3" s="56"/>
      <c r="D3" s="56"/>
      <c r="E3" s="56"/>
      <c r="F3" s="56"/>
      <c r="G3" s="56"/>
      <c r="H3" s="56"/>
      <c r="I3" s="56"/>
    </row>
    <row r="4" spans="1:9" x14ac:dyDescent="0.25">
      <c r="A4" s="58"/>
    </row>
    <row r="6" spans="1:9" ht="13" x14ac:dyDescent="0.3">
      <c r="A6" s="92" t="s">
        <v>716</v>
      </c>
      <c r="B6" s="181" t="s">
        <v>717</v>
      </c>
    </row>
    <row r="7" spans="1:9" ht="40.5" customHeight="1" x14ac:dyDescent="0.25">
      <c r="A7" s="94" t="s">
        <v>797</v>
      </c>
      <c r="B7" s="181" t="s">
        <v>316</v>
      </c>
    </row>
    <row r="8" spans="1:9" x14ac:dyDescent="0.25">
      <c r="A8" s="94" t="s">
        <v>798</v>
      </c>
      <c r="B8" s="181" t="s">
        <v>92</v>
      </c>
    </row>
    <row r="9" spans="1:9" x14ac:dyDescent="0.25">
      <c r="A9" s="94" t="s">
        <v>300</v>
      </c>
      <c r="B9" s="181" t="s">
        <v>636</v>
      </c>
    </row>
    <row r="10" spans="1:9" x14ac:dyDescent="0.25">
      <c r="A10" s="94" t="s">
        <v>6</v>
      </c>
      <c r="B10" s="181" t="s">
        <v>665</v>
      </c>
    </row>
    <row r="11" spans="1:9" x14ac:dyDescent="0.25">
      <c r="A11" s="94" t="s">
        <v>301</v>
      </c>
      <c r="B11" s="181" t="s">
        <v>319</v>
      </c>
    </row>
    <row r="12" spans="1:9" x14ac:dyDescent="0.25">
      <c r="A12" s="94" t="s">
        <v>302</v>
      </c>
      <c r="B12" s="181" t="s">
        <v>666</v>
      </c>
    </row>
    <row r="13" spans="1:9" x14ac:dyDescent="0.25">
      <c r="A13" s="94" t="s">
        <v>813</v>
      </c>
      <c r="B13" s="181">
        <v>0</v>
      </c>
    </row>
    <row r="14" spans="1:9" x14ac:dyDescent="0.25">
      <c r="A14" s="94" t="s">
        <v>304</v>
      </c>
      <c r="B14" s="181">
        <v>721</v>
      </c>
    </row>
    <row r="15" spans="1:9" x14ac:dyDescent="0.25">
      <c r="A15" s="94" t="s">
        <v>727</v>
      </c>
      <c r="B15" s="181" t="s">
        <v>667</v>
      </c>
    </row>
    <row r="16" spans="1:9" x14ac:dyDescent="0.25">
      <c r="A16" s="94" t="s">
        <v>306</v>
      </c>
      <c r="B16" s="181" t="s">
        <v>668</v>
      </c>
    </row>
    <row r="17" spans="1:2" ht="134.15" customHeight="1" x14ac:dyDescent="0.25">
      <c r="A17" s="94" t="s">
        <v>800</v>
      </c>
      <c r="B17" s="181"/>
    </row>
    <row r="18" spans="1:2" x14ac:dyDescent="0.25">
      <c r="A18" s="94" t="s">
        <v>308</v>
      </c>
      <c r="B18" s="185">
        <v>45184</v>
      </c>
    </row>
    <row r="19" spans="1:2" x14ac:dyDescent="0.25">
      <c r="A19" s="94" t="s">
        <v>309</v>
      </c>
      <c r="B19" s="185">
        <v>45383</v>
      </c>
    </row>
    <row r="20" spans="1:2" x14ac:dyDescent="0.25">
      <c r="A20" s="94" t="s">
        <v>310</v>
      </c>
      <c r="B20" s="181" t="s">
        <v>324</v>
      </c>
    </row>
    <row r="21" spans="1:2" x14ac:dyDescent="0.25">
      <c r="A21" s="87" t="s">
        <v>311</v>
      </c>
      <c r="B21" s="181" t="s">
        <v>325</v>
      </c>
    </row>
    <row r="23" spans="1:2" x14ac:dyDescent="0.25">
      <c r="B23" s="104" t="str">
        <f>HYPERLINK("#'Factor List'!A1","Back to Factor List")</f>
        <v>Back to Factor List</v>
      </c>
    </row>
    <row r="24" spans="1:2" x14ac:dyDescent="0.25">
      <c r="B24" s="104" t="s">
        <v>13</v>
      </c>
    </row>
    <row r="26" spans="1:2" ht="13" x14ac:dyDescent="0.25">
      <c r="A26" s="127" t="s">
        <v>957</v>
      </c>
      <c r="B26" s="127" t="s">
        <v>802</v>
      </c>
    </row>
    <row r="27" spans="1:2" x14ac:dyDescent="0.25">
      <c r="A27" s="128">
        <v>0</v>
      </c>
      <c r="B27" s="135">
        <v>1</v>
      </c>
    </row>
    <row r="28" spans="1:2" x14ac:dyDescent="0.25">
      <c r="A28" s="128">
        <v>1</v>
      </c>
      <c r="B28" s="135">
        <v>1.02</v>
      </c>
    </row>
    <row r="29" spans="1:2" x14ac:dyDescent="0.25">
      <c r="A29" s="128">
        <v>2</v>
      </c>
      <c r="B29" s="135">
        <v>1.04</v>
      </c>
    </row>
    <row r="30" spans="1:2" x14ac:dyDescent="0.25">
      <c r="A30" s="128">
        <v>3</v>
      </c>
      <c r="B30" s="135">
        <v>1.06</v>
      </c>
    </row>
    <row r="31" spans="1:2" x14ac:dyDescent="0.25">
      <c r="A31" s="128">
        <v>4</v>
      </c>
      <c r="B31" s="135">
        <v>1.08</v>
      </c>
    </row>
    <row r="32" spans="1:2" x14ac:dyDescent="0.25">
      <c r="A32" s="128">
        <v>5</v>
      </c>
      <c r="B32" s="135">
        <v>1.1000000000000001</v>
      </c>
    </row>
    <row r="33" spans="1:2" x14ac:dyDescent="0.25">
      <c r="A33" s="128">
        <v>6</v>
      </c>
      <c r="B33" s="135">
        <v>1.1299999999999999</v>
      </c>
    </row>
    <row r="34" spans="1:2" x14ac:dyDescent="0.25">
      <c r="A34" s="128">
        <v>7</v>
      </c>
      <c r="B34" s="135">
        <v>1.1499999999999999</v>
      </c>
    </row>
    <row r="35" spans="1:2" x14ac:dyDescent="0.25">
      <c r="A35" s="128">
        <v>8</v>
      </c>
      <c r="B35" s="135">
        <v>1.17</v>
      </c>
    </row>
    <row r="36" spans="1:2" x14ac:dyDescent="0.25">
      <c r="A36" s="128">
        <v>9</v>
      </c>
      <c r="B36" s="135">
        <v>1.2</v>
      </c>
    </row>
    <row r="37" spans="1:2" x14ac:dyDescent="0.25">
      <c r="A37" s="128">
        <v>10</v>
      </c>
      <c r="B37" s="135">
        <v>1.22</v>
      </c>
    </row>
    <row r="38" spans="1:2" x14ac:dyDescent="0.25">
      <c r="A38" s="128">
        <v>11</v>
      </c>
      <c r="B38" s="135">
        <v>1.24</v>
      </c>
    </row>
    <row r="39" spans="1:2" x14ac:dyDescent="0.25">
      <c r="A39" s="128">
        <v>12</v>
      </c>
      <c r="B39" s="135">
        <v>1.27</v>
      </c>
    </row>
    <row r="40" spans="1:2" x14ac:dyDescent="0.25">
      <c r="A40" s="128">
        <v>13</v>
      </c>
      <c r="B40" s="135">
        <v>1.29</v>
      </c>
    </row>
    <row r="41" spans="1:2" x14ac:dyDescent="0.25">
      <c r="A41" s="128">
        <v>14</v>
      </c>
      <c r="B41" s="135">
        <v>1.32</v>
      </c>
    </row>
    <row r="42" spans="1:2" x14ac:dyDescent="0.25">
      <c r="A42" s="128">
        <v>15</v>
      </c>
      <c r="B42" s="135">
        <v>1.35</v>
      </c>
    </row>
    <row r="43" spans="1:2" x14ac:dyDescent="0.25">
      <c r="A43" s="128">
        <v>16</v>
      </c>
      <c r="B43" s="135">
        <v>1.37</v>
      </c>
    </row>
    <row r="44" spans="1:2" x14ac:dyDescent="0.25">
      <c r="A44" s="128">
        <v>17</v>
      </c>
      <c r="B44" s="135">
        <v>1.4</v>
      </c>
    </row>
    <row r="45" spans="1:2" x14ac:dyDescent="0.25">
      <c r="A45" s="128">
        <v>18</v>
      </c>
      <c r="B45" s="135">
        <v>1.43</v>
      </c>
    </row>
    <row r="46" spans="1:2" x14ac:dyDescent="0.25">
      <c r="A46" s="128">
        <v>19</v>
      </c>
      <c r="B46" s="135">
        <v>1.46</v>
      </c>
    </row>
    <row r="47" spans="1:2" x14ac:dyDescent="0.25">
      <c r="A47" s="128">
        <v>20</v>
      </c>
      <c r="B47" s="135">
        <v>1.49</v>
      </c>
    </row>
    <row r="48" spans="1:2" x14ac:dyDescent="0.25">
      <c r="A48" s="128">
        <v>21</v>
      </c>
      <c r="B48" s="135">
        <v>1.52</v>
      </c>
    </row>
    <row r="49" spans="1:2" x14ac:dyDescent="0.25">
      <c r="A49" s="128">
        <v>22</v>
      </c>
      <c r="B49" s="135">
        <v>1.55</v>
      </c>
    </row>
    <row r="50" spans="1:2" x14ac:dyDescent="0.25">
      <c r="A50" s="128">
        <v>23</v>
      </c>
      <c r="B50" s="135">
        <v>1.58</v>
      </c>
    </row>
    <row r="51" spans="1:2" x14ac:dyDescent="0.25">
      <c r="A51" s="128">
        <v>24</v>
      </c>
      <c r="B51" s="135">
        <v>1.61</v>
      </c>
    </row>
    <row r="52" spans="1:2" x14ac:dyDescent="0.25">
      <c r="A52" s="128">
        <v>25</v>
      </c>
      <c r="B52" s="135">
        <v>1.64</v>
      </c>
    </row>
    <row r="53" spans="1:2" x14ac:dyDescent="0.25">
      <c r="A53" s="128">
        <v>26</v>
      </c>
      <c r="B53" s="135">
        <v>1.67</v>
      </c>
    </row>
    <row r="54" spans="1:2" x14ac:dyDescent="0.25">
      <c r="A54" s="128">
        <v>27</v>
      </c>
      <c r="B54" s="135">
        <v>1.71</v>
      </c>
    </row>
    <row r="55" spans="1:2" x14ac:dyDescent="0.25">
      <c r="A55" s="128">
        <v>28</v>
      </c>
      <c r="B55" s="135">
        <v>1.74</v>
      </c>
    </row>
    <row r="56" spans="1:2" x14ac:dyDescent="0.25">
      <c r="A56" s="128">
        <v>29</v>
      </c>
      <c r="B56" s="135">
        <v>1.78</v>
      </c>
    </row>
    <row r="57" spans="1:2" x14ac:dyDescent="0.25">
      <c r="A57" s="128">
        <v>30</v>
      </c>
      <c r="B57" s="135">
        <v>1.81</v>
      </c>
    </row>
    <row r="58" spans="1:2" x14ac:dyDescent="0.25">
      <c r="A58" s="128">
        <v>31</v>
      </c>
      <c r="B58" s="135">
        <v>1.85</v>
      </c>
    </row>
    <row r="59" spans="1:2" x14ac:dyDescent="0.25">
      <c r="A59" s="128">
        <v>32</v>
      </c>
      <c r="B59" s="135">
        <v>1.88</v>
      </c>
    </row>
    <row r="60" spans="1:2" x14ac:dyDescent="0.25">
      <c r="A60" s="128">
        <v>33</v>
      </c>
      <c r="B60" s="135">
        <v>1.92</v>
      </c>
    </row>
    <row r="61" spans="1:2" x14ac:dyDescent="0.25">
      <c r="A61" s="128">
        <v>34</v>
      </c>
      <c r="B61" s="135">
        <v>1.96</v>
      </c>
    </row>
    <row r="62" spans="1:2" x14ac:dyDescent="0.25">
      <c r="A62" s="130">
        <v>35</v>
      </c>
      <c r="B62" s="136">
        <v>2</v>
      </c>
    </row>
    <row r="63" spans="1:2" x14ac:dyDescent="0.25">
      <c r="A63" s="130">
        <v>36</v>
      </c>
      <c r="B63" s="136">
        <v>2.04</v>
      </c>
    </row>
    <row r="64" spans="1:2" x14ac:dyDescent="0.25">
      <c r="A64" s="130">
        <v>37</v>
      </c>
      <c r="B64" s="136">
        <v>2.08</v>
      </c>
    </row>
    <row r="65" spans="1:2" x14ac:dyDescent="0.25">
      <c r="A65" s="130">
        <v>38</v>
      </c>
      <c r="B65" s="136">
        <v>2.12</v>
      </c>
    </row>
    <row r="66" spans="1:2" x14ac:dyDescent="0.25">
      <c r="A66" s="130">
        <v>39</v>
      </c>
      <c r="B66" s="136">
        <v>2.16</v>
      </c>
    </row>
    <row r="67" spans="1:2" x14ac:dyDescent="0.25">
      <c r="A67" s="130">
        <v>40</v>
      </c>
      <c r="B67" s="136">
        <v>2.21</v>
      </c>
    </row>
    <row r="68" spans="1:2" x14ac:dyDescent="0.25">
      <c r="A68" s="130">
        <v>41</v>
      </c>
      <c r="B68" s="136">
        <v>2.25</v>
      </c>
    </row>
    <row r="69" spans="1:2" x14ac:dyDescent="0.25">
      <c r="A69" s="130">
        <v>42</v>
      </c>
      <c r="B69" s="136">
        <v>2.2999999999999998</v>
      </c>
    </row>
    <row r="70" spans="1:2" x14ac:dyDescent="0.25">
      <c r="A70" s="130">
        <v>43</v>
      </c>
      <c r="B70" s="136">
        <v>2.34</v>
      </c>
    </row>
    <row r="71" spans="1:2" x14ac:dyDescent="0.25">
      <c r="A71" s="130">
        <v>44</v>
      </c>
      <c r="B71" s="136">
        <v>2.39</v>
      </c>
    </row>
    <row r="72" spans="1:2" x14ac:dyDescent="0.25">
      <c r="A72" s="130">
        <v>45</v>
      </c>
      <c r="B72" s="136">
        <v>2.44</v>
      </c>
    </row>
    <row r="73" spans="1:2" x14ac:dyDescent="0.25">
      <c r="A73" s="130">
        <v>46</v>
      </c>
      <c r="B73" s="136">
        <v>2.4900000000000002</v>
      </c>
    </row>
    <row r="74" spans="1:2" x14ac:dyDescent="0.25">
      <c r="A74" s="130">
        <v>47</v>
      </c>
      <c r="B74" s="136">
        <v>2.54</v>
      </c>
    </row>
    <row r="75" spans="1:2" x14ac:dyDescent="0.25">
      <c r="A75" s="130">
        <v>48</v>
      </c>
      <c r="B75" s="136">
        <v>2.59</v>
      </c>
    </row>
    <row r="76" spans="1:2" x14ac:dyDescent="0.25">
      <c r="A76" s="130">
        <v>49</v>
      </c>
      <c r="B76" s="136">
        <v>2.64</v>
      </c>
    </row>
    <row r="77" spans="1:2" x14ac:dyDescent="0.25">
      <c r="A77" s="130">
        <v>50</v>
      </c>
      <c r="B77" s="136">
        <v>2.69</v>
      </c>
    </row>
  </sheetData>
  <conditionalFormatting sqref="A6:A21">
    <cfRule type="expression" dxfId="161" priority="3" stopIfTrue="1">
      <formula>MOD(ROW(),2)=0</formula>
    </cfRule>
    <cfRule type="expression" dxfId="160" priority="4" stopIfTrue="1">
      <formula>MOD(ROW(),2)&lt;&gt;0</formula>
    </cfRule>
  </conditionalFormatting>
  <conditionalFormatting sqref="A26:A77">
    <cfRule type="expression" dxfId="159" priority="9" stopIfTrue="1">
      <formula>MOD(ROW(),2)=0</formula>
    </cfRule>
    <cfRule type="expression" dxfId="158" priority="10" stopIfTrue="1">
      <formula>MOD(ROW(),2)&lt;&gt;0</formula>
    </cfRule>
  </conditionalFormatting>
  <conditionalFormatting sqref="B6:B21">
    <cfRule type="expression" dxfId="157" priority="31" stopIfTrue="1">
      <formula>MOD(ROW(),2)=0</formula>
    </cfRule>
    <cfRule type="expression" dxfId="156" priority="32" stopIfTrue="1">
      <formula>MOD(ROW(),2)&lt;&gt;0</formula>
    </cfRule>
  </conditionalFormatting>
  <conditionalFormatting sqref="B18:B21">
    <cfRule type="expression" dxfId="155" priority="1" stopIfTrue="1">
      <formula>MOD(ROW(),2)=0</formula>
    </cfRule>
    <cfRule type="expression" dxfId="154" priority="2" stopIfTrue="1">
      <formula>MOD(ROW(),2)&lt;&gt;0</formula>
    </cfRule>
  </conditionalFormatting>
  <conditionalFormatting sqref="B26:B77">
    <cfRule type="expression" dxfId="153" priority="11" stopIfTrue="1">
      <formula>MOD(ROW(),2)=0</formula>
    </cfRule>
    <cfRule type="expression" dxfId="152" priority="12" stopIfTrue="1">
      <formula>MOD(ROW(),2)&lt;&gt;0</formula>
    </cfRule>
  </conditionalFormatting>
  <hyperlinks>
    <hyperlink ref="B24" location="Assumptions!A1" display="Assumptions" xr:uid="{3E57A658-9DD5-4C0D-A941-C6FCFEB826D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15"/>
  <dimension ref="A1:L46"/>
  <sheetViews>
    <sheetView workbookViewId="0">
      <selection activeCell="B10" sqref="B10"/>
    </sheetView>
  </sheetViews>
  <sheetFormatPr defaultColWidth="10" defaultRowHeight="12.5" x14ac:dyDescent="0.25"/>
  <cols>
    <col min="1" max="1" width="32.453125" style="28" customWidth="1"/>
    <col min="2" max="12" width="22.54296875" style="28" customWidth="1"/>
    <col min="13" max="16384" width="10" style="28"/>
  </cols>
  <sheetData>
    <row r="1" spans="1:12" ht="20" x14ac:dyDescent="0.4">
      <c r="A1" s="53" t="s">
        <v>0</v>
      </c>
      <c r="B1" s="54"/>
      <c r="C1" s="54"/>
      <c r="D1" s="54"/>
      <c r="E1" s="54"/>
      <c r="F1" s="54"/>
      <c r="G1" s="54"/>
      <c r="H1" s="54"/>
      <c r="I1" s="54"/>
    </row>
    <row r="2" spans="1:12"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2" ht="15.5" x14ac:dyDescent="0.35">
      <c r="A3" s="57" t="str">
        <f>TABLE_FACTOR_TYPE_1&amp;" - x-"&amp;TABLE_SERIES_NUMBER_1</f>
        <v>ARBO - x-722</v>
      </c>
      <c r="B3" s="56"/>
      <c r="C3" s="56"/>
      <c r="D3" s="56"/>
      <c r="E3" s="56"/>
      <c r="F3" s="56"/>
      <c r="G3" s="56"/>
      <c r="H3" s="56"/>
      <c r="I3" s="56"/>
    </row>
    <row r="4" spans="1:12" x14ac:dyDescent="0.25">
      <c r="A4" s="58"/>
    </row>
    <row r="6" spans="1:12" ht="13" x14ac:dyDescent="0.3">
      <c r="A6" s="92" t="s">
        <v>716</v>
      </c>
      <c r="B6" s="181" t="s">
        <v>717</v>
      </c>
      <c r="C6" s="181"/>
      <c r="D6" s="181"/>
      <c r="E6" s="181"/>
      <c r="F6" s="181"/>
      <c r="G6" s="181"/>
      <c r="H6" s="181"/>
      <c r="I6" s="181"/>
      <c r="J6" s="181"/>
      <c r="K6" s="181"/>
      <c r="L6" s="181"/>
    </row>
    <row r="7" spans="1:12" x14ac:dyDescent="0.25">
      <c r="A7" s="94" t="s">
        <v>797</v>
      </c>
      <c r="B7" s="181" t="s">
        <v>316</v>
      </c>
      <c r="C7" s="181"/>
      <c r="D7" s="181"/>
      <c r="E7" s="181"/>
      <c r="F7" s="181"/>
      <c r="G7" s="181"/>
      <c r="H7" s="181"/>
      <c r="I7" s="181"/>
      <c r="J7" s="181"/>
      <c r="K7" s="181"/>
      <c r="L7" s="181"/>
    </row>
    <row r="8" spans="1:12" x14ac:dyDescent="0.25">
      <c r="A8" s="94" t="s">
        <v>798</v>
      </c>
      <c r="B8" s="181" t="s">
        <v>92</v>
      </c>
      <c r="C8" s="181"/>
      <c r="D8" s="181"/>
      <c r="E8" s="181"/>
      <c r="F8" s="181"/>
      <c r="G8" s="181"/>
      <c r="H8" s="181"/>
      <c r="I8" s="181"/>
      <c r="J8" s="181"/>
      <c r="K8" s="181"/>
      <c r="L8" s="181"/>
    </row>
    <row r="9" spans="1:12" x14ac:dyDescent="0.25">
      <c r="A9" s="94" t="s">
        <v>300</v>
      </c>
      <c r="B9" s="181" t="s">
        <v>670</v>
      </c>
      <c r="C9" s="181"/>
      <c r="D9" s="181"/>
      <c r="E9" s="181"/>
      <c r="F9" s="181"/>
      <c r="G9" s="181"/>
      <c r="H9" s="181"/>
      <c r="I9" s="181"/>
      <c r="J9" s="181"/>
      <c r="K9" s="181"/>
      <c r="L9" s="181"/>
    </row>
    <row r="10" spans="1:12" x14ac:dyDescent="0.25">
      <c r="A10" s="94" t="s">
        <v>6</v>
      </c>
      <c r="B10" s="181" t="s">
        <v>671</v>
      </c>
      <c r="C10" s="181"/>
      <c r="D10" s="181"/>
      <c r="E10" s="181"/>
      <c r="F10" s="181"/>
      <c r="G10" s="181"/>
      <c r="H10" s="181"/>
      <c r="I10" s="181"/>
      <c r="J10" s="181"/>
      <c r="K10" s="181"/>
      <c r="L10" s="181"/>
    </row>
    <row r="11" spans="1:12" x14ac:dyDescent="0.25">
      <c r="A11" s="94" t="s">
        <v>301</v>
      </c>
      <c r="B11" s="181" t="s">
        <v>319</v>
      </c>
      <c r="C11" s="181"/>
      <c r="D11" s="181"/>
      <c r="E11" s="181"/>
      <c r="F11" s="181"/>
      <c r="G11" s="181"/>
      <c r="H11" s="181"/>
      <c r="I11" s="181"/>
      <c r="J11" s="181"/>
      <c r="K11" s="181"/>
      <c r="L11" s="181"/>
    </row>
    <row r="12" spans="1:12" x14ac:dyDescent="0.25">
      <c r="A12" s="94" t="s">
        <v>302</v>
      </c>
      <c r="B12" s="181" t="s">
        <v>672</v>
      </c>
      <c r="C12" s="181"/>
      <c r="D12" s="181"/>
      <c r="E12" s="181"/>
      <c r="F12" s="181"/>
      <c r="G12" s="181"/>
      <c r="H12" s="181"/>
      <c r="I12" s="181"/>
      <c r="J12" s="181"/>
      <c r="K12" s="181"/>
      <c r="L12" s="181"/>
    </row>
    <row r="13" spans="1:12" x14ac:dyDescent="0.25">
      <c r="A13" s="94" t="s">
        <v>813</v>
      </c>
      <c r="B13" s="181">
        <v>0</v>
      </c>
      <c r="C13" s="181"/>
      <c r="D13" s="181"/>
      <c r="E13" s="181"/>
      <c r="F13" s="181"/>
      <c r="G13" s="181"/>
      <c r="H13" s="181"/>
      <c r="I13" s="181"/>
      <c r="J13" s="181"/>
      <c r="K13" s="181"/>
      <c r="L13" s="181"/>
    </row>
    <row r="14" spans="1:12" x14ac:dyDescent="0.25">
      <c r="A14" s="94" t="s">
        <v>304</v>
      </c>
      <c r="B14" s="181">
        <v>722</v>
      </c>
      <c r="C14" s="181"/>
      <c r="D14" s="181"/>
      <c r="E14" s="181"/>
      <c r="F14" s="181"/>
      <c r="G14" s="181"/>
      <c r="H14" s="181"/>
      <c r="I14" s="181"/>
      <c r="J14" s="181"/>
      <c r="K14" s="181"/>
      <c r="L14" s="181"/>
    </row>
    <row r="15" spans="1:12" x14ac:dyDescent="0.25">
      <c r="A15" s="94" t="s">
        <v>727</v>
      </c>
      <c r="B15" s="181" t="s">
        <v>673</v>
      </c>
      <c r="C15" s="181"/>
      <c r="D15" s="181"/>
      <c r="E15" s="181"/>
      <c r="F15" s="181"/>
      <c r="G15" s="181"/>
      <c r="H15" s="181"/>
      <c r="I15" s="181"/>
      <c r="J15" s="181"/>
      <c r="K15" s="181"/>
      <c r="L15" s="181"/>
    </row>
    <row r="16" spans="1:12" x14ac:dyDescent="0.25">
      <c r="A16" s="94" t="s">
        <v>306</v>
      </c>
      <c r="B16" s="181" t="s">
        <v>674</v>
      </c>
      <c r="C16" s="181"/>
      <c r="D16" s="181"/>
      <c r="E16" s="181"/>
      <c r="F16" s="181"/>
      <c r="G16" s="181"/>
      <c r="H16" s="181"/>
      <c r="I16" s="181"/>
      <c r="J16" s="181"/>
      <c r="K16" s="181"/>
      <c r="L16" s="181"/>
    </row>
    <row r="17" spans="1:12" x14ac:dyDescent="0.25">
      <c r="A17" s="94" t="s">
        <v>800</v>
      </c>
      <c r="B17" s="181"/>
      <c r="C17" s="181"/>
      <c r="D17" s="181"/>
      <c r="E17" s="181"/>
      <c r="F17" s="181"/>
      <c r="G17" s="181"/>
      <c r="H17" s="181"/>
      <c r="I17" s="181"/>
      <c r="J17" s="181"/>
      <c r="K17" s="181"/>
      <c r="L17" s="181"/>
    </row>
    <row r="18" spans="1:12" x14ac:dyDescent="0.25">
      <c r="A18" s="94" t="s">
        <v>308</v>
      </c>
      <c r="B18" s="185">
        <v>45135</v>
      </c>
      <c r="C18" s="181"/>
      <c r="D18" s="181"/>
      <c r="E18" s="181"/>
      <c r="F18" s="181"/>
      <c r="G18" s="181"/>
      <c r="H18" s="181"/>
      <c r="I18" s="181"/>
      <c r="J18" s="181"/>
      <c r="K18" s="181"/>
      <c r="L18" s="181"/>
    </row>
    <row r="19" spans="1:12" x14ac:dyDescent="0.25">
      <c r="A19" s="94" t="s">
        <v>309</v>
      </c>
      <c r="B19" s="185">
        <v>45231</v>
      </c>
      <c r="C19" s="181"/>
      <c r="D19" s="181"/>
      <c r="E19" s="181"/>
      <c r="F19" s="181"/>
      <c r="G19" s="181"/>
      <c r="H19" s="181"/>
      <c r="I19" s="181"/>
      <c r="J19" s="181"/>
      <c r="K19" s="181"/>
      <c r="L19" s="181"/>
    </row>
    <row r="20" spans="1:12" x14ac:dyDescent="0.25">
      <c r="A20" s="94" t="s">
        <v>310</v>
      </c>
      <c r="B20" s="181" t="s">
        <v>324</v>
      </c>
      <c r="C20" s="181"/>
      <c r="D20" s="181"/>
      <c r="E20" s="181"/>
      <c r="F20" s="181"/>
      <c r="G20" s="181"/>
      <c r="H20" s="181"/>
      <c r="I20" s="181"/>
      <c r="J20" s="181"/>
      <c r="K20" s="181"/>
      <c r="L20" s="181"/>
    </row>
    <row r="21" spans="1:12" x14ac:dyDescent="0.25">
      <c r="A21" s="87" t="s">
        <v>311</v>
      </c>
      <c r="B21" s="181" t="s">
        <v>325</v>
      </c>
      <c r="C21" s="181"/>
      <c r="D21" s="181"/>
      <c r="E21" s="181"/>
      <c r="F21" s="181"/>
      <c r="G21" s="181"/>
      <c r="H21" s="181"/>
      <c r="I21" s="181"/>
      <c r="J21" s="181"/>
      <c r="K21" s="181"/>
      <c r="L21" s="181"/>
    </row>
    <row r="23" spans="1:12" x14ac:dyDescent="0.25">
      <c r="B23" s="104" t="str">
        <f>HYPERLINK("#'Factor List'!A1","Back to Factor List")</f>
        <v>Back to Factor List</v>
      </c>
    </row>
    <row r="24" spans="1:12" x14ac:dyDescent="0.25">
      <c r="B24" s="104" t="s">
        <v>13</v>
      </c>
    </row>
    <row r="26" spans="1:12" ht="13" x14ac:dyDescent="0.25">
      <c r="A26" s="96" t="s">
        <v>839</v>
      </c>
      <c r="B26" s="96">
        <v>55</v>
      </c>
      <c r="C26" s="96">
        <v>56</v>
      </c>
      <c r="D26" s="96">
        <v>57</v>
      </c>
      <c r="E26" s="96">
        <v>58</v>
      </c>
      <c r="F26" s="96">
        <v>59</v>
      </c>
      <c r="G26" s="96">
        <v>60</v>
      </c>
      <c r="H26" s="96">
        <v>61</v>
      </c>
      <c r="I26" s="96">
        <v>62</v>
      </c>
      <c r="J26" s="96">
        <v>63</v>
      </c>
      <c r="K26" s="96">
        <v>64</v>
      </c>
      <c r="L26" s="96">
        <v>65</v>
      </c>
    </row>
    <row r="27" spans="1:12" x14ac:dyDescent="0.25">
      <c r="A27" s="97">
        <v>0</v>
      </c>
      <c r="B27" s="98">
        <v>9.01</v>
      </c>
      <c r="C27" s="98">
        <v>8.18</v>
      </c>
      <c r="D27" s="98">
        <v>7.33</v>
      </c>
      <c r="E27" s="98">
        <v>6.47</v>
      </c>
      <c r="F27" s="98">
        <v>5.6</v>
      </c>
      <c r="G27" s="98">
        <v>4.71</v>
      </c>
      <c r="H27" s="98">
        <v>3.81</v>
      </c>
      <c r="I27" s="98">
        <v>2.88</v>
      </c>
      <c r="J27" s="98">
        <v>1.94</v>
      </c>
      <c r="K27" s="98">
        <v>0.98</v>
      </c>
      <c r="L27" s="98">
        <v>0</v>
      </c>
    </row>
    <row r="28" spans="1:12" x14ac:dyDescent="0.25">
      <c r="A28" s="97">
        <v>1</v>
      </c>
      <c r="B28" s="98">
        <v>8.94</v>
      </c>
      <c r="C28" s="98">
        <v>8.11</v>
      </c>
      <c r="D28" s="98">
        <v>7.26</v>
      </c>
      <c r="E28" s="98">
        <v>6.4</v>
      </c>
      <c r="F28" s="98">
        <v>5.53</v>
      </c>
      <c r="G28" s="98">
        <v>4.6399999999999997</v>
      </c>
      <c r="H28" s="98">
        <v>3.73</v>
      </c>
      <c r="I28" s="98">
        <v>2.81</v>
      </c>
      <c r="J28" s="98">
        <v>1.86</v>
      </c>
      <c r="K28" s="98">
        <v>0.9</v>
      </c>
      <c r="L28" s="98"/>
    </row>
    <row r="29" spans="1:12" x14ac:dyDescent="0.25">
      <c r="A29" s="97">
        <v>2</v>
      </c>
      <c r="B29" s="98">
        <v>8.8699999999999992</v>
      </c>
      <c r="C29" s="98">
        <v>8.0399999999999991</v>
      </c>
      <c r="D29" s="98">
        <v>7.19</v>
      </c>
      <c r="E29" s="98">
        <v>6.33</v>
      </c>
      <c r="F29" s="98">
        <v>5.45</v>
      </c>
      <c r="G29" s="98">
        <v>4.5599999999999996</v>
      </c>
      <c r="H29" s="98">
        <v>3.65</v>
      </c>
      <c r="I29" s="98">
        <v>2.73</v>
      </c>
      <c r="J29" s="98">
        <v>1.78</v>
      </c>
      <c r="K29" s="98">
        <v>0.82</v>
      </c>
      <c r="L29" s="98"/>
    </row>
    <row r="30" spans="1:12" x14ac:dyDescent="0.25">
      <c r="A30" s="97">
        <v>3</v>
      </c>
      <c r="B30" s="98">
        <v>8.8000000000000007</v>
      </c>
      <c r="C30" s="98">
        <v>7.97</v>
      </c>
      <c r="D30" s="98">
        <v>7.12</v>
      </c>
      <c r="E30" s="98">
        <v>6.26</v>
      </c>
      <c r="F30" s="98">
        <v>5.38</v>
      </c>
      <c r="G30" s="98">
        <v>4.49</v>
      </c>
      <c r="H30" s="98">
        <v>3.58</v>
      </c>
      <c r="I30" s="98">
        <v>2.65</v>
      </c>
      <c r="J30" s="98">
        <v>1.7</v>
      </c>
      <c r="K30" s="98">
        <v>0.74</v>
      </c>
      <c r="L30" s="98"/>
    </row>
    <row r="31" spans="1:12" x14ac:dyDescent="0.25">
      <c r="A31" s="97">
        <v>4</v>
      </c>
      <c r="B31" s="98">
        <v>8.73</v>
      </c>
      <c r="C31" s="98">
        <v>7.9</v>
      </c>
      <c r="D31" s="98">
        <v>7.05</v>
      </c>
      <c r="E31" s="98">
        <v>6.18</v>
      </c>
      <c r="F31" s="98">
        <v>5.3</v>
      </c>
      <c r="G31" s="98">
        <v>4.41</v>
      </c>
      <c r="H31" s="98">
        <v>3.5</v>
      </c>
      <c r="I31" s="98">
        <v>2.57</v>
      </c>
      <c r="J31" s="98">
        <v>1.62</v>
      </c>
      <c r="K31" s="98">
        <v>0.65</v>
      </c>
      <c r="L31" s="98"/>
    </row>
    <row r="32" spans="1:12" x14ac:dyDescent="0.25">
      <c r="A32" s="97">
        <v>5</v>
      </c>
      <c r="B32" s="98">
        <v>8.66</v>
      </c>
      <c r="C32" s="98">
        <v>7.83</v>
      </c>
      <c r="D32" s="98">
        <v>6.98</v>
      </c>
      <c r="E32" s="98">
        <v>6.11</v>
      </c>
      <c r="F32" s="98">
        <v>5.23</v>
      </c>
      <c r="G32" s="98">
        <v>4.33</v>
      </c>
      <c r="H32" s="98">
        <v>3.42</v>
      </c>
      <c r="I32" s="98">
        <v>2.4900000000000002</v>
      </c>
      <c r="J32" s="98">
        <v>1.54</v>
      </c>
      <c r="K32" s="98">
        <v>0.56999999999999995</v>
      </c>
      <c r="L32" s="98"/>
    </row>
    <row r="33" spans="1:12" x14ac:dyDescent="0.25">
      <c r="A33" s="97">
        <v>6</v>
      </c>
      <c r="B33" s="98">
        <v>8.59</v>
      </c>
      <c r="C33" s="98">
        <v>7.76</v>
      </c>
      <c r="D33" s="98">
        <v>6.9</v>
      </c>
      <c r="E33" s="98">
        <v>6.04</v>
      </c>
      <c r="F33" s="98">
        <v>5.16</v>
      </c>
      <c r="G33" s="98">
        <v>4.26</v>
      </c>
      <c r="H33" s="98">
        <v>3.34</v>
      </c>
      <c r="I33" s="98">
        <v>2.41</v>
      </c>
      <c r="J33" s="98">
        <v>1.46</v>
      </c>
      <c r="K33" s="98">
        <v>0.49</v>
      </c>
      <c r="L33" s="98"/>
    </row>
    <row r="34" spans="1:12" x14ac:dyDescent="0.25">
      <c r="A34" s="97">
        <v>7</v>
      </c>
      <c r="B34" s="98">
        <v>8.52</v>
      </c>
      <c r="C34" s="98">
        <v>7.69</v>
      </c>
      <c r="D34" s="98">
        <v>6.83</v>
      </c>
      <c r="E34" s="98">
        <v>5.96</v>
      </c>
      <c r="F34" s="98">
        <v>5.08</v>
      </c>
      <c r="G34" s="98">
        <v>4.18</v>
      </c>
      <c r="H34" s="98">
        <v>3.27</v>
      </c>
      <c r="I34" s="98">
        <v>2.33</v>
      </c>
      <c r="J34" s="98">
        <v>1.38</v>
      </c>
      <c r="K34" s="98">
        <v>0.41</v>
      </c>
      <c r="L34" s="98"/>
    </row>
    <row r="35" spans="1:12" x14ac:dyDescent="0.25">
      <c r="A35" s="97">
        <v>8</v>
      </c>
      <c r="B35" s="98">
        <v>8.4499999999999993</v>
      </c>
      <c r="C35" s="98">
        <v>7.61</v>
      </c>
      <c r="D35" s="98">
        <v>6.76</v>
      </c>
      <c r="E35" s="98">
        <v>5.89</v>
      </c>
      <c r="F35" s="98">
        <v>5.01</v>
      </c>
      <c r="G35" s="98">
        <v>4.1100000000000003</v>
      </c>
      <c r="H35" s="98">
        <v>3.19</v>
      </c>
      <c r="I35" s="98">
        <v>2.2599999999999998</v>
      </c>
      <c r="J35" s="98">
        <v>1.3</v>
      </c>
      <c r="K35" s="98">
        <v>0.33</v>
      </c>
      <c r="L35" s="98"/>
    </row>
    <row r="36" spans="1:12" x14ac:dyDescent="0.25">
      <c r="A36" s="97">
        <v>9</v>
      </c>
      <c r="B36" s="98">
        <v>8.39</v>
      </c>
      <c r="C36" s="98">
        <v>7.54</v>
      </c>
      <c r="D36" s="98">
        <v>6.69</v>
      </c>
      <c r="E36" s="98">
        <v>5.82</v>
      </c>
      <c r="F36" s="98">
        <v>4.93</v>
      </c>
      <c r="G36" s="98">
        <v>4.03</v>
      </c>
      <c r="H36" s="98">
        <v>3.11</v>
      </c>
      <c r="I36" s="98">
        <v>2.1800000000000002</v>
      </c>
      <c r="J36" s="98">
        <v>1.22</v>
      </c>
      <c r="K36" s="98">
        <v>0.25</v>
      </c>
      <c r="L36" s="98"/>
    </row>
    <row r="37" spans="1:12" x14ac:dyDescent="0.25">
      <c r="A37" s="97">
        <v>10</v>
      </c>
      <c r="B37" s="98">
        <v>8.32</v>
      </c>
      <c r="C37" s="98">
        <v>7.47</v>
      </c>
      <c r="D37" s="98">
        <v>6.62</v>
      </c>
      <c r="E37" s="98">
        <v>5.75</v>
      </c>
      <c r="F37" s="98">
        <v>4.8600000000000003</v>
      </c>
      <c r="G37" s="98">
        <v>3.96</v>
      </c>
      <c r="H37" s="98">
        <v>3.04</v>
      </c>
      <c r="I37" s="98">
        <v>2.1</v>
      </c>
      <c r="J37" s="98">
        <v>1.1399999999999999</v>
      </c>
      <c r="K37" s="98">
        <v>0.16</v>
      </c>
      <c r="L37" s="98"/>
    </row>
    <row r="38" spans="1:12" x14ac:dyDescent="0.25">
      <c r="A38" s="97">
        <v>11</v>
      </c>
      <c r="B38" s="98">
        <v>8.25</v>
      </c>
      <c r="C38" s="98">
        <v>7.4</v>
      </c>
      <c r="D38" s="98">
        <v>6.55</v>
      </c>
      <c r="E38" s="98">
        <v>5.67</v>
      </c>
      <c r="F38" s="98">
        <v>4.79</v>
      </c>
      <c r="G38" s="98">
        <v>3.88</v>
      </c>
      <c r="H38" s="98">
        <v>2.96</v>
      </c>
      <c r="I38" s="98">
        <v>2.02</v>
      </c>
      <c r="J38" s="98">
        <v>1.06</v>
      </c>
      <c r="K38" s="98">
        <v>0.08</v>
      </c>
      <c r="L38" s="98"/>
    </row>
    <row r="44" spans="1:12" ht="39.65" customHeight="1" x14ac:dyDescent="0.25"/>
    <row r="46" spans="1:12" ht="27.65" customHeight="1" x14ac:dyDescent="0.25"/>
  </sheetData>
  <conditionalFormatting sqref="A6:A21">
    <cfRule type="expression" dxfId="151" priority="1" stopIfTrue="1">
      <formula>MOD(ROW(),2)=0</formula>
    </cfRule>
    <cfRule type="expression" dxfId="150" priority="2" stopIfTrue="1">
      <formula>MOD(ROW(),2)&lt;&gt;0</formula>
    </cfRule>
  </conditionalFormatting>
  <conditionalFormatting sqref="A26:A38">
    <cfRule type="expression" dxfId="149" priority="15" stopIfTrue="1">
      <formula>MOD(ROW(),2)=0</formula>
    </cfRule>
    <cfRule type="expression" dxfId="148" priority="16" stopIfTrue="1">
      <formula>MOD(ROW(),2)&lt;&gt;0</formula>
    </cfRule>
  </conditionalFormatting>
  <conditionalFormatting sqref="B12">
    <cfRule type="expression" dxfId="147" priority="9" stopIfTrue="1">
      <formula>MOD(ROW(),2)=0</formula>
    </cfRule>
    <cfRule type="expression" dxfId="146" priority="10" stopIfTrue="1">
      <formula>MOD(ROW(),2)&lt;&gt;0</formula>
    </cfRule>
  </conditionalFormatting>
  <conditionalFormatting sqref="B18:B21">
    <cfRule type="expression" dxfId="145" priority="5" stopIfTrue="1">
      <formula>MOD(ROW(),2)=0</formula>
    </cfRule>
    <cfRule type="expression" dxfId="144" priority="6" stopIfTrue="1">
      <formula>MOD(ROW(),2)&lt;&gt;0</formula>
    </cfRule>
  </conditionalFormatting>
  <conditionalFormatting sqref="B6:L6 C7:L21">
    <cfRule type="expression" dxfId="143" priority="21" stopIfTrue="1">
      <formula>MOD(ROW(),2)=0</formula>
    </cfRule>
    <cfRule type="expression" dxfId="142" priority="22" stopIfTrue="1">
      <formula>MOD(ROW(),2)&lt;&gt;0</formula>
    </cfRule>
  </conditionalFormatting>
  <conditionalFormatting sqref="B6:L21">
    <cfRule type="expression" dxfId="141" priority="13" stopIfTrue="1">
      <formula>MOD(ROW(),2)=0</formula>
    </cfRule>
    <cfRule type="expression" dxfId="140" priority="14" stopIfTrue="1">
      <formula>MOD(ROW(),2)&lt;&gt;0</formula>
    </cfRule>
  </conditionalFormatting>
  <conditionalFormatting sqref="B26:L38">
    <cfRule type="expression" dxfId="139" priority="17" stopIfTrue="1">
      <formula>MOD(ROW(),2)=0</formula>
    </cfRule>
    <cfRule type="expression" dxfId="138" priority="18" stopIfTrue="1">
      <formula>MOD(ROW(),2)&lt;&gt;0</formula>
    </cfRule>
  </conditionalFormatting>
  <hyperlinks>
    <hyperlink ref="B24" location="Assumptions!A1" display="Assumptions" xr:uid="{B286DA8D-0C49-4983-9168-405D6BCCE50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6"/>
  <dimension ref="A1:M46"/>
  <sheetViews>
    <sheetView workbookViewId="0"/>
  </sheetViews>
  <sheetFormatPr defaultColWidth="10" defaultRowHeight="12.5" x14ac:dyDescent="0.25"/>
  <cols>
    <col min="1" max="1" width="31.54296875" style="28" customWidth="1"/>
    <col min="2" max="13" width="22.54296875" style="28" customWidth="1"/>
    <col min="14" max="16384" width="10" style="28"/>
  </cols>
  <sheetData>
    <row r="1" spans="1:13" ht="20" x14ac:dyDescent="0.4">
      <c r="A1" s="53" t="s">
        <v>0</v>
      </c>
      <c r="B1" s="54"/>
      <c r="C1" s="54"/>
      <c r="D1" s="54"/>
      <c r="E1" s="54"/>
      <c r="F1" s="54"/>
      <c r="G1" s="54"/>
      <c r="H1" s="54"/>
      <c r="I1" s="54"/>
    </row>
    <row r="2" spans="1:13"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3" ht="15.5" x14ac:dyDescent="0.35">
      <c r="A3" s="57" t="str">
        <f>TABLE_FACTOR_TYPE_1&amp;" - x-"&amp;TABLE_SERIES_NUMBER_1</f>
        <v>ARBO - x-723</v>
      </c>
      <c r="B3" s="56"/>
      <c r="C3" s="56"/>
      <c r="D3" s="56"/>
      <c r="E3" s="56"/>
      <c r="F3" s="56"/>
      <c r="G3" s="56"/>
      <c r="H3" s="56"/>
      <c r="I3" s="56"/>
    </row>
    <row r="4" spans="1:13" x14ac:dyDescent="0.25">
      <c r="A4" s="58"/>
    </row>
    <row r="6" spans="1:13" ht="13" x14ac:dyDescent="0.3">
      <c r="A6" s="92" t="s">
        <v>716</v>
      </c>
      <c r="B6" s="181" t="s">
        <v>717</v>
      </c>
      <c r="C6" s="181"/>
      <c r="D6" s="181"/>
      <c r="E6" s="181"/>
      <c r="F6" s="181"/>
      <c r="G6" s="181"/>
      <c r="H6" s="181"/>
      <c r="I6" s="181"/>
      <c r="J6" s="181"/>
      <c r="K6" s="181"/>
      <c r="L6" s="181"/>
      <c r="M6" s="181"/>
    </row>
    <row r="7" spans="1:13" x14ac:dyDescent="0.25">
      <c r="A7" s="94" t="s">
        <v>797</v>
      </c>
      <c r="B7" s="181" t="s">
        <v>316</v>
      </c>
      <c r="C7" s="181"/>
      <c r="D7" s="181"/>
      <c r="E7" s="181"/>
      <c r="F7" s="181"/>
      <c r="G7" s="181"/>
      <c r="H7" s="181"/>
      <c r="I7" s="181"/>
      <c r="J7" s="181"/>
      <c r="K7" s="181"/>
      <c r="L7" s="181"/>
      <c r="M7" s="181"/>
    </row>
    <row r="8" spans="1:13" x14ac:dyDescent="0.25">
      <c r="A8" s="94" t="s">
        <v>798</v>
      </c>
      <c r="B8" s="181" t="s">
        <v>92</v>
      </c>
      <c r="C8" s="181"/>
      <c r="D8" s="181"/>
      <c r="E8" s="181"/>
      <c r="F8" s="181"/>
      <c r="G8" s="181"/>
      <c r="H8" s="181"/>
      <c r="I8" s="181"/>
      <c r="J8" s="181"/>
      <c r="K8" s="181"/>
      <c r="L8" s="181"/>
      <c r="M8" s="181"/>
    </row>
    <row r="9" spans="1:13" x14ac:dyDescent="0.25">
      <c r="A9" s="94" t="s">
        <v>300</v>
      </c>
      <c r="B9" s="181" t="s">
        <v>670</v>
      </c>
      <c r="C9" s="181"/>
      <c r="D9" s="181"/>
      <c r="E9" s="181"/>
      <c r="F9" s="181"/>
      <c r="G9" s="181"/>
      <c r="H9" s="181"/>
      <c r="I9" s="181"/>
      <c r="J9" s="181"/>
      <c r="K9" s="181"/>
      <c r="L9" s="181"/>
      <c r="M9" s="181"/>
    </row>
    <row r="10" spans="1:13" x14ac:dyDescent="0.25">
      <c r="A10" s="94" t="s">
        <v>6</v>
      </c>
      <c r="B10" s="181" t="s">
        <v>676</v>
      </c>
      <c r="C10" s="181"/>
      <c r="D10" s="181"/>
      <c r="E10" s="181"/>
      <c r="F10" s="181"/>
      <c r="G10" s="181"/>
      <c r="H10" s="181"/>
      <c r="I10" s="181"/>
      <c r="J10" s="181"/>
      <c r="K10" s="181"/>
      <c r="L10" s="181"/>
      <c r="M10" s="181"/>
    </row>
    <row r="11" spans="1:13" x14ac:dyDescent="0.25">
      <c r="A11" s="94" t="s">
        <v>301</v>
      </c>
      <c r="B11" s="181" t="s">
        <v>319</v>
      </c>
      <c r="C11" s="181"/>
      <c r="D11" s="181"/>
      <c r="E11" s="181"/>
      <c r="F11" s="181"/>
      <c r="G11" s="181"/>
      <c r="H11" s="181"/>
      <c r="I11" s="181"/>
      <c r="J11" s="181"/>
      <c r="K11" s="181"/>
      <c r="L11" s="181"/>
      <c r="M11" s="181"/>
    </row>
    <row r="12" spans="1:13" x14ac:dyDescent="0.25">
      <c r="A12" s="94" t="s">
        <v>302</v>
      </c>
      <c r="B12" s="181" t="s">
        <v>672</v>
      </c>
      <c r="C12" s="181"/>
      <c r="D12" s="181"/>
      <c r="E12" s="181"/>
      <c r="F12" s="181"/>
      <c r="G12" s="181"/>
      <c r="H12" s="181"/>
      <c r="I12" s="181"/>
      <c r="J12" s="181"/>
      <c r="K12" s="181"/>
      <c r="L12" s="181"/>
      <c r="M12" s="181"/>
    </row>
    <row r="13" spans="1:13" x14ac:dyDescent="0.25">
      <c r="A13" s="94" t="s">
        <v>813</v>
      </c>
      <c r="B13" s="181">
        <v>0</v>
      </c>
      <c r="C13" s="181"/>
      <c r="D13" s="181"/>
      <c r="E13" s="181"/>
      <c r="F13" s="181"/>
      <c r="G13" s="181"/>
      <c r="H13" s="181"/>
      <c r="I13" s="181"/>
      <c r="J13" s="181"/>
      <c r="K13" s="181"/>
      <c r="L13" s="181"/>
      <c r="M13" s="181"/>
    </row>
    <row r="14" spans="1:13" x14ac:dyDescent="0.25">
      <c r="A14" s="94" t="s">
        <v>304</v>
      </c>
      <c r="B14" s="181">
        <v>723</v>
      </c>
      <c r="C14" s="181"/>
      <c r="D14" s="181"/>
      <c r="E14" s="181"/>
      <c r="F14" s="181"/>
      <c r="G14" s="181"/>
      <c r="H14" s="181"/>
      <c r="I14" s="181"/>
      <c r="J14" s="181"/>
      <c r="K14" s="181"/>
      <c r="L14" s="181"/>
      <c r="M14" s="181"/>
    </row>
    <row r="15" spans="1:13" x14ac:dyDescent="0.25">
      <c r="A15" s="94" t="s">
        <v>727</v>
      </c>
      <c r="B15" s="181" t="s">
        <v>677</v>
      </c>
      <c r="C15" s="181"/>
      <c r="D15" s="181"/>
      <c r="E15" s="181"/>
      <c r="F15" s="181"/>
      <c r="G15" s="181"/>
      <c r="H15" s="181"/>
      <c r="I15" s="181"/>
      <c r="J15" s="181"/>
      <c r="K15" s="181"/>
      <c r="L15" s="181"/>
      <c r="M15" s="181"/>
    </row>
    <row r="16" spans="1:13" x14ac:dyDescent="0.25">
      <c r="A16" s="94" t="s">
        <v>306</v>
      </c>
      <c r="B16" s="181" t="s">
        <v>678</v>
      </c>
      <c r="C16" s="181"/>
      <c r="D16" s="181"/>
      <c r="E16" s="181"/>
      <c r="F16" s="181"/>
      <c r="G16" s="181"/>
      <c r="H16" s="181"/>
      <c r="I16" s="181"/>
      <c r="J16" s="181"/>
      <c r="K16" s="181"/>
      <c r="L16" s="181"/>
      <c r="M16" s="181"/>
    </row>
    <row r="17" spans="1:13" x14ac:dyDescent="0.25">
      <c r="A17" s="94" t="s">
        <v>800</v>
      </c>
      <c r="B17" s="181"/>
      <c r="C17" s="181"/>
      <c r="D17" s="181"/>
      <c r="E17" s="181"/>
      <c r="F17" s="181"/>
      <c r="G17" s="181"/>
      <c r="H17" s="181"/>
      <c r="I17" s="181"/>
      <c r="J17" s="181"/>
      <c r="K17" s="181"/>
      <c r="L17" s="181"/>
      <c r="M17" s="181"/>
    </row>
    <row r="18" spans="1:13" x14ac:dyDescent="0.25">
      <c r="A18" s="94" t="s">
        <v>308</v>
      </c>
      <c r="B18" s="185">
        <v>45135</v>
      </c>
      <c r="C18" s="181"/>
      <c r="D18" s="181"/>
      <c r="E18" s="181"/>
      <c r="F18" s="181"/>
      <c r="G18" s="181"/>
      <c r="H18" s="181"/>
      <c r="I18" s="181"/>
      <c r="J18" s="181"/>
      <c r="K18" s="181"/>
      <c r="L18" s="181"/>
      <c r="M18" s="181"/>
    </row>
    <row r="19" spans="1:13" x14ac:dyDescent="0.25">
      <c r="A19" s="94" t="s">
        <v>309</v>
      </c>
      <c r="B19" s="185">
        <v>45231</v>
      </c>
      <c r="C19" s="181"/>
      <c r="D19" s="181"/>
      <c r="E19" s="181"/>
      <c r="F19" s="181"/>
      <c r="G19" s="181"/>
      <c r="H19" s="181"/>
      <c r="I19" s="181"/>
      <c r="J19" s="181"/>
      <c r="K19" s="181"/>
      <c r="L19" s="181"/>
      <c r="M19" s="181"/>
    </row>
    <row r="20" spans="1:13" x14ac:dyDescent="0.25">
      <c r="A20" s="94" t="s">
        <v>310</v>
      </c>
      <c r="B20" s="181" t="s">
        <v>324</v>
      </c>
      <c r="C20" s="181"/>
      <c r="D20" s="181"/>
      <c r="E20" s="181"/>
      <c r="F20" s="181"/>
      <c r="G20" s="181"/>
      <c r="H20" s="181"/>
      <c r="I20" s="181"/>
      <c r="J20" s="181"/>
      <c r="K20" s="181"/>
      <c r="L20" s="181"/>
      <c r="M20" s="181"/>
    </row>
    <row r="21" spans="1:13" x14ac:dyDescent="0.25">
      <c r="A21" s="87" t="s">
        <v>311</v>
      </c>
      <c r="B21" s="181" t="s">
        <v>325</v>
      </c>
      <c r="C21" s="181"/>
      <c r="D21" s="181"/>
      <c r="E21" s="181"/>
      <c r="F21" s="181"/>
      <c r="G21" s="181"/>
      <c r="H21" s="181"/>
      <c r="I21" s="181"/>
      <c r="J21" s="181"/>
      <c r="K21" s="181"/>
      <c r="L21" s="181"/>
      <c r="M21" s="181"/>
    </row>
    <row r="23" spans="1:13" x14ac:dyDescent="0.25">
      <c r="B23" s="104" t="str">
        <f>HYPERLINK("#'Factor List'!A1","Back to Factor List")</f>
        <v>Back to Factor List</v>
      </c>
    </row>
    <row r="24" spans="1:13" x14ac:dyDescent="0.25">
      <c r="B24" s="104" t="s">
        <v>13</v>
      </c>
    </row>
    <row r="26" spans="1:13" ht="13" x14ac:dyDescent="0.25">
      <c r="A26" s="96" t="s">
        <v>839</v>
      </c>
      <c r="B26" s="96">
        <v>55</v>
      </c>
      <c r="C26" s="96">
        <v>56</v>
      </c>
      <c r="D26" s="96">
        <v>57</v>
      </c>
      <c r="E26" s="96">
        <v>58</v>
      </c>
      <c r="F26" s="96">
        <v>59</v>
      </c>
      <c r="G26" s="96">
        <v>60</v>
      </c>
      <c r="H26" s="96">
        <v>61</v>
      </c>
      <c r="I26" s="96">
        <v>62</v>
      </c>
      <c r="J26" s="96">
        <v>63</v>
      </c>
      <c r="K26" s="96">
        <v>64</v>
      </c>
      <c r="L26" s="96">
        <v>65</v>
      </c>
      <c r="M26" s="96">
        <v>66</v>
      </c>
    </row>
    <row r="27" spans="1:13" x14ac:dyDescent="0.25">
      <c r="A27" s="97">
        <v>0</v>
      </c>
      <c r="B27" s="98">
        <v>9.8000000000000007</v>
      </c>
      <c r="C27" s="98">
        <v>8.99</v>
      </c>
      <c r="D27" s="98">
        <v>8.16</v>
      </c>
      <c r="E27" s="98">
        <v>7.32</v>
      </c>
      <c r="F27" s="98">
        <v>6.46</v>
      </c>
      <c r="G27" s="98">
        <v>5.59</v>
      </c>
      <c r="H27" s="98">
        <v>4.7</v>
      </c>
      <c r="I27" s="98">
        <v>3.8</v>
      </c>
      <c r="J27" s="98">
        <v>2.88</v>
      </c>
      <c r="K27" s="98">
        <v>1.94</v>
      </c>
      <c r="L27" s="98">
        <v>0.98</v>
      </c>
      <c r="M27" s="98">
        <v>0</v>
      </c>
    </row>
    <row r="28" spans="1:13" x14ac:dyDescent="0.25">
      <c r="A28" s="97">
        <v>1</v>
      </c>
      <c r="B28" s="98">
        <v>9.74</v>
      </c>
      <c r="C28" s="98">
        <v>8.92</v>
      </c>
      <c r="D28" s="98">
        <v>8.09</v>
      </c>
      <c r="E28" s="98">
        <v>7.25</v>
      </c>
      <c r="F28" s="98">
        <v>6.39</v>
      </c>
      <c r="G28" s="98">
        <v>5.52</v>
      </c>
      <c r="H28" s="98">
        <v>4.63</v>
      </c>
      <c r="I28" s="98">
        <v>3.72</v>
      </c>
      <c r="J28" s="98">
        <v>2.8</v>
      </c>
      <c r="K28" s="98">
        <v>1.86</v>
      </c>
      <c r="L28" s="98">
        <v>0.9</v>
      </c>
      <c r="M28" s="98"/>
    </row>
    <row r="29" spans="1:13" x14ac:dyDescent="0.25">
      <c r="A29" s="97">
        <v>2</v>
      </c>
      <c r="B29" s="98">
        <v>9.67</v>
      </c>
      <c r="C29" s="98">
        <v>8.85</v>
      </c>
      <c r="D29" s="98">
        <v>8.02</v>
      </c>
      <c r="E29" s="98">
        <v>7.18</v>
      </c>
      <c r="F29" s="98">
        <v>6.32</v>
      </c>
      <c r="G29" s="98">
        <v>5.44</v>
      </c>
      <c r="H29" s="98">
        <v>4.55</v>
      </c>
      <c r="I29" s="98">
        <v>3.65</v>
      </c>
      <c r="J29" s="98">
        <v>2.72</v>
      </c>
      <c r="K29" s="98">
        <v>1.78</v>
      </c>
      <c r="L29" s="98">
        <v>0.82</v>
      </c>
      <c r="M29" s="98"/>
    </row>
    <row r="30" spans="1:13" x14ac:dyDescent="0.25">
      <c r="A30" s="97">
        <v>3</v>
      </c>
      <c r="B30" s="98">
        <v>9.6</v>
      </c>
      <c r="C30" s="98">
        <v>8.7799999999999994</v>
      </c>
      <c r="D30" s="98">
        <v>7.95</v>
      </c>
      <c r="E30" s="98">
        <v>7.1</v>
      </c>
      <c r="F30" s="98">
        <v>6.24</v>
      </c>
      <c r="G30" s="98">
        <v>5.37</v>
      </c>
      <c r="H30" s="98">
        <v>4.4800000000000004</v>
      </c>
      <c r="I30" s="98">
        <v>3.57</v>
      </c>
      <c r="J30" s="98">
        <v>2.65</v>
      </c>
      <c r="K30" s="98">
        <v>1.7</v>
      </c>
      <c r="L30" s="98">
        <v>0.74</v>
      </c>
      <c r="M30" s="98"/>
    </row>
    <row r="31" spans="1:13" x14ac:dyDescent="0.25">
      <c r="A31" s="97">
        <v>4</v>
      </c>
      <c r="B31" s="98">
        <v>9.5299999999999994</v>
      </c>
      <c r="C31" s="98">
        <v>8.7100000000000009</v>
      </c>
      <c r="D31" s="98">
        <v>7.88</v>
      </c>
      <c r="E31" s="98">
        <v>7.03</v>
      </c>
      <c r="F31" s="98">
        <v>6.17</v>
      </c>
      <c r="G31" s="98">
        <v>5.29</v>
      </c>
      <c r="H31" s="98">
        <v>4.4000000000000004</v>
      </c>
      <c r="I31" s="98">
        <v>3.49</v>
      </c>
      <c r="J31" s="98">
        <v>2.57</v>
      </c>
      <c r="K31" s="98">
        <v>1.62</v>
      </c>
      <c r="L31" s="98">
        <v>0.65</v>
      </c>
      <c r="M31" s="98"/>
    </row>
    <row r="32" spans="1:13" x14ac:dyDescent="0.25">
      <c r="A32" s="97">
        <v>5</v>
      </c>
      <c r="B32" s="98">
        <v>9.4600000000000009</v>
      </c>
      <c r="C32" s="98">
        <v>8.64</v>
      </c>
      <c r="D32" s="98">
        <v>7.81</v>
      </c>
      <c r="E32" s="98">
        <v>6.96</v>
      </c>
      <c r="F32" s="98">
        <v>6.1</v>
      </c>
      <c r="G32" s="98">
        <v>5.22</v>
      </c>
      <c r="H32" s="98">
        <v>4.33</v>
      </c>
      <c r="I32" s="98">
        <v>3.42</v>
      </c>
      <c r="J32" s="98">
        <v>2.4900000000000002</v>
      </c>
      <c r="K32" s="98">
        <v>1.54</v>
      </c>
      <c r="L32" s="98">
        <v>0.56999999999999995</v>
      </c>
      <c r="M32" s="98"/>
    </row>
    <row r="33" spans="1:13" x14ac:dyDescent="0.25">
      <c r="A33" s="97">
        <v>6</v>
      </c>
      <c r="B33" s="98">
        <v>9.4</v>
      </c>
      <c r="C33" s="98">
        <v>8.57</v>
      </c>
      <c r="D33" s="98">
        <v>7.74</v>
      </c>
      <c r="E33" s="98">
        <v>6.89</v>
      </c>
      <c r="F33" s="98">
        <v>6.03</v>
      </c>
      <c r="G33" s="98">
        <v>5.15</v>
      </c>
      <c r="H33" s="98">
        <v>4.25</v>
      </c>
      <c r="I33" s="98">
        <v>3.34</v>
      </c>
      <c r="J33" s="98">
        <v>2.41</v>
      </c>
      <c r="K33" s="98">
        <v>1.46</v>
      </c>
      <c r="L33" s="98">
        <v>0.49</v>
      </c>
      <c r="M33" s="98"/>
    </row>
    <row r="34" spans="1:13" x14ac:dyDescent="0.25">
      <c r="A34" s="97">
        <v>7</v>
      </c>
      <c r="B34" s="98">
        <v>9.33</v>
      </c>
      <c r="C34" s="98">
        <v>8.51</v>
      </c>
      <c r="D34" s="98">
        <v>7.67</v>
      </c>
      <c r="E34" s="98">
        <v>6.82</v>
      </c>
      <c r="F34" s="98">
        <v>5.95</v>
      </c>
      <c r="G34" s="98">
        <v>5.07</v>
      </c>
      <c r="H34" s="98">
        <v>4.18</v>
      </c>
      <c r="I34" s="98">
        <v>3.26</v>
      </c>
      <c r="J34" s="98">
        <v>2.33</v>
      </c>
      <c r="K34" s="98">
        <v>1.38</v>
      </c>
      <c r="L34" s="98">
        <v>0.41</v>
      </c>
      <c r="M34" s="98"/>
    </row>
    <row r="35" spans="1:13" x14ac:dyDescent="0.25">
      <c r="A35" s="97">
        <v>8</v>
      </c>
      <c r="B35" s="98">
        <v>9.26</v>
      </c>
      <c r="C35" s="98">
        <v>8.44</v>
      </c>
      <c r="D35" s="98">
        <v>7.6</v>
      </c>
      <c r="E35" s="98">
        <v>6.75</v>
      </c>
      <c r="F35" s="98">
        <v>5.88</v>
      </c>
      <c r="G35" s="98">
        <v>5</v>
      </c>
      <c r="H35" s="98">
        <v>4.0999999999999996</v>
      </c>
      <c r="I35" s="98">
        <v>3.19</v>
      </c>
      <c r="J35" s="98">
        <v>2.25</v>
      </c>
      <c r="K35" s="98">
        <v>1.3</v>
      </c>
      <c r="L35" s="98">
        <v>0.33</v>
      </c>
      <c r="M35" s="98"/>
    </row>
    <row r="36" spans="1:13" x14ac:dyDescent="0.25">
      <c r="A36" s="97">
        <v>9</v>
      </c>
      <c r="B36" s="98">
        <v>9.19</v>
      </c>
      <c r="C36" s="98">
        <v>8.3699999999999992</v>
      </c>
      <c r="D36" s="98">
        <v>7.53</v>
      </c>
      <c r="E36" s="98">
        <v>6.68</v>
      </c>
      <c r="F36" s="98">
        <v>5.81</v>
      </c>
      <c r="G36" s="98">
        <v>4.92</v>
      </c>
      <c r="H36" s="98">
        <v>4.03</v>
      </c>
      <c r="I36" s="98">
        <v>3.11</v>
      </c>
      <c r="J36" s="98">
        <v>2.1800000000000002</v>
      </c>
      <c r="K36" s="98">
        <v>1.22</v>
      </c>
      <c r="L36" s="98">
        <v>0.25</v>
      </c>
      <c r="M36" s="98"/>
    </row>
    <row r="37" spans="1:13" x14ac:dyDescent="0.25">
      <c r="A37" s="97">
        <v>10</v>
      </c>
      <c r="B37" s="98">
        <v>9.1199999999999992</v>
      </c>
      <c r="C37" s="98">
        <v>8.3000000000000007</v>
      </c>
      <c r="D37" s="98">
        <v>7.46</v>
      </c>
      <c r="E37" s="98">
        <v>6.6</v>
      </c>
      <c r="F37" s="98">
        <v>5.74</v>
      </c>
      <c r="G37" s="98">
        <v>4.8499999999999996</v>
      </c>
      <c r="H37" s="98">
        <v>3.95</v>
      </c>
      <c r="I37" s="98">
        <v>3.03</v>
      </c>
      <c r="J37" s="98">
        <v>2.1</v>
      </c>
      <c r="K37" s="98">
        <v>1.1399999999999999</v>
      </c>
      <c r="L37" s="98">
        <v>0.16</v>
      </c>
      <c r="M37" s="98"/>
    </row>
    <row r="38" spans="1:13" x14ac:dyDescent="0.25">
      <c r="A38" s="97">
        <v>11</v>
      </c>
      <c r="B38" s="98">
        <v>9.06</v>
      </c>
      <c r="C38" s="98">
        <v>8.23</v>
      </c>
      <c r="D38" s="98">
        <v>7.39</v>
      </c>
      <c r="E38" s="98">
        <v>6.53</v>
      </c>
      <c r="F38" s="98">
        <v>5.66</v>
      </c>
      <c r="G38" s="98">
        <v>4.78</v>
      </c>
      <c r="H38" s="98">
        <v>3.88</v>
      </c>
      <c r="I38" s="98">
        <v>2.96</v>
      </c>
      <c r="J38" s="98">
        <v>2.02</v>
      </c>
      <c r="K38" s="98">
        <v>1.06</v>
      </c>
      <c r="L38" s="98">
        <v>0.08</v>
      </c>
      <c r="M38" s="98"/>
    </row>
    <row r="44" spans="1:13" ht="39.65" customHeight="1" x14ac:dyDescent="0.25"/>
    <row r="46" spans="1:13" ht="27.65" customHeight="1" x14ac:dyDescent="0.25"/>
  </sheetData>
  <conditionalFormatting sqref="A6:A21">
    <cfRule type="expression" dxfId="137" priority="1" stopIfTrue="1">
      <formula>MOD(ROW(),2)=0</formula>
    </cfRule>
    <cfRule type="expression" dxfId="136" priority="2" stopIfTrue="1">
      <formula>MOD(ROW(),2)&lt;&gt;0</formula>
    </cfRule>
  </conditionalFormatting>
  <conditionalFormatting sqref="A26:A38">
    <cfRule type="expression" dxfId="135" priority="19" stopIfTrue="1">
      <formula>MOD(ROW(),2)=0</formula>
    </cfRule>
    <cfRule type="expression" dxfId="134" priority="20" stopIfTrue="1">
      <formula>MOD(ROW(),2)&lt;&gt;0</formula>
    </cfRule>
  </conditionalFormatting>
  <conditionalFormatting sqref="B12">
    <cfRule type="expression" dxfId="133" priority="11" stopIfTrue="1">
      <formula>MOD(ROW(),2)=0</formula>
    </cfRule>
    <cfRule type="expression" dxfId="132" priority="12" stopIfTrue="1">
      <formula>MOD(ROW(),2)&lt;&gt;0</formula>
    </cfRule>
  </conditionalFormatting>
  <conditionalFormatting sqref="B17:B21">
    <cfRule type="expression" dxfId="131" priority="5" stopIfTrue="1">
      <formula>MOD(ROW(),2)=0</formula>
    </cfRule>
    <cfRule type="expression" dxfId="130" priority="6" stopIfTrue="1">
      <formula>MOD(ROW(),2)&lt;&gt;0</formula>
    </cfRule>
  </conditionalFormatting>
  <conditionalFormatting sqref="B6:M6 C7:M21">
    <cfRule type="expression" dxfId="129" priority="25" stopIfTrue="1">
      <formula>MOD(ROW(),2)=0</formula>
    </cfRule>
    <cfRule type="expression" dxfId="128" priority="26" stopIfTrue="1">
      <formula>MOD(ROW(),2)&lt;&gt;0</formula>
    </cfRule>
  </conditionalFormatting>
  <conditionalFormatting sqref="B6:M21">
    <cfRule type="expression" dxfId="127" priority="17" stopIfTrue="1">
      <formula>MOD(ROW(),2)=0</formula>
    </cfRule>
    <cfRule type="expression" dxfId="126" priority="18" stopIfTrue="1">
      <formula>MOD(ROW(),2)&lt;&gt;0</formula>
    </cfRule>
  </conditionalFormatting>
  <conditionalFormatting sqref="B26:M38">
    <cfRule type="expression" dxfId="125" priority="21" stopIfTrue="1">
      <formula>MOD(ROW(),2)=0</formula>
    </cfRule>
    <cfRule type="expression" dxfId="124" priority="22" stopIfTrue="1">
      <formula>MOD(ROW(),2)&lt;&gt;0</formula>
    </cfRule>
  </conditionalFormatting>
  <hyperlinks>
    <hyperlink ref="B24" location="Assumptions!A1" display="Assumptions" xr:uid="{D4BDDEC0-F872-4A6E-8079-CC86B0997A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9"/>
  <dimension ref="A1:N46"/>
  <sheetViews>
    <sheetView workbookViewId="0"/>
  </sheetViews>
  <sheetFormatPr defaultColWidth="10" defaultRowHeight="12.5" x14ac:dyDescent="0.25"/>
  <cols>
    <col min="1" max="1" width="31.54296875" style="28" customWidth="1"/>
    <col min="2" max="14" width="22.54296875" style="28" customWidth="1"/>
    <col min="15" max="16384" width="10" style="28"/>
  </cols>
  <sheetData>
    <row r="1" spans="1:14" ht="20" x14ac:dyDescent="0.4">
      <c r="A1" s="53" t="s">
        <v>0</v>
      </c>
      <c r="B1" s="54"/>
      <c r="C1" s="54"/>
      <c r="D1" s="54"/>
      <c r="E1" s="54"/>
      <c r="F1" s="54"/>
      <c r="G1" s="54"/>
      <c r="H1" s="54"/>
      <c r="I1" s="54"/>
    </row>
    <row r="2" spans="1:14"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4" ht="15.5" x14ac:dyDescent="0.35">
      <c r="A3" s="57" t="str">
        <f>TABLE_FACTOR_TYPE_1&amp;" - x-"&amp;TABLE_SERIES_NUMBER_1</f>
        <v>ARBO - x-724</v>
      </c>
      <c r="B3" s="56"/>
      <c r="C3" s="56"/>
      <c r="D3" s="56"/>
      <c r="E3" s="56"/>
      <c r="F3" s="56"/>
      <c r="G3" s="56"/>
      <c r="H3" s="56"/>
      <c r="I3" s="56"/>
    </row>
    <row r="4" spans="1:14" x14ac:dyDescent="0.25">
      <c r="A4" s="58"/>
    </row>
    <row r="6" spans="1:14" ht="13" x14ac:dyDescent="0.3">
      <c r="A6" s="92" t="s">
        <v>716</v>
      </c>
      <c r="B6" s="181" t="s">
        <v>717</v>
      </c>
      <c r="C6" s="181"/>
      <c r="D6" s="181"/>
      <c r="E6" s="181"/>
      <c r="F6" s="181"/>
      <c r="G6" s="181"/>
      <c r="H6" s="181"/>
      <c r="I6" s="181"/>
      <c r="J6" s="181"/>
      <c r="K6" s="181"/>
      <c r="L6" s="181"/>
      <c r="M6" s="181"/>
      <c r="N6" s="181"/>
    </row>
    <row r="7" spans="1:14" x14ac:dyDescent="0.25">
      <c r="A7" s="94" t="s">
        <v>797</v>
      </c>
      <c r="B7" s="181" t="s">
        <v>316</v>
      </c>
      <c r="C7" s="181"/>
      <c r="D7" s="181"/>
      <c r="E7" s="181"/>
      <c r="F7" s="181"/>
      <c r="G7" s="181"/>
      <c r="H7" s="181"/>
      <c r="I7" s="181"/>
      <c r="J7" s="181"/>
      <c r="K7" s="181"/>
      <c r="L7" s="181"/>
      <c r="M7" s="181"/>
      <c r="N7" s="181"/>
    </row>
    <row r="8" spans="1:14" x14ac:dyDescent="0.25">
      <c r="A8" s="94" t="s">
        <v>798</v>
      </c>
      <c r="B8" s="181" t="s">
        <v>92</v>
      </c>
      <c r="C8" s="181"/>
      <c r="D8" s="181"/>
      <c r="E8" s="181"/>
      <c r="F8" s="181"/>
      <c r="G8" s="181"/>
      <c r="H8" s="181"/>
      <c r="I8" s="181"/>
      <c r="J8" s="181"/>
      <c r="K8" s="181"/>
      <c r="L8" s="181"/>
      <c r="M8" s="181"/>
      <c r="N8" s="181"/>
    </row>
    <row r="9" spans="1:14" x14ac:dyDescent="0.25">
      <c r="A9" s="94" t="s">
        <v>300</v>
      </c>
      <c r="B9" s="181" t="s">
        <v>670</v>
      </c>
      <c r="C9" s="181"/>
      <c r="D9" s="181"/>
      <c r="E9" s="181"/>
      <c r="F9" s="181"/>
      <c r="G9" s="181"/>
      <c r="H9" s="181"/>
      <c r="I9" s="181"/>
      <c r="J9" s="181"/>
      <c r="K9" s="181"/>
      <c r="L9" s="181"/>
      <c r="M9" s="181"/>
      <c r="N9" s="181"/>
    </row>
    <row r="10" spans="1:14" x14ac:dyDescent="0.25">
      <c r="A10" s="94" t="s">
        <v>6</v>
      </c>
      <c r="B10" s="181" t="s">
        <v>680</v>
      </c>
      <c r="C10" s="181"/>
      <c r="D10" s="181"/>
      <c r="E10" s="181"/>
      <c r="F10" s="181"/>
      <c r="G10" s="181"/>
      <c r="H10" s="181"/>
      <c r="I10" s="181"/>
      <c r="J10" s="181"/>
      <c r="K10" s="181"/>
      <c r="L10" s="181"/>
      <c r="M10" s="181"/>
      <c r="N10" s="181"/>
    </row>
    <row r="11" spans="1:14" x14ac:dyDescent="0.25">
      <c r="A11" s="94" t="s">
        <v>301</v>
      </c>
      <c r="B11" s="181" t="s">
        <v>319</v>
      </c>
      <c r="C11" s="181"/>
      <c r="D11" s="181"/>
      <c r="E11" s="181"/>
      <c r="F11" s="181"/>
      <c r="G11" s="181"/>
      <c r="H11" s="181"/>
      <c r="I11" s="181"/>
      <c r="J11" s="181"/>
      <c r="K11" s="181"/>
      <c r="L11" s="181"/>
      <c r="M11" s="181"/>
      <c r="N11" s="181"/>
    </row>
    <row r="12" spans="1:14" x14ac:dyDescent="0.25">
      <c r="A12" s="94" t="s">
        <v>302</v>
      </c>
      <c r="B12" s="181" t="s">
        <v>672</v>
      </c>
      <c r="C12" s="181"/>
      <c r="D12" s="181"/>
      <c r="E12" s="181"/>
      <c r="F12" s="181"/>
      <c r="G12" s="181"/>
      <c r="H12" s="181"/>
      <c r="I12" s="181"/>
      <c r="J12" s="181"/>
      <c r="K12" s="181"/>
      <c r="L12" s="181"/>
      <c r="M12" s="181"/>
      <c r="N12" s="181"/>
    </row>
    <row r="13" spans="1:14" x14ac:dyDescent="0.25">
      <c r="A13" s="94" t="s">
        <v>813</v>
      </c>
      <c r="B13" s="181">
        <v>0</v>
      </c>
      <c r="C13" s="181"/>
      <c r="D13" s="181"/>
      <c r="E13" s="181"/>
      <c r="F13" s="181"/>
      <c r="G13" s="181"/>
      <c r="H13" s="181"/>
      <c r="I13" s="181"/>
      <c r="J13" s="181"/>
      <c r="K13" s="181"/>
      <c r="L13" s="181"/>
      <c r="M13" s="181"/>
      <c r="N13" s="181"/>
    </row>
    <row r="14" spans="1:14" x14ac:dyDescent="0.25">
      <c r="A14" s="94" t="s">
        <v>304</v>
      </c>
      <c r="B14" s="181">
        <v>724</v>
      </c>
      <c r="C14" s="181"/>
      <c r="D14" s="181"/>
      <c r="E14" s="181"/>
      <c r="F14" s="181"/>
      <c r="G14" s="181"/>
      <c r="H14" s="181"/>
      <c r="I14" s="181"/>
      <c r="J14" s="181"/>
      <c r="K14" s="181"/>
      <c r="L14" s="181"/>
      <c r="M14" s="181"/>
      <c r="N14" s="181"/>
    </row>
    <row r="15" spans="1:14" x14ac:dyDescent="0.25">
      <c r="A15" s="94" t="s">
        <v>727</v>
      </c>
      <c r="B15" s="181" t="s">
        <v>681</v>
      </c>
      <c r="C15" s="181"/>
      <c r="D15" s="181"/>
      <c r="E15" s="181"/>
      <c r="F15" s="181"/>
      <c r="G15" s="181"/>
      <c r="H15" s="181"/>
      <c r="I15" s="181"/>
      <c r="J15" s="181"/>
      <c r="K15" s="181"/>
      <c r="L15" s="181"/>
      <c r="M15" s="181"/>
      <c r="N15" s="181"/>
    </row>
    <row r="16" spans="1:14" x14ac:dyDescent="0.25">
      <c r="A16" s="94" t="s">
        <v>306</v>
      </c>
      <c r="B16" s="181" t="s">
        <v>682</v>
      </c>
      <c r="C16" s="181"/>
      <c r="D16" s="181"/>
      <c r="E16" s="181"/>
      <c r="F16" s="181"/>
      <c r="G16" s="181"/>
      <c r="H16" s="181"/>
      <c r="I16" s="181"/>
      <c r="J16" s="181"/>
      <c r="K16" s="181"/>
      <c r="L16" s="181"/>
      <c r="M16" s="181"/>
      <c r="N16" s="181"/>
    </row>
    <row r="17" spans="1:14" x14ac:dyDescent="0.25">
      <c r="A17" s="94" t="s">
        <v>800</v>
      </c>
      <c r="B17" s="181"/>
      <c r="C17" s="181"/>
      <c r="D17" s="181"/>
      <c r="E17" s="181"/>
      <c r="F17" s="181"/>
      <c r="G17" s="181"/>
      <c r="H17" s="181"/>
      <c r="I17" s="181"/>
      <c r="J17" s="181"/>
      <c r="K17" s="181"/>
      <c r="L17" s="181"/>
      <c r="M17" s="181"/>
      <c r="N17" s="181"/>
    </row>
    <row r="18" spans="1:14" x14ac:dyDescent="0.25">
      <c r="A18" s="94" t="s">
        <v>308</v>
      </c>
      <c r="B18" s="185">
        <v>45135</v>
      </c>
      <c r="C18" s="181"/>
      <c r="D18" s="181"/>
      <c r="E18" s="181"/>
      <c r="F18" s="181"/>
      <c r="G18" s="181"/>
      <c r="H18" s="181"/>
      <c r="I18" s="181"/>
      <c r="J18" s="181"/>
      <c r="K18" s="181"/>
      <c r="L18" s="181"/>
      <c r="M18" s="181"/>
      <c r="N18" s="181"/>
    </row>
    <row r="19" spans="1:14" x14ac:dyDescent="0.25">
      <c r="A19" s="94" t="s">
        <v>309</v>
      </c>
      <c r="B19" s="185">
        <v>45231</v>
      </c>
      <c r="C19" s="181"/>
      <c r="D19" s="181"/>
      <c r="E19" s="181"/>
      <c r="F19" s="181"/>
      <c r="G19" s="181"/>
      <c r="H19" s="181"/>
      <c r="I19" s="181"/>
      <c r="J19" s="181"/>
      <c r="K19" s="181"/>
      <c r="L19" s="181"/>
      <c r="M19" s="181"/>
      <c r="N19" s="181"/>
    </row>
    <row r="20" spans="1:14" x14ac:dyDescent="0.25">
      <c r="A20" s="94" t="s">
        <v>310</v>
      </c>
      <c r="B20" s="181" t="s">
        <v>324</v>
      </c>
      <c r="C20" s="181"/>
      <c r="D20" s="181"/>
      <c r="E20" s="181"/>
      <c r="F20" s="181"/>
      <c r="G20" s="181"/>
      <c r="H20" s="181"/>
      <c r="I20" s="181"/>
      <c r="J20" s="181"/>
      <c r="K20" s="181"/>
      <c r="L20" s="181"/>
      <c r="M20" s="181"/>
      <c r="N20" s="181"/>
    </row>
    <row r="21" spans="1:14" x14ac:dyDescent="0.25">
      <c r="A21" s="87" t="s">
        <v>311</v>
      </c>
      <c r="B21" s="181" t="s">
        <v>325</v>
      </c>
      <c r="C21" s="181"/>
      <c r="D21" s="181"/>
      <c r="E21" s="181"/>
      <c r="F21" s="181"/>
      <c r="G21" s="181"/>
      <c r="H21" s="181"/>
      <c r="I21" s="181"/>
      <c r="J21" s="181"/>
      <c r="K21" s="181"/>
      <c r="L21" s="181"/>
      <c r="M21" s="181"/>
      <c r="N21" s="181"/>
    </row>
    <row r="23" spans="1:14" x14ac:dyDescent="0.25">
      <c r="B23" s="104" t="str">
        <f>HYPERLINK("#'Factor List'!A1","Back to Factor List")</f>
        <v>Back to Factor List</v>
      </c>
    </row>
    <row r="24" spans="1:14" x14ac:dyDescent="0.25">
      <c r="B24" s="104" t="s">
        <v>13</v>
      </c>
    </row>
    <row r="26" spans="1:14" ht="13" x14ac:dyDescent="0.25">
      <c r="A26" s="96" t="s">
        <v>839</v>
      </c>
      <c r="B26" s="96">
        <v>55</v>
      </c>
      <c r="C26" s="96">
        <v>56</v>
      </c>
      <c r="D26" s="96">
        <v>57</v>
      </c>
      <c r="E26" s="96">
        <v>58</v>
      </c>
      <c r="F26" s="96">
        <v>59</v>
      </c>
      <c r="G26" s="96">
        <v>60</v>
      </c>
      <c r="H26" s="96">
        <v>61</v>
      </c>
      <c r="I26" s="96">
        <v>62</v>
      </c>
      <c r="J26" s="96">
        <v>63</v>
      </c>
      <c r="K26" s="96">
        <v>64</v>
      </c>
      <c r="L26" s="96">
        <v>65</v>
      </c>
      <c r="M26" s="96">
        <v>66</v>
      </c>
      <c r="N26" s="96">
        <v>67</v>
      </c>
    </row>
    <row r="27" spans="1:14" x14ac:dyDescent="0.25">
      <c r="A27" s="97">
        <v>0</v>
      </c>
      <c r="B27" s="98">
        <v>10.58</v>
      </c>
      <c r="C27" s="98">
        <v>9.7799999999999994</v>
      </c>
      <c r="D27" s="98">
        <v>8.9700000000000006</v>
      </c>
      <c r="E27" s="98">
        <v>8.14</v>
      </c>
      <c r="F27" s="98">
        <v>7.3</v>
      </c>
      <c r="G27" s="98">
        <v>6.45</v>
      </c>
      <c r="H27" s="98">
        <v>5.58</v>
      </c>
      <c r="I27" s="98">
        <v>4.6900000000000004</v>
      </c>
      <c r="J27" s="98">
        <v>3.79</v>
      </c>
      <c r="K27" s="98">
        <v>2.88</v>
      </c>
      <c r="L27" s="98">
        <v>1.94</v>
      </c>
      <c r="M27" s="98">
        <v>0.98</v>
      </c>
      <c r="N27" s="98">
        <v>0</v>
      </c>
    </row>
    <row r="28" spans="1:14" x14ac:dyDescent="0.25">
      <c r="A28" s="97">
        <v>1</v>
      </c>
      <c r="B28" s="98">
        <v>10.51</v>
      </c>
      <c r="C28" s="98">
        <v>9.7100000000000009</v>
      </c>
      <c r="D28" s="98">
        <v>8.9</v>
      </c>
      <c r="E28" s="98">
        <v>8.07</v>
      </c>
      <c r="F28" s="98">
        <v>7.23</v>
      </c>
      <c r="G28" s="98">
        <v>6.37</v>
      </c>
      <c r="H28" s="98">
        <v>5.5</v>
      </c>
      <c r="I28" s="98">
        <v>4.62</v>
      </c>
      <c r="J28" s="98">
        <v>3.72</v>
      </c>
      <c r="K28" s="98">
        <v>2.8</v>
      </c>
      <c r="L28" s="98">
        <v>1.86</v>
      </c>
      <c r="M28" s="98">
        <v>0.9</v>
      </c>
      <c r="N28" s="98"/>
    </row>
    <row r="29" spans="1:14" x14ac:dyDescent="0.25">
      <c r="A29" s="97">
        <v>2</v>
      </c>
      <c r="B29" s="98">
        <v>10.45</v>
      </c>
      <c r="C29" s="98">
        <v>9.64</v>
      </c>
      <c r="D29" s="98">
        <v>8.83</v>
      </c>
      <c r="E29" s="98">
        <v>8</v>
      </c>
      <c r="F29" s="98">
        <v>7.16</v>
      </c>
      <c r="G29" s="98">
        <v>6.3</v>
      </c>
      <c r="H29" s="98">
        <v>5.43</v>
      </c>
      <c r="I29" s="98">
        <v>4.54</v>
      </c>
      <c r="J29" s="98">
        <v>3.64</v>
      </c>
      <c r="K29" s="98">
        <v>2.72</v>
      </c>
      <c r="L29" s="98">
        <v>1.78</v>
      </c>
      <c r="M29" s="98">
        <v>0.82</v>
      </c>
      <c r="N29" s="98"/>
    </row>
    <row r="30" spans="1:14" x14ac:dyDescent="0.25">
      <c r="A30" s="97">
        <v>3</v>
      </c>
      <c r="B30" s="98">
        <v>10.38</v>
      </c>
      <c r="C30" s="98">
        <v>9.58</v>
      </c>
      <c r="D30" s="98">
        <v>8.76</v>
      </c>
      <c r="E30" s="98">
        <v>7.93</v>
      </c>
      <c r="F30" s="98">
        <v>7.09</v>
      </c>
      <c r="G30" s="98">
        <v>6.23</v>
      </c>
      <c r="H30" s="98">
        <v>5.36</v>
      </c>
      <c r="I30" s="98">
        <v>4.47</v>
      </c>
      <c r="J30" s="98">
        <v>3.56</v>
      </c>
      <c r="K30" s="98">
        <v>2.64</v>
      </c>
      <c r="L30" s="98">
        <v>1.7</v>
      </c>
      <c r="M30" s="98">
        <v>0.74</v>
      </c>
      <c r="N30" s="98"/>
    </row>
    <row r="31" spans="1:14" x14ac:dyDescent="0.25">
      <c r="A31" s="97">
        <v>4</v>
      </c>
      <c r="B31" s="98">
        <v>10.31</v>
      </c>
      <c r="C31" s="98">
        <v>9.51</v>
      </c>
      <c r="D31" s="98">
        <v>8.69</v>
      </c>
      <c r="E31" s="98">
        <v>7.86</v>
      </c>
      <c r="F31" s="98">
        <v>7.02</v>
      </c>
      <c r="G31" s="98">
        <v>6.16</v>
      </c>
      <c r="H31" s="98">
        <v>5.28</v>
      </c>
      <c r="I31" s="98">
        <v>4.3899999999999997</v>
      </c>
      <c r="J31" s="98">
        <v>3.49</v>
      </c>
      <c r="K31" s="98">
        <v>2.56</v>
      </c>
      <c r="L31" s="98">
        <v>1.62</v>
      </c>
      <c r="M31" s="98">
        <v>0.65</v>
      </c>
      <c r="N31" s="98"/>
    </row>
    <row r="32" spans="1:14" x14ac:dyDescent="0.25">
      <c r="A32" s="97">
        <v>5</v>
      </c>
      <c r="B32" s="98">
        <v>10.25</v>
      </c>
      <c r="C32" s="98">
        <v>9.44</v>
      </c>
      <c r="D32" s="98">
        <v>8.6199999999999992</v>
      </c>
      <c r="E32" s="98">
        <v>7.79</v>
      </c>
      <c r="F32" s="98">
        <v>6.94</v>
      </c>
      <c r="G32" s="98">
        <v>6.08</v>
      </c>
      <c r="H32" s="98">
        <v>5.21</v>
      </c>
      <c r="I32" s="98">
        <v>4.32</v>
      </c>
      <c r="J32" s="98">
        <v>3.41</v>
      </c>
      <c r="K32" s="98">
        <v>2.4900000000000002</v>
      </c>
      <c r="L32" s="98">
        <v>1.54</v>
      </c>
      <c r="M32" s="98">
        <v>0.56999999999999995</v>
      </c>
      <c r="N32" s="98"/>
    </row>
    <row r="33" spans="1:14" x14ac:dyDescent="0.25">
      <c r="A33" s="97">
        <v>6</v>
      </c>
      <c r="B33" s="98">
        <v>10.18</v>
      </c>
      <c r="C33" s="98">
        <v>9.3699999999999992</v>
      </c>
      <c r="D33" s="98">
        <v>8.5500000000000007</v>
      </c>
      <c r="E33" s="98">
        <v>7.72</v>
      </c>
      <c r="F33" s="98">
        <v>6.87</v>
      </c>
      <c r="G33" s="98">
        <v>6.01</v>
      </c>
      <c r="H33" s="98">
        <v>5.14</v>
      </c>
      <c r="I33" s="98">
        <v>4.24</v>
      </c>
      <c r="J33" s="98">
        <v>3.33</v>
      </c>
      <c r="K33" s="98">
        <v>2.41</v>
      </c>
      <c r="L33" s="98">
        <v>1.46</v>
      </c>
      <c r="M33" s="98">
        <v>0.49</v>
      </c>
      <c r="N33" s="98"/>
    </row>
    <row r="34" spans="1:14" x14ac:dyDescent="0.25">
      <c r="A34" s="97">
        <v>7</v>
      </c>
      <c r="B34" s="98">
        <v>10.11</v>
      </c>
      <c r="C34" s="98">
        <v>9.31</v>
      </c>
      <c r="D34" s="98">
        <v>8.49</v>
      </c>
      <c r="E34" s="98">
        <v>7.65</v>
      </c>
      <c r="F34" s="98">
        <v>6.8</v>
      </c>
      <c r="G34" s="98">
        <v>5.94</v>
      </c>
      <c r="H34" s="98">
        <v>5.0599999999999996</v>
      </c>
      <c r="I34" s="98">
        <v>4.17</v>
      </c>
      <c r="J34" s="98">
        <v>3.26</v>
      </c>
      <c r="K34" s="98">
        <v>2.33</v>
      </c>
      <c r="L34" s="98">
        <v>1.38</v>
      </c>
      <c r="M34" s="98">
        <v>0.41</v>
      </c>
      <c r="N34" s="98"/>
    </row>
    <row r="35" spans="1:14" x14ac:dyDescent="0.25">
      <c r="A35" s="97">
        <v>8</v>
      </c>
      <c r="B35" s="98">
        <v>10.050000000000001</v>
      </c>
      <c r="C35" s="98">
        <v>9.24</v>
      </c>
      <c r="D35" s="98">
        <v>8.42</v>
      </c>
      <c r="E35" s="98">
        <v>7.58</v>
      </c>
      <c r="F35" s="98">
        <v>6.73</v>
      </c>
      <c r="G35" s="98">
        <v>5.87</v>
      </c>
      <c r="H35" s="98">
        <v>4.99</v>
      </c>
      <c r="I35" s="98">
        <v>4.09</v>
      </c>
      <c r="J35" s="98">
        <v>3.18</v>
      </c>
      <c r="K35" s="98">
        <v>2.25</v>
      </c>
      <c r="L35" s="98">
        <v>1.3</v>
      </c>
      <c r="M35" s="98">
        <v>0.33</v>
      </c>
      <c r="N35" s="98"/>
    </row>
    <row r="36" spans="1:14" x14ac:dyDescent="0.25">
      <c r="A36" s="97">
        <v>9</v>
      </c>
      <c r="B36" s="98">
        <v>9.98</v>
      </c>
      <c r="C36" s="98">
        <v>9.17</v>
      </c>
      <c r="D36" s="98">
        <v>8.35</v>
      </c>
      <c r="E36" s="98">
        <v>7.51</v>
      </c>
      <c r="F36" s="98">
        <v>6.66</v>
      </c>
      <c r="G36" s="98">
        <v>5.8</v>
      </c>
      <c r="H36" s="98">
        <v>4.92</v>
      </c>
      <c r="I36" s="98">
        <v>4.0199999999999996</v>
      </c>
      <c r="J36" s="98">
        <v>3.11</v>
      </c>
      <c r="K36" s="98">
        <v>2.17</v>
      </c>
      <c r="L36" s="98">
        <v>1.22</v>
      </c>
      <c r="M36" s="98">
        <v>0.25</v>
      </c>
      <c r="N36" s="98"/>
    </row>
    <row r="37" spans="1:14" x14ac:dyDescent="0.25">
      <c r="A37" s="97">
        <v>10</v>
      </c>
      <c r="B37" s="98">
        <v>9.91</v>
      </c>
      <c r="C37" s="98">
        <v>9.1</v>
      </c>
      <c r="D37" s="98">
        <v>8.2799999999999994</v>
      </c>
      <c r="E37" s="98">
        <v>7.44</v>
      </c>
      <c r="F37" s="98">
        <v>6.59</v>
      </c>
      <c r="G37" s="98">
        <v>5.72</v>
      </c>
      <c r="H37" s="98">
        <v>4.84</v>
      </c>
      <c r="I37" s="98">
        <v>3.94</v>
      </c>
      <c r="J37" s="98">
        <v>3.03</v>
      </c>
      <c r="K37" s="98">
        <v>2.09</v>
      </c>
      <c r="L37" s="98">
        <v>1.1399999999999999</v>
      </c>
      <c r="M37" s="98">
        <v>0.16</v>
      </c>
      <c r="N37" s="98"/>
    </row>
    <row r="38" spans="1:14" x14ac:dyDescent="0.25">
      <c r="A38" s="97">
        <v>11</v>
      </c>
      <c r="B38" s="98">
        <v>9.85</v>
      </c>
      <c r="C38" s="98">
        <v>9.0299999999999994</v>
      </c>
      <c r="D38" s="98">
        <v>8.2100000000000009</v>
      </c>
      <c r="E38" s="98">
        <v>7.37</v>
      </c>
      <c r="F38" s="98">
        <v>6.52</v>
      </c>
      <c r="G38" s="98">
        <v>5.65</v>
      </c>
      <c r="H38" s="98">
        <v>4.7699999999999996</v>
      </c>
      <c r="I38" s="98">
        <v>3.87</v>
      </c>
      <c r="J38" s="98">
        <v>2.95</v>
      </c>
      <c r="K38" s="98">
        <v>2.02</v>
      </c>
      <c r="L38" s="98">
        <v>1.06</v>
      </c>
      <c r="M38" s="98">
        <v>0.08</v>
      </c>
      <c r="N38" s="98"/>
    </row>
    <row r="44" spans="1:14" ht="39.65" customHeight="1" x14ac:dyDescent="0.25"/>
    <row r="46" spans="1:14" ht="27.65" customHeight="1" x14ac:dyDescent="0.25"/>
  </sheetData>
  <conditionalFormatting sqref="A6:A21">
    <cfRule type="expression" dxfId="123" priority="1" stopIfTrue="1">
      <formula>MOD(ROW(),2)=0</formula>
    </cfRule>
    <cfRule type="expression" dxfId="122" priority="2" stopIfTrue="1">
      <formula>MOD(ROW(),2)&lt;&gt;0</formula>
    </cfRule>
  </conditionalFormatting>
  <conditionalFormatting sqref="A26:A38">
    <cfRule type="expression" dxfId="121" priority="15" stopIfTrue="1">
      <formula>MOD(ROW(),2)=0</formula>
    </cfRule>
    <cfRule type="expression" dxfId="120" priority="16" stopIfTrue="1">
      <formula>MOD(ROW(),2)&lt;&gt;0</formula>
    </cfRule>
  </conditionalFormatting>
  <conditionalFormatting sqref="B17:B21">
    <cfRule type="expression" dxfId="119" priority="5" stopIfTrue="1">
      <formula>MOD(ROW(),2)=0</formula>
    </cfRule>
    <cfRule type="expression" dxfId="118" priority="6" stopIfTrue="1">
      <formula>MOD(ROW(),2)&lt;&gt;0</formula>
    </cfRule>
  </conditionalFormatting>
  <conditionalFormatting sqref="B6:N21">
    <cfRule type="expression" dxfId="117" priority="21" stopIfTrue="1">
      <formula>MOD(ROW(),2)=0</formula>
    </cfRule>
    <cfRule type="expression" dxfId="116" priority="22" stopIfTrue="1">
      <formula>MOD(ROW(),2)&lt;&gt;0</formula>
    </cfRule>
  </conditionalFormatting>
  <conditionalFormatting sqref="B26:N38">
    <cfRule type="expression" dxfId="115" priority="17" stopIfTrue="1">
      <formula>MOD(ROW(),2)=0</formula>
    </cfRule>
    <cfRule type="expression" dxfId="114" priority="18" stopIfTrue="1">
      <formula>MOD(ROW(),2)&lt;&gt;0</formula>
    </cfRule>
  </conditionalFormatting>
  <hyperlinks>
    <hyperlink ref="B24" location="Assumptions!A1" display="Assumptions" xr:uid="{93E72A3E-110C-4D2D-BAE7-3ABBF35531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20"/>
  <dimension ref="A1:O46"/>
  <sheetViews>
    <sheetView workbookViewId="0"/>
  </sheetViews>
  <sheetFormatPr defaultColWidth="10" defaultRowHeight="12.5" x14ac:dyDescent="0.25"/>
  <cols>
    <col min="1" max="1" width="31.54296875" style="28" customWidth="1"/>
    <col min="2" max="15" width="22.54296875" style="28" customWidth="1"/>
    <col min="16" max="16384" width="10" style="28"/>
  </cols>
  <sheetData>
    <row r="1" spans="1:15" ht="20" x14ac:dyDescent="0.4">
      <c r="A1" s="53" t="s">
        <v>0</v>
      </c>
      <c r="B1" s="54"/>
      <c r="C1" s="54"/>
      <c r="D1" s="54"/>
      <c r="E1" s="54"/>
      <c r="F1" s="54"/>
      <c r="G1" s="54"/>
      <c r="H1" s="54"/>
      <c r="I1" s="54"/>
    </row>
    <row r="2" spans="1:15"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5" ht="15.5" x14ac:dyDescent="0.35">
      <c r="A3" s="57" t="str">
        <f>TABLE_FACTOR_TYPE_1&amp;" - x-"&amp;TABLE_SERIES_NUMBER_1</f>
        <v>ARBO - x-725</v>
      </c>
      <c r="B3" s="56"/>
      <c r="C3" s="56"/>
      <c r="D3" s="56"/>
      <c r="E3" s="56"/>
      <c r="F3" s="56"/>
      <c r="G3" s="56"/>
      <c r="H3" s="56"/>
      <c r="I3" s="56"/>
    </row>
    <row r="4" spans="1:15" x14ac:dyDescent="0.25">
      <c r="A4" s="58"/>
    </row>
    <row r="6" spans="1:15" ht="13" x14ac:dyDescent="0.3">
      <c r="A6" s="92" t="s">
        <v>716</v>
      </c>
      <c r="B6" s="181" t="s">
        <v>717</v>
      </c>
      <c r="C6" s="181"/>
      <c r="D6" s="181"/>
      <c r="E6" s="181"/>
      <c r="F6" s="181"/>
      <c r="G6" s="181"/>
      <c r="H6" s="181"/>
      <c r="I6" s="181"/>
      <c r="J6" s="181"/>
      <c r="K6" s="181"/>
      <c r="L6" s="181"/>
      <c r="M6" s="181"/>
      <c r="N6" s="181"/>
      <c r="O6" s="181"/>
    </row>
    <row r="7" spans="1:15" x14ac:dyDescent="0.25">
      <c r="A7" s="94" t="s">
        <v>797</v>
      </c>
      <c r="B7" s="181" t="s">
        <v>316</v>
      </c>
      <c r="C7" s="181"/>
      <c r="D7" s="181"/>
      <c r="E7" s="181"/>
      <c r="F7" s="181"/>
      <c r="G7" s="181"/>
      <c r="H7" s="181"/>
      <c r="I7" s="181"/>
      <c r="J7" s="181"/>
      <c r="K7" s="181"/>
      <c r="L7" s="181"/>
      <c r="M7" s="181"/>
      <c r="N7" s="181"/>
      <c r="O7" s="181"/>
    </row>
    <row r="8" spans="1:15" x14ac:dyDescent="0.25">
      <c r="A8" s="94" t="s">
        <v>798</v>
      </c>
      <c r="B8" s="181" t="s">
        <v>92</v>
      </c>
      <c r="C8" s="181"/>
      <c r="D8" s="181"/>
      <c r="E8" s="181"/>
      <c r="F8" s="181"/>
      <c r="G8" s="181"/>
      <c r="H8" s="181"/>
      <c r="I8" s="181"/>
      <c r="J8" s="181"/>
      <c r="K8" s="181"/>
      <c r="L8" s="181"/>
      <c r="M8" s="181"/>
      <c r="N8" s="181"/>
      <c r="O8" s="181"/>
    </row>
    <row r="9" spans="1:15" x14ac:dyDescent="0.25">
      <c r="A9" s="94" t="s">
        <v>300</v>
      </c>
      <c r="B9" s="181" t="s">
        <v>670</v>
      </c>
      <c r="C9" s="181"/>
      <c r="D9" s="181"/>
      <c r="E9" s="181"/>
      <c r="F9" s="181"/>
      <c r="G9" s="181"/>
      <c r="H9" s="181"/>
      <c r="I9" s="181"/>
      <c r="J9" s="181"/>
      <c r="K9" s="181"/>
      <c r="L9" s="181"/>
      <c r="M9" s="181"/>
      <c r="N9" s="181"/>
      <c r="O9" s="181"/>
    </row>
    <row r="10" spans="1:15" x14ac:dyDescent="0.25">
      <c r="A10" s="94" t="s">
        <v>6</v>
      </c>
      <c r="B10" s="181" t="s">
        <v>683</v>
      </c>
      <c r="C10" s="181"/>
      <c r="D10" s="181"/>
      <c r="E10" s="181"/>
      <c r="F10" s="181"/>
      <c r="G10" s="181"/>
      <c r="H10" s="181"/>
      <c r="I10" s="181"/>
      <c r="J10" s="181"/>
      <c r="K10" s="181"/>
      <c r="L10" s="181"/>
      <c r="M10" s="181"/>
      <c r="N10" s="181"/>
      <c r="O10" s="181"/>
    </row>
    <row r="11" spans="1:15" x14ac:dyDescent="0.25">
      <c r="A11" s="94" t="s">
        <v>301</v>
      </c>
      <c r="B11" s="181" t="s">
        <v>319</v>
      </c>
      <c r="C11" s="181"/>
      <c r="D11" s="181"/>
      <c r="E11" s="181"/>
      <c r="F11" s="181"/>
      <c r="G11" s="181"/>
      <c r="H11" s="181"/>
      <c r="I11" s="181"/>
      <c r="J11" s="181"/>
      <c r="K11" s="181"/>
      <c r="L11" s="181"/>
      <c r="M11" s="181"/>
      <c r="N11" s="181"/>
      <c r="O11" s="181"/>
    </row>
    <row r="12" spans="1:15" x14ac:dyDescent="0.25">
      <c r="A12" s="94" t="s">
        <v>302</v>
      </c>
      <c r="B12" s="181" t="s">
        <v>672</v>
      </c>
      <c r="C12" s="181"/>
      <c r="D12" s="181"/>
      <c r="E12" s="181"/>
      <c r="F12" s="181"/>
      <c r="G12" s="181"/>
      <c r="H12" s="181"/>
      <c r="I12" s="181"/>
      <c r="J12" s="181"/>
      <c r="K12" s="181"/>
      <c r="L12" s="181"/>
      <c r="M12" s="181"/>
      <c r="N12" s="181"/>
      <c r="O12" s="181"/>
    </row>
    <row r="13" spans="1:15" x14ac:dyDescent="0.25">
      <c r="A13" s="94" t="s">
        <v>813</v>
      </c>
      <c r="B13" s="181">
        <v>0</v>
      </c>
      <c r="C13" s="181"/>
      <c r="D13" s="181"/>
      <c r="E13" s="181"/>
      <c r="F13" s="181"/>
      <c r="G13" s="181"/>
      <c r="H13" s="181"/>
      <c r="I13" s="181"/>
      <c r="J13" s="181"/>
      <c r="K13" s="181"/>
      <c r="L13" s="181"/>
      <c r="M13" s="181"/>
      <c r="N13" s="181"/>
      <c r="O13" s="181"/>
    </row>
    <row r="14" spans="1:15" x14ac:dyDescent="0.25">
      <c r="A14" s="94" t="s">
        <v>304</v>
      </c>
      <c r="B14" s="181">
        <v>725</v>
      </c>
      <c r="C14" s="181"/>
      <c r="D14" s="181"/>
      <c r="E14" s="181"/>
      <c r="F14" s="181"/>
      <c r="G14" s="181"/>
      <c r="H14" s="181"/>
      <c r="I14" s="181"/>
      <c r="J14" s="181"/>
      <c r="K14" s="181"/>
      <c r="L14" s="181"/>
      <c r="M14" s="181"/>
      <c r="N14" s="181"/>
      <c r="O14" s="181"/>
    </row>
    <row r="15" spans="1:15" x14ac:dyDescent="0.25">
      <c r="A15" s="94" t="s">
        <v>727</v>
      </c>
      <c r="B15" s="181" t="s">
        <v>684</v>
      </c>
      <c r="C15" s="181"/>
      <c r="D15" s="181"/>
      <c r="E15" s="181"/>
      <c r="F15" s="181"/>
      <c r="G15" s="181"/>
      <c r="H15" s="181"/>
      <c r="I15" s="181"/>
      <c r="J15" s="181"/>
      <c r="K15" s="181"/>
      <c r="L15" s="181"/>
      <c r="M15" s="181"/>
      <c r="N15" s="181"/>
      <c r="O15" s="181"/>
    </row>
    <row r="16" spans="1:15" x14ac:dyDescent="0.25">
      <c r="A16" s="94" t="s">
        <v>306</v>
      </c>
      <c r="B16" s="181" t="s">
        <v>685</v>
      </c>
      <c r="C16" s="181"/>
      <c r="D16" s="181"/>
      <c r="E16" s="181"/>
      <c r="F16" s="181"/>
      <c r="G16" s="181"/>
      <c r="H16" s="181"/>
      <c r="I16" s="181"/>
      <c r="J16" s="181"/>
      <c r="K16" s="181"/>
      <c r="L16" s="181"/>
      <c r="M16" s="181"/>
      <c r="N16" s="181"/>
      <c r="O16" s="181"/>
    </row>
    <row r="17" spans="1:15" x14ac:dyDescent="0.25">
      <c r="A17" s="94" t="s">
        <v>800</v>
      </c>
      <c r="B17" s="181"/>
      <c r="C17" s="181"/>
      <c r="D17" s="181"/>
      <c r="E17" s="181"/>
      <c r="F17" s="181"/>
      <c r="G17" s="181"/>
      <c r="H17" s="181"/>
      <c r="I17" s="181"/>
      <c r="J17" s="181"/>
      <c r="K17" s="181"/>
      <c r="L17" s="181"/>
      <c r="M17" s="181"/>
      <c r="N17" s="181"/>
      <c r="O17" s="181"/>
    </row>
    <row r="18" spans="1:15" x14ac:dyDescent="0.25">
      <c r="A18" s="94" t="s">
        <v>308</v>
      </c>
      <c r="B18" s="185">
        <v>45135</v>
      </c>
      <c r="C18" s="181"/>
      <c r="D18" s="181"/>
      <c r="E18" s="181"/>
      <c r="F18" s="181"/>
      <c r="G18" s="181"/>
      <c r="H18" s="181"/>
      <c r="I18" s="181"/>
      <c r="J18" s="181"/>
      <c r="K18" s="181"/>
      <c r="L18" s="181"/>
      <c r="M18" s="181"/>
      <c r="N18" s="181"/>
      <c r="O18" s="181"/>
    </row>
    <row r="19" spans="1:15" x14ac:dyDescent="0.25">
      <c r="A19" s="94" t="s">
        <v>309</v>
      </c>
      <c r="B19" s="185">
        <v>45231</v>
      </c>
      <c r="C19" s="181"/>
      <c r="D19" s="181"/>
      <c r="E19" s="181"/>
      <c r="F19" s="181"/>
      <c r="G19" s="181"/>
      <c r="H19" s="181"/>
      <c r="I19" s="181"/>
      <c r="J19" s="181"/>
      <c r="K19" s="181"/>
      <c r="L19" s="181"/>
      <c r="M19" s="181"/>
      <c r="N19" s="181"/>
      <c r="O19" s="181"/>
    </row>
    <row r="20" spans="1:15" x14ac:dyDescent="0.25">
      <c r="A20" s="94" t="s">
        <v>310</v>
      </c>
      <c r="B20" s="181" t="s">
        <v>324</v>
      </c>
      <c r="C20" s="181"/>
      <c r="D20" s="181"/>
      <c r="E20" s="181"/>
      <c r="F20" s="181"/>
      <c r="G20" s="181"/>
      <c r="H20" s="181"/>
      <c r="I20" s="181"/>
      <c r="J20" s="181"/>
      <c r="K20" s="181"/>
      <c r="L20" s="181"/>
      <c r="M20" s="181"/>
      <c r="N20" s="181"/>
      <c r="O20" s="181"/>
    </row>
    <row r="21" spans="1:15" x14ac:dyDescent="0.25">
      <c r="A21" s="87" t="s">
        <v>311</v>
      </c>
      <c r="B21" s="181" t="s">
        <v>325</v>
      </c>
      <c r="C21" s="181"/>
      <c r="D21" s="181"/>
      <c r="E21" s="181"/>
      <c r="F21" s="181"/>
      <c r="G21" s="181"/>
      <c r="H21" s="181"/>
      <c r="I21" s="181"/>
      <c r="J21" s="181"/>
      <c r="K21" s="181"/>
      <c r="L21" s="181"/>
      <c r="M21" s="181"/>
      <c r="N21" s="181"/>
      <c r="O21" s="181"/>
    </row>
    <row r="23" spans="1:15" x14ac:dyDescent="0.25">
      <c r="B23" s="104" t="str">
        <f>HYPERLINK("#'Factor List'!A1","Back to Factor List")</f>
        <v>Back to Factor List</v>
      </c>
    </row>
    <row r="24" spans="1:15" x14ac:dyDescent="0.25">
      <c r="B24" s="104" t="s">
        <v>13</v>
      </c>
    </row>
    <row r="26" spans="1:15" ht="13" x14ac:dyDescent="0.25">
      <c r="A26" s="96" t="s">
        <v>839</v>
      </c>
      <c r="B26" s="96">
        <v>55</v>
      </c>
      <c r="C26" s="96">
        <v>56</v>
      </c>
      <c r="D26" s="96">
        <v>57</v>
      </c>
      <c r="E26" s="96">
        <v>58</v>
      </c>
      <c r="F26" s="96">
        <v>59</v>
      </c>
      <c r="G26" s="96">
        <v>60</v>
      </c>
      <c r="H26" s="96">
        <v>61</v>
      </c>
      <c r="I26" s="96">
        <v>62</v>
      </c>
      <c r="J26" s="96">
        <v>63</v>
      </c>
      <c r="K26" s="96">
        <v>64</v>
      </c>
      <c r="L26" s="96">
        <v>65</v>
      </c>
      <c r="M26" s="96">
        <v>66</v>
      </c>
      <c r="N26" s="96">
        <v>67</v>
      </c>
      <c r="O26" s="96">
        <v>68</v>
      </c>
    </row>
    <row r="27" spans="1:15" x14ac:dyDescent="0.25">
      <c r="A27" s="97">
        <v>0</v>
      </c>
      <c r="B27" s="98">
        <v>11.34</v>
      </c>
      <c r="C27" s="98">
        <v>10.55</v>
      </c>
      <c r="D27" s="98">
        <v>9.75</v>
      </c>
      <c r="E27" s="98">
        <v>8.94</v>
      </c>
      <c r="F27" s="98">
        <v>8.1199999999999992</v>
      </c>
      <c r="G27" s="98">
        <v>7.28</v>
      </c>
      <c r="H27" s="98">
        <v>6.43</v>
      </c>
      <c r="I27" s="98">
        <v>5.56</v>
      </c>
      <c r="J27" s="98">
        <v>4.68</v>
      </c>
      <c r="K27" s="98">
        <v>3.79</v>
      </c>
      <c r="L27" s="98">
        <v>2.87</v>
      </c>
      <c r="M27" s="98">
        <v>1.94</v>
      </c>
      <c r="N27" s="98">
        <v>0.98</v>
      </c>
      <c r="O27" s="98">
        <v>0</v>
      </c>
    </row>
    <row r="28" spans="1:15" x14ac:dyDescent="0.25">
      <c r="A28" s="97">
        <v>1</v>
      </c>
      <c r="B28" s="98">
        <v>11.27</v>
      </c>
      <c r="C28" s="98">
        <v>10.49</v>
      </c>
      <c r="D28" s="98">
        <v>9.69</v>
      </c>
      <c r="E28" s="98">
        <v>8.8699999999999992</v>
      </c>
      <c r="F28" s="98">
        <v>8.0500000000000007</v>
      </c>
      <c r="G28" s="98">
        <v>7.21</v>
      </c>
      <c r="H28" s="98">
        <v>6.36</v>
      </c>
      <c r="I28" s="98">
        <v>5.49</v>
      </c>
      <c r="J28" s="98">
        <v>4.6100000000000003</v>
      </c>
      <c r="K28" s="98">
        <v>3.71</v>
      </c>
      <c r="L28" s="98">
        <v>2.79</v>
      </c>
      <c r="M28" s="98">
        <v>1.86</v>
      </c>
      <c r="N28" s="98">
        <v>0.9</v>
      </c>
      <c r="O28" s="98"/>
    </row>
    <row r="29" spans="1:15" x14ac:dyDescent="0.25">
      <c r="A29" s="97">
        <v>2</v>
      </c>
      <c r="B29" s="98">
        <v>11.21</v>
      </c>
      <c r="C29" s="98">
        <v>10.42</v>
      </c>
      <c r="D29" s="98">
        <v>9.6199999999999992</v>
      </c>
      <c r="E29" s="98">
        <v>8.81</v>
      </c>
      <c r="F29" s="98">
        <v>7.98</v>
      </c>
      <c r="G29" s="98">
        <v>7.14</v>
      </c>
      <c r="H29" s="98">
        <v>6.29</v>
      </c>
      <c r="I29" s="98">
        <v>5.42</v>
      </c>
      <c r="J29" s="98">
        <v>4.53</v>
      </c>
      <c r="K29" s="98">
        <v>3.63</v>
      </c>
      <c r="L29" s="98">
        <v>2.71</v>
      </c>
      <c r="M29" s="98">
        <v>1.78</v>
      </c>
      <c r="N29" s="98">
        <v>0.82</v>
      </c>
      <c r="O29" s="98"/>
    </row>
    <row r="30" spans="1:15" x14ac:dyDescent="0.25">
      <c r="A30" s="97">
        <v>3</v>
      </c>
      <c r="B30" s="98">
        <v>11.14</v>
      </c>
      <c r="C30" s="98">
        <v>10.35</v>
      </c>
      <c r="D30" s="98">
        <v>9.5500000000000007</v>
      </c>
      <c r="E30" s="98">
        <v>8.74</v>
      </c>
      <c r="F30" s="98">
        <v>7.91</v>
      </c>
      <c r="G30" s="98">
        <v>7.07</v>
      </c>
      <c r="H30" s="98">
        <v>6.21</v>
      </c>
      <c r="I30" s="98">
        <v>5.34</v>
      </c>
      <c r="J30" s="98">
        <v>4.46</v>
      </c>
      <c r="K30" s="98">
        <v>3.56</v>
      </c>
      <c r="L30" s="98">
        <v>2.64</v>
      </c>
      <c r="M30" s="98">
        <v>1.7</v>
      </c>
      <c r="N30" s="98">
        <v>0.73</v>
      </c>
      <c r="O30" s="98"/>
    </row>
    <row r="31" spans="1:15" x14ac:dyDescent="0.25">
      <c r="A31" s="97">
        <v>4</v>
      </c>
      <c r="B31" s="98">
        <v>11.08</v>
      </c>
      <c r="C31" s="98">
        <v>10.29</v>
      </c>
      <c r="D31" s="98">
        <v>9.48</v>
      </c>
      <c r="E31" s="98">
        <v>8.67</v>
      </c>
      <c r="F31" s="98">
        <v>7.84</v>
      </c>
      <c r="G31" s="98">
        <v>7</v>
      </c>
      <c r="H31" s="98">
        <v>6.14</v>
      </c>
      <c r="I31" s="98">
        <v>5.27</v>
      </c>
      <c r="J31" s="98">
        <v>4.38</v>
      </c>
      <c r="K31" s="98">
        <v>3.48</v>
      </c>
      <c r="L31" s="98">
        <v>2.56</v>
      </c>
      <c r="M31" s="98">
        <v>1.62</v>
      </c>
      <c r="N31" s="98">
        <v>0.65</v>
      </c>
      <c r="O31" s="98"/>
    </row>
    <row r="32" spans="1:15" x14ac:dyDescent="0.25">
      <c r="A32" s="97">
        <v>5</v>
      </c>
      <c r="B32" s="98">
        <v>11.01</v>
      </c>
      <c r="C32" s="98">
        <v>10.220000000000001</v>
      </c>
      <c r="D32" s="98">
        <v>9.42</v>
      </c>
      <c r="E32" s="98">
        <v>8.6</v>
      </c>
      <c r="F32" s="98">
        <v>7.77</v>
      </c>
      <c r="G32" s="98">
        <v>6.93</v>
      </c>
      <c r="H32" s="98">
        <v>6.07</v>
      </c>
      <c r="I32" s="98">
        <v>5.2</v>
      </c>
      <c r="J32" s="98">
        <v>4.3099999999999996</v>
      </c>
      <c r="K32" s="98">
        <v>3.4</v>
      </c>
      <c r="L32" s="98">
        <v>2.48</v>
      </c>
      <c r="M32" s="98">
        <v>1.54</v>
      </c>
      <c r="N32" s="98">
        <v>0.56999999999999995</v>
      </c>
      <c r="O32" s="98"/>
    </row>
    <row r="33" spans="1:15" x14ac:dyDescent="0.25">
      <c r="A33" s="97">
        <v>6</v>
      </c>
      <c r="B33" s="98">
        <v>10.94</v>
      </c>
      <c r="C33" s="98">
        <v>10.15</v>
      </c>
      <c r="D33" s="98">
        <v>9.35</v>
      </c>
      <c r="E33" s="98">
        <v>8.5299999999999994</v>
      </c>
      <c r="F33" s="98">
        <v>7.7</v>
      </c>
      <c r="G33" s="98">
        <v>6.86</v>
      </c>
      <c r="H33" s="98">
        <v>6</v>
      </c>
      <c r="I33" s="98">
        <v>5.12</v>
      </c>
      <c r="J33" s="98">
        <v>4.2300000000000004</v>
      </c>
      <c r="K33" s="98">
        <v>3.33</v>
      </c>
      <c r="L33" s="98">
        <v>2.4</v>
      </c>
      <c r="M33" s="98">
        <v>1.46</v>
      </c>
      <c r="N33" s="98">
        <v>0.49</v>
      </c>
      <c r="O33" s="98"/>
    </row>
    <row r="34" spans="1:15" x14ac:dyDescent="0.25">
      <c r="A34" s="97">
        <v>7</v>
      </c>
      <c r="B34" s="98">
        <v>10.88</v>
      </c>
      <c r="C34" s="98">
        <v>10.09</v>
      </c>
      <c r="D34" s="98">
        <v>9.2799999999999994</v>
      </c>
      <c r="E34" s="98">
        <v>8.4600000000000009</v>
      </c>
      <c r="F34" s="98">
        <v>7.63</v>
      </c>
      <c r="G34" s="98">
        <v>6.79</v>
      </c>
      <c r="H34" s="98">
        <v>5.93</v>
      </c>
      <c r="I34" s="98">
        <v>5.05</v>
      </c>
      <c r="J34" s="98">
        <v>4.16</v>
      </c>
      <c r="K34" s="98">
        <v>3.25</v>
      </c>
      <c r="L34" s="98">
        <v>2.33</v>
      </c>
      <c r="M34" s="98">
        <v>1.38</v>
      </c>
      <c r="N34" s="98">
        <v>0.41</v>
      </c>
      <c r="O34" s="98"/>
    </row>
    <row r="35" spans="1:15" x14ac:dyDescent="0.25">
      <c r="A35" s="97">
        <v>8</v>
      </c>
      <c r="B35" s="98">
        <v>10.81</v>
      </c>
      <c r="C35" s="98">
        <v>10.02</v>
      </c>
      <c r="D35" s="98">
        <v>9.2100000000000009</v>
      </c>
      <c r="E35" s="98">
        <v>8.39</v>
      </c>
      <c r="F35" s="98">
        <v>7.56</v>
      </c>
      <c r="G35" s="98">
        <v>6.71</v>
      </c>
      <c r="H35" s="98">
        <v>5.85</v>
      </c>
      <c r="I35" s="98">
        <v>4.9800000000000004</v>
      </c>
      <c r="J35" s="98">
        <v>4.09</v>
      </c>
      <c r="K35" s="98">
        <v>3.18</v>
      </c>
      <c r="L35" s="98">
        <v>2.25</v>
      </c>
      <c r="M35" s="98">
        <v>1.3</v>
      </c>
      <c r="N35" s="98">
        <v>0.33</v>
      </c>
      <c r="O35" s="98"/>
    </row>
    <row r="36" spans="1:15" x14ac:dyDescent="0.25">
      <c r="A36" s="97">
        <v>9</v>
      </c>
      <c r="B36" s="98">
        <v>10.75</v>
      </c>
      <c r="C36" s="98">
        <v>9.9499999999999993</v>
      </c>
      <c r="D36" s="98">
        <v>9.15</v>
      </c>
      <c r="E36" s="98">
        <v>8.32</v>
      </c>
      <c r="F36" s="98">
        <v>7.49</v>
      </c>
      <c r="G36" s="98">
        <v>6.64</v>
      </c>
      <c r="H36" s="98">
        <v>5.78</v>
      </c>
      <c r="I36" s="98">
        <v>4.9000000000000004</v>
      </c>
      <c r="J36" s="98">
        <v>4.01</v>
      </c>
      <c r="K36" s="98">
        <v>3.1</v>
      </c>
      <c r="L36" s="98">
        <v>2.17</v>
      </c>
      <c r="M36" s="98">
        <v>1.22</v>
      </c>
      <c r="N36" s="98">
        <v>0.24</v>
      </c>
      <c r="O36" s="98"/>
    </row>
    <row r="37" spans="1:15" x14ac:dyDescent="0.25">
      <c r="A37" s="97">
        <v>10</v>
      </c>
      <c r="B37" s="98">
        <v>10.68</v>
      </c>
      <c r="C37" s="98">
        <v>9.89</v>
      </c>
      <c r="D37" s="98">
        <v>9.08</v>
      </c>
      <c r="E37" s="98">
        <v>8.26</v>
      </c>
      <c r="F37" s="98">
        <v>7.42</v>
      </c>
      <c r="G37" s="98">
        <v>6.57</v>
      </c>
      <c r="H37" s="98">
        <v>5.71</v>
      </c>
      <c r="I37" s="98">
        <v>4.83</v>
      </c>
      <c r="J37" s="98">
        <v>3.94</v>
      </c>
      <c r="K37" s="98">
        <v>3.02</v>
      </c>
      <c r="L37" s="98">
        <v>2.09</v>
      </c>
      <c r="M37" s="98">
        <v>1.1399999999999999</v>
      </c>
      <c r="N37" s="98">
        <v>0.16</v>
      </c>
      <c r="O37" s="98"/>
    </row>
    <row r="38" spans="1:15" x14ac:dyDescent="0.25">
      <c r="A38" s="97">
        <v>11</v>
      </c>
      <c r="B38" s="98">
        <v>10.62</v>
      </c>
      <c r="C38" s="98">
        <v>9.82</v>
      </c>
      <c r="D38" s="98">
        <v>9.01</v>
      </c>
      <c r="E38" s="98">
        <v>8.19</v>
      </c>
      <c r="F38" s="98">
        <v>7.35</v>
      </c>
      <c r="G38" s="98">
        <v>6.5</v>
      </c>
      <c r="H38" s="98">
        <v>5.64</v>
      </c>
      <c r="I38" s="98">
        <v>4.76</v>
      </c>
      <c r="J38" s="98">
        <v>3.86</v>
      </c>
      <c r="K38" s="98">
        <v>2.95</v>
      </c>
      <c r="L38" s="98">
        <v>2.0099999999999998</v>
      </c>
      <c r="M38" s="98">
        <v>1.06</v>
      </c>
      <c r="N38" s="98">
        <v>0.08</v>
      </c>
      <c r="O38" s="98"/>
    </row>
    <row r="44" spans="1:15" ht="39.65" customHeight="1" x14ac:dyDescent="0.25"/>
    <row r="46" spans="1:15" ht="27.65" customHeight="1" x14ac:dyDescent="0.25"/>
  </sheetData>
  <conditionalFormatting sqref="A6:A21">
    <cfRule type="expression" dxfId="113" priority="1" stopIfTrue="1">
      <formula>MOD(ROW(),2)=0</formula>
    </cfRule>
    <cfRule type="expression" dxfId="112" priority="2" stopIfTrue="1">
      <formula>MOD(ROW(),2)&lt;&gt;0</formula>
    </cfRule>
  </conditionalFormatting>
  <conditionalFormatting sqref="A26:A38">
    <cfRule type="expression" dxfId="111" priority="19" stopIfTrue="1">
      <formula>MOD(ROW(),2)=0</formula>
    </cfRule>
    <cfRule type="expression" dxfId="110" priority="20" stopIfTrue="1">
      <formula>MOD(ROW(),2)&lt;&gt;0</formula>
    </cfRule>
  </conditionalFormatting>
  <conditionalFormatting sqref="B12">
    <cfRule type="expression" dxfId="109" priority="11" stopIfTrue="1">
      <formula>MOD(ROW(),2)=0</formula>
    </cfRule>
    <cfRule type="expression" dxfId="108" priority="12" stopIfTrue="1">
      <formula>MOD(ROW(),2)&lt;&gt;0</formula>
    </cfRule>
  </conditionalFormatting>
  <conditionalFormatting sqref="B17:B21">
    <cfRule type="expression" dxfId="107" priority="5" stopIfTrue="1">
      <formula>MOD(ROW(),2)=0</formula>
    </cfRule>
    <cfRule type="expression" dxfId="106" priority="6" stopIfTrue="1">
      <formula>MOD(ROW(),2)&lt;&gt;0</formula>
    </cfRule>
  </conditionalFormatting>
  <conditionalFormatting sqref="B6:O6 C7:O21">
    <cfRule type="expression" dxfId="105" priority="25" stopIfTrue="1">
      <formula>MOD(ROW(),2)=0</formula>
    </cfRule>
    <cfRule type="expression" dxfId="104" priority="26" stopIfTrue="1">
      <formula>MOD(ROW(),2)&lt;&gt;0</formula>
    </cfRule>
  </conditionalFormatting>
  <conditionalFormatting sqref="B6:O21">
    <cfRule type="expression" dxfId="103" priority="17" stopIfTrue="1">
      <formula>MOD(ROW(),2)=0</formula>
    </cfRule>
    <cfRule type="expression" dxfId="102" priority="18" stopIfTrue="1">
      <formula>MOD(ROW(),2)&lt;&gt;0</formula>
    </cfRule>
  </conditionalFormatting>
  <conditionalFormatting sqref="B26:O38">
    <cfRule type="expression" dxfId="101" priority="9" stopIfTrue="1">
      <formula>MOD(ROW(),2)=0</formula>
    </cfRule>
    <cfRule type="expression" dxfId="100" priority="10" stopIfTrue="1">
      <formula>MOD(ROW(),2)&lt;&gt;0</formula>
    </cfRule>
  </conditionalFormatting>
  <hyperlinks>
    <hyperlink ref="B24" location="Assumptions!A1" display="Assumptions" xr:uid="{27BD1841-04E2-4474-9069-49B692887AB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21"/>
  <dimension ref="A1:L46"/>
  <sheetViews>
    <sheetView workbookViewId="0"/>
  </sheetViews>
  <sheetFormatPr defaultColWidth="10" defaultRowHeight="12.5" x14ac:dyDescent="0.25"/>
  <cols>
    <col min="1" max="1" width="31.54296875" style="28" customWidth="1"/>
    <col min="2" max="12" width="22.54296875" style="28" customWidth="1"/>
    <col min="13" max="16384" width="10" style="28"/>
  </cols>
  <sheetData>
    <row r="1" spans="1:12" ht="20" x14ac:dyDescent="0.4">
      <c r="A1" s="53" t="s">
        <v>0</v>
      </c>
      <c r="B1" s="54"/>
      <c r="C1" s="54"/>
      <c r="D1" s="54"/>
      <c r="E1" s="54"/>
      <c r="F1" s="54"/>
      <c r="G1" s="54"/>
      <c r="H1" s="54"/>
      <c r="I1" s="54"/>
    </row>
    <row r="2" spans="1:12"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2" ht="15.5" x14ac:dyDescent="0.35">
      <c r="A3" s="57" t="str">
        <f>TABLE_FACTOR_TYPE_1&amp;" - x-"&amp;TABLE_SERIES_NUMBER_1</f>
        <v>ARBO - x-726</v>
      </c>
      <c r="B3" s="56"/>
      <c r="C3" s="56"/>
      <c r="D3" s="56"/>
      <c r="E3" s="56"/>
      <c r="F3" s="56"/>
      <c r="G3" s="56"/>
      <c r="H3" s="56"/>
      <c r="I3" s="56"/>
    </row>
    <row r="4" spans="1:12" x14ac:dyDescent="0.25">
      <c r="A4" s="58"/>
    </row>
    <row r="6" spans="1:12" ht="13" x14ac:dyDescent="0.3">
      <c r="A6" s="92" t="s">
        <v>716</v>
      </c>
      <c r="B6" s="181" t="s">
        <v>717</v>
      </c>
      <c r="C6" s="181"/>
      <c r="D6" s="181"/>
      <c r="E6" s="181"/>
      <c r="F6" s="181"/>
      <c r="G6" s="181"/>
      <c r="H6" s="181"/>
      <c r="I6" s="181"/>
      <c r="J6" s="181"/>
      <c r="K6" s="181"/>
      <c r="L6" s="181"/>
    </row>
    <row r="7" spans="1:12" x14ac:dyDescent="0.25">
      <c r="A7" s="94" t="s">
        <v>298</v>
      </c>
      <c r="B7" s="181" t="s">
        <v>326</v>
      </c>
      <c r="C7" s="181"/>
      <c r="D7" s="181"/>
      <c r="E7" s="181"/>
      <c r="F7" s="181"/>
      <c r="G7" s="181"/>
      <c r="H7" s="181"/>
      <c r="I7" s="181"/>
      <c r="J7" s="181"/>
      <c r="K7" s="181"/>
      <c r="L7" s="181"/>
    </row>
    <row r="8" spans="1:12" x14ac:dyDescent="0.25">
      <c r="A8" s="94" t="s">
        <v>299</v>
      </c>
      <c r="B8" s="181" t="s">
        <v>444</v>
      </c>
      <c r="C8" s="181"/>
      <c r="D8" s="181"/>
      <c r="E8" s="181"/>
      <c r="F8" s="181"/>
      <c r="G8" s="181"/>
      <c r="H8" s="181"/>
      <c r="I8" s="181"/>
      <c r="J8" s="181"/>
      <c r="K8" s="181"/>
      <c r="L8" s="181"/>
    </row>
    <row r="9" spans="1:12" x14ac:dyDescent="0.25">
      <c r="A9" s="94" t="s">
        <v>300</v>
      </c>
      <c r="B9" s="181" t="s">
        <v>670</v>
      </c>
      <c r="C9" s="181"/>
      <c r="D9" s="181"/>
      <c r="E9" s="181"/>
      <c r="F9" s="181"/>
      <c r="G9" s="181"/>
      <c r="H9" s="181"/>
      <c r="I9" s="181"/>
      <c r="J9" s="181"/>
      <c r="K9" s="181"/>
      <c r="L9" s="181"/>
    </row>
    <row r="10" spans="1:12" x14ac:dyDescent="0.25">
      <c r="A10" s="94" t="s">
        <v>6</v>
      </c>
      <c r="B10" s="181" t="s">
        <v>686</v>
      </c>
      <c r="C10" s="181"/>
      <c r="D10" s="181"/>
      <c r="E10" s="181"/>
      <c r="F10" s="181"/>
      <c r="G10" s="181"/>
      <c r="H10" s="181"/>
      <c r="I10" s="181"/>
      <c r="J10" s="181"/>
      <c r="K10" s="181"/>
      <c r="L10" s="181"/>
    </row>
    <row r="11" spans="1:12" x14ac:dyDescent="0.25">
      <c r="A11" s="94" t="s">
        <v>301</v>
      </c>
      <c r="B11" s="181" t="s">
        <v>319</v>
      </c>
      <c r="C11" s="181"/>
      <c r="D11" s="181"/>
      <c r="E11" s="181"/>
      <c r="F11" s="181"/>
      <c r="G11" s="181"/>
      <c r="H11" s="181"/>
      <c r="I11" s="181"/>
      <c r="J11" s="181"/>
      <c r="K11" s="181"/>
      <c r="L11" s="181"/>
    </row>
    <row r="12" spans="1:12" x14ac:dyDescent="0.25">
      <c r="A12" s="94" t="s">
        <v>302</v>
      </c>
      <c r="B12" s="181" t="s">
        <v>672</v>
      </c>
      <c r="C12" s="181"/>
      <c r="D12" s="181"/>
      <c r="E12" s="181"/>
      <c r="F12" s="181"/>
      <c r="G12" s="181"/>
      <c r="H12" s="181"/>
      <c r="I12" s="181"/>
      <c r="J12" s="181"/>
      <c r="K12" s="181"/>
      <c r="L12" s="181"/>
    </row>
    <row r="13" spans="1:12" x14ac:dyDescent="0.25">
      <c r="A13" s="94" t="s">
        <v>724</v>
      </c>
      <c r="B13" s="181">
        <v>1</v>
      </c>
      <c r="C13" s="181"/>
      <c r="D13" s="181"/>
      <c r="E13" s="181"/>
      <c r="F13" s="181"/>
      <c r="G13" s="181"/>
      <c r="H13" s="181"/>
      <c r="I13" s="181"/>
      <c r="J13" s="181"/>
      <c r="K13" s="181"/>
      <c r="L13" s="181"/>
    </row>
    <row r="14" spans="1:12" x14ac:dyDescent="0.25">
      <c r="A14" s="94" t="s">
        <v>304</v>
      </c>
      <c r="B14" s="181">
        <v>726</v>
      </c>
      <c r="C14" s="181"/>
      <c r="D14" s="181"/>
      <c r="E14" s="181"/>
      <c r="F14" s="181"/>
      <c r="G14" s="181"/>
      <c r="H14" s="181"/>
      <c r="I14" s="181"/>
      <c r="J14" s="181"/>
      <c r="K14" s="181"/>
      <c r="L14" s="181"/>
    </row>
    <row r="15" spans="1:12" x14ac:dyDescent="0.25">
      <c r="A15" s="94" t="s">
        <v>727</v>
      </c>
      <c r="B15" s="181" t="s">
        <v>687</v>
      </c>
      <c r="C15" s="181"/>
      <c r="D15" s="181"/>
      <c r="E15" s="181"/>
      <c r="F15" s="181"/>
      <c r="G15" s="181"/>
      <c r="H15" s="181"/>
      <c r="I15" s="181"/>
      <c r="J15" s="181"/>
      <c r="K15" s="181"/>
      <c r="L15" s="181"/>
    </row>
    <row r="16" spans="1:12" x14ac:dyDescent="0.25">
      <c r="A16" s="94" t="s">
        <v>306</v>
      </c>
      <c r="B16" s="181" t="s">
        <v>688</v>
      </c>
      <c r="C16" s="181"/>
      <c r="D16" s="181"/>
      <c r="E16" s="181"/>
      <c r="F16" s="181"/>
      <c r="G16" s="181"/>
      <c r="H16" s="181"/>
      <c r="I16" s="181"/>
      <c r="J16" s="181"/>
      <c r="K16" s="181"/>
      <c r="L16" s="181"/>
    </row>
    <row r="17" spans="1:12" x14ac:dyDescent="0.25">
      <c r="A17" s="94" t="s">
        <v>800</v>
      </c>
      <c r="B17" s="181"/>
      <c r="C17" s="181"/>
      <c r="D17" s="181"/>
      <c r="E17" s="181"/>
      <c r="F17" s="181"/>
      <c r="G17" s="181"/>
      <c r="H17" s="181"/>
      <c r="I17" s="181"/>
      <c r="J17" s="181"/>
      <c r="K17" s="181"/>
      <c r="L17" s="181"/>
    </row>
    <row r="18" spans="1:12" x14ac:dyDescent="0.25">
      <c r="A18" s="94" t="s">
        <v>308</v>
      </c>
      <c r="B18" s="185">
        <v>45135</v>
      </c>
      <c r="C18" s="181"/>
      <c r="D18" s="181"/>
      <c r="E18" s="181"/>
      <c r="F18" s="181"/>
      <c r="G18" s="181"/>
      <c r="H18" s="181"/>
      <c r="I18" s="181"/>
      <c r="J18" s="181"/>
      <c r="K18" s="181"/>
      <c r="L18" s="181"/>
    </row>
    <row r="19" spans="1:12" x14ac:dyDescent="0.25">
      <c r="A19" s="94" t="s">
        <v>309</v>
      </c>
      <c r="B19" s="185">
        <v>45231</v>
      </c>
      <c r="C19" s="181"/>
      <c r="D19" s="181"/>
      <c r="E19" s="181"/>
      <c r="F19" s="181"/>
      <c r="G19" s="181"/>
      <c r="H19" s="181"/>
      <c r="I19" s="181"/>
      <c r="J19" s="181"/>
      <c r="K19" s="181"/>
      <c r="L19" s="181"/>
    </row>
    <row r="20" spans="1:12" x14ac:dyDescent="0.25">
      <c r="A20" s="94" t="s">
        <v>310</v>
      </c>
      <c r="B20" s="181" t="s">
        <v>324</v>
      </c>
      <c r="C20" s="181"/>
      <c r="D20" s="181"/>
      <c r="E20" s="181"/>
      <c r="F20" s="181"/>
      <c r="G20" s="181"/>
      <c r="H20" s="181"/>
      <c r="I20" s="181"/>
      <c r="J20" s="181"/>
      <c r="K20" s="181"/>
      <c r="L20" s="181"/>
    </row>
    <row r="21" spans="1:12" x14ac:dyDescent="0.25">
      <c r="A21" s="87" t="s">
        <v>311</v>
      </c>
      <c r="B21" s="181" t="s">
        <v>325</v>
      </c>
      <c r="C21" s="181"/>
      <c r="D21" s="181"/>
      <c r="E21" s="181"/>
      <c r="F21" s="181"/>
      <c r="G21" s="181"/>
      <c r="H21" s="181"/>
      <c r="I21" s="181"/>
      <c r="J21" s="181"/>
      <c r="K21" s="181"/>
      <c r="L21" s="181"/>
    </row>
    <row r="23" spans="1:12" x14ac:dyDescent="0.25">
      <c r="B23" s="104" t="str">
        <f>HYPERLINK("#'Factor List'!A1","Back to Factor List")</f>
        <v>Back to Factor List</v>
      </c>
    </row>
    <row r="24" spans="1:12" x14ac:dyDescent="0.25">
      <c r="B24" s="104" t="s">
        <v>13</v>
      </c>
    </row>
    <row r="26" spans="1:12" ht="13" x14ac:dyDescent="0.25">
      <c r="A26" s="96" t="s">
        <v>839</v>
      </c>
      <c r="B26" s="96">
        <v>50</v>
      </c>
      <c r="C26" s="96">
        <v>51</v>
      </c>
      <c r="D26" s="96">
        <v>52</v>
      </c>
      <c r="E26" s="96">
        <v>53</v>
      </c>
      <c r="F26" s="96">
        <v>54</v>
      </c>
      <c r="G26" s="96">
        <v>55</v>
      </c>
      <c r="H26" s="96">
        <v>56</v>
      </c>
      <c r="I26" s="96">
        <v>57</v>
      </c>
      <c r="J26" s="96">
        <v>58</v>
      </c>
      <c r="K26" s="96">
        <v>59</v>
      </c>
      <c r="L26" s="96">
        <v>60</v>
      </c>
    </row>
    <row r="27" spans="1:12" x14ac:dyDescent="0.25">
      <c r="A27" s="97">
        <v>0</v>
      </c>
      <c r="B27" s="98">
        <v>8.86</v>
      </c>
      <c r="C27" s="98">
        <v>8.1</v>
      </c>
      <c r="D27" s="98">
        <v>7.31</v>
      </c>
      <c r="E27" s="98">
        <v>6.49</v>
      </c>
      <c r="F27" s="98">
        <v>5.63</v>
      </c>
      <c r="G27" s="98">
        <v>4.74</v>
      </c>
      <c r="H27" s="98">
        <v>3.83</v>
      </c>
      <c r="I27" s="98">
        <v>2.9</v>
      </c>
      <c r="J27" s="98">
        <v>1.95</v>
      </c>
      <c r="K27" s="98">
        <v>0.99</v>
      </c>
      <c r="L27" s="98">
        <v>0</v>
      </c>
    </row>
    <row r="28" spans="1:12" x14ac:dyDescent="0.25">
      <c r="A28" s="97">
        <v>1</v>
      </c>
      <c r="B28" s="98">
        <v>8.8000000000000007</v>
      </c>
      <c r="C28" s="98">
        <v>8.0299999999999994</v>
      </c>
      <c r="D28" s="98">
        <v>7.24</v>
      </c>
      <c r="E28" s="98">
        <v>6.42</v>
      </c>
      <c r="F28" s="98">
        <v>5.56</v>
      </c>
      <c r="G28" s="98">
        <v>4.67</v>
      </c>
      <c r="H28" s="98">
        <v>3.75</v>
      </c>
      <c r="I28" s="98">
        <v>2.82</v>
      </c>
      <c r="J28" s="98">
        <v>1.87</v>
      </c>
      <c r="K28" s="98">
        <v>0.9</v>
      </c>
      <c r="L28" s="98"/>
    </row>
    <row r="29" spans="1:12" x14ac:dyDescent="0.25">
      <c r="A29" s="97">
        <v>2</v>
      </c>
      <c r="B29" s="98">
        <v>8.73</v>
      </c>
      <c r="C29" s="98">
        <v>7.97</v>
      </c>
      <c r="D29" s="98">
        <v>7.17</v>
      </c>
      <c r="E29" s="98">
        <v>6.35</v>
      </c>
      <c r="F29" s="98">
        <v>5.49</v>
      </c>
      <c r="G29" s="98">
        <v>4.59</v>
      </c>
      <c r="H29" s="98">
        <v>3.68</v>
      </c>
      <c r="I29" s="98">
        <v>2.74</v>
      </c>
      <c r="J29" s="98">
        <v>1.79</v>
      </c>
      <c r="K29" s="98">
        <v>0.82</v>
      </c>
      <c r="L29" s="98"/>
    </row>
    <row r="30" spans="1:12" x14ac:dyDescent="0.25">
      <c r="A30" s="97">
        <v>3</v>
      </c>
      <c r="B30" s="98">
        <v>8.67</v>
      </c>
      <c r="C30" s="98">
        <v>7.9</v>
      </c>
      <c r="D30" s="98">
        <v>7.1</v>
      </c>
      <c r="E30" s="98">
        <v>6.27</v>
      </c>
      <c r="F30" s="98">
        <v>5.41</v>
      </c>
      <c r="G30" s="98">
        <v>4.5199999999999996</v>
      </c>
      <c r="H30" s="98">
        <v>3.6</v>
      </c>
      <c r="I30" s="98">
        <v>2.66</v>
      </c>
      <c r="J30" s="98">
        <v>1.71</v>
      </c>
      <c r="K30" s="98">
        <v>0.74</v>
      </c>
      <c r="L30" s="98"/>
    </row>
    <row r="31" spans="1:12" x14ac:dyDescent="0.25">
      <c r="A31" s="97">
        <v>4</v>
      </c>
      <c r="B31" s="98">
        <v>8.61</v>
      </c>
      <c r="C31" s="98">
        <v>7.84</v>
      </c>
      <c r="D31" s="98">
        <v>7.04</v>
      </c>
      <c r="E31" s="98">
        <v>6.2</v>
      </c>
      <c r="F31" s="98">
        <v>5.34</v>
      </c>
      <c r="G31" s="98">
        <v>4.4400000000000004</v>
      </c>
      <c r="H31" s="98">
        <v>3.52</v>
      </c>
      <c r="I31" s="98">
        <v>2.58</v>
      </c>
      <c r="J31" s="98">
        <v>1.63</v>
      </c>
      <c r="K31" s="98">
        <v>0.66</v>
      </c>
      <c r="L31" s="98"/>
    </row>
    <row r="32" spans="1:12" x14ac:dyDescent="0.25">
      <c r="A32" s="97">
        <v>5</v>
      </c>
      <c r="B32" s="98">
        <v>8.5399999999999991</v>
      </c>
      <c r="C32" s="98">
        <v>7.77</v>
      </c>
      <c r="D32" s="98">
        <v>6.97</v>
      </c>
      <c r="E32" s="98">
        <v>6.13</v>
      </c>
      <c r="F32" s="98">
        <v>5.26</v>
      </c>
      <c r="G32" s="98">
        <v>4.3600000000000003</v>
      </c>
      <c r="H32" s="98">
        <v>3.44</v>
      </c>
      <c r="I32" s="98">
        <v>2.5099999999999998</v>
      </c>
      <c r="J32" s="98">
        <v>1.55</v>
      </c>
      <c r="K32" s="98">
        <v>0.57999999999999996</v>
      </c>
      <c r="L32" s="98"/>
    </row>
    <row r="33" spans="1:12" x14ac:dyDescent="0.25">
      <c r="A33" s="97">
        <v>6</v>
      </c>
      <c r="B33" s="98">
        <v>8.48</v>
      </c>
      <c r="C33" s="98">
        <v>7.7</v>
      </c>
      <c r="D33" s="98">
        <v>6.9</v>
      </c>
      <c r="E33" s="98">
        <v>6.06</v>
      </c>
      <c r="F33" s="98">
        <v>5.19</v>
      </c>
      <c r="G33" s="98">
        <v>4.29</v>
      </c>
      <c r="H33" s="98">
        <v>3.37</v>
      </c>
      <c r="I33" s="98">
        <v>2.4300000000000002</v>
      </c>
      <c r="J33" s="98">
        <v>1.47</v>
      </c>
      <c r="K33" s="98">
        <v>0.49</v>
      </c>
      <c r="L33" s="98"/>
    </row>
    <row r="34" spans="1:12" x14ac:dyDescent="0.25">
      <c r="A34" s="97">
        <v>7</v>
      </c>
      <c r="B34" s="98">
        <v>8.42</v>
      </c>
      <c r="C34" s="98">
        <v>7.64</v>
      </c>
      <c r="D34" s="98">
        <v>6.83</v>
      </c>
      <c r="E34" s="98">
        <v>5.99</v>
      </c>
      <c r="F34" s="98">
        <v>5.12</v>
      </c>
      <c r="G34" s="98">
        <v>4.21</v>
      </c>
      <c r="H34" s="98">
        <v>3.29</v>
      </c>
      <c r="I34" s="98">
        <v>2.35</v>
      </c>
      <c r="J34" s="98">
        <v>1.39</v>
      </c>
      <c r="K34" s="98">
        <v>0.41</v>
      </c>
      <c r="L34" s="98"/>
    </row>
    <row r="35" spans="1:12" x14ac:dyDescent="0.25">
      <c r="A35" s="97">
        <v>8</v>
      </c>
      <c r="B35" s="98">
        <v>8.35</v>
      </c>
      <c r="C35" s="98">
        <v>7.57</v>
      </c>
      <c r="D35" s="98">
        <v>6.76</v>
      </c>
      <c r="E35" s="98">
        <v>5.92</v>
      </c>
      <c r="F35" s="98">
        <v>5.04</v>
      </c>
      <c r="G35" s="98">
        <v>4.1399999999999997</v>
      </c>
      <c r="H35" s="98">
        <v>3.21</v>
      </c>
      <c r="I35" s="98">
        <v>2.27</v>
      </c>
      <c r="J35" s="98">
        <v>1.31</v>
      </c>
      <c r="K35" s="98">
        <v>0.33</v>
      </c>
      <c r="L35" s="98"/>
    </row>
    <row r="36" spans="1:12" x14ac:dyDescent="0.25">
      <c r="A36" s="97">
        <v>9</v>
      </c>
      <c r="B36" s="98">
        <v>8.2899999999999991</v>
      </c>
      <c r="C36" s="98">
        <v>7.51</v>
      </c>
      <c r="D36" s="98">
        <v>6.69</v>
      </c>
      <c r="E36" s="98">
        <v>5.85</v>
      </c>
      <c r="F36" s="98">
        <v>4.97</v>
      </c>
      <c r="G36" s="98">
        <v>4.0599999999999996</v>
      </c>
      <c r="H36" s="98">
        <v>3.13</v>
      </c>
      <c r="I36" s="98">
        <v>2.19</v>
      </c>
      <c r="J36" s="98">
        <v>1.23</v>
      </c>
      <c r="K36" s="98">
        <v>0.25</v>
      </c>
      <c r="L36" s="98"/>
    </row>
    <row r="37" spans="1:12" x14ac:dyDescent="0.25">
      <c r="A37" s="97">
        <v>10</v>
      </c>
      <c r="B37" s="98">
        <v>8.23</v>
      </c>
      <c r="C37" s="98">
        <v>7.44</v>
      </c>
      <c r="D37" s="98">
        <v>6.62</v>
      </c>
      <c r="E37" s="98">
        <v>5.78</v>
      </c>
      <c r="F37" s="98">
        <v>4.8899999999999997</v>
      </c>
      <c r="G37" s="98">
        <v>3.98</v>
      </c>
      <c r="H37" s="98">
        <v>3.06</v>
      </c>
      <c r="I37" s="98">
        <v>2.11</v>
      </c>
      <c r="J37" s="98">
        <v>1.1499999999999999</v>
      </c>
      <c r="K37" s="98">
        <v>0.16</v>
      </c>
      <c r="L37" s="98"/>
    </row>
    <row r="38" spans="1:12" x14ac:dyDescent="0.25">
      <c r="A38" s="97">
        <v>11</v>
      </c>
      <c r="B38" s="98">
        <v>8.16</v>
      </c>
      <c r="C38" s="98">
        <v>7.38</v>
      </c>
      <c r="D38" s="98">
        <v>6.56</v>
      </c>
      <c r="E38" s="98">
        <v>5.7</v>
      </c>
      <c r="F38" s="98">
        <v>4.82</v>
      </c>
      <c r="G38" s="98">
        <v>3.91</v>
      </c>
      <c r="H38" s="98">
        <v>2.98</v>
      </c>
      <c r="I38" s="98">
        <v>2.0299999999999998</v>
      </c>
      <c r="J38" s="98">
        <v>1.07</v>
      </c>
      <c r="K38" s="98">
        <v>0.08</v>
      </c>
      <c r="L38" s="98"/>
    </row>
    <row r="44" spans="1:12" ht="39.65" customHeight="1" x14ac:dyDescent="0.25"/>
    <row r="46" spans="1:12" ht="27.65" customHeight="1" x14ac:dyDescent="0.25"/>
  </sheetData>
  <conditionalFormatting sqref="A6:A21">
    <cfRule type="expression" dxfId="99" priority="1" stopIfTrue="1">
      <formula>MOD(ROW(),2)=0</formula>
    </cfRule>
    <cfRule type="expression" dxfId="98" priority="2" stopIfTrue="1">
      <formula>MOD(ROW(),2)&lt;&gt;0</formula>
    </cfRule>
  </conditionalFormatting>
  <conditionalFormatting sqref="A26:A38">
    <cfRule type="expression" dxfId="97" priority="11" stopIfTrue="1">
      <formula>MOD(ROW(),2)=0</formula>
    </cfRule>
    <cfRule type="expression" dxfId="96" priority="12" stopIfTrue="1">
      <formula>MOD(ROW(),2)&lt;&gt;0</formula>
    </cfRule>
  </conditionalFormatting>
  <conditionalFormatting sqref="B18:B21">
    <cfRule type="expression" dxfId="95" priority="7" stopIfTrue="1">
      <formula>MOD(ROW(),2)=0</formula>
    </cfRule>
    <cfRule type="expression" dxfId="94" priority="8" stopIfTrue="1">
      <formula>MOD(ROW(),2)&lt;&gt;0</formula>
    </cfRule>
  </conditionalFormatting>
  <conditionalFormatting sqref="B6:L21">
    <cfRule type="expression" dxfId="93" priority="17" stopIfTrue="1">
      <formula>MOD(ROW(),2)=0</formula>
    </cfRule>
    <cfRule type="expression" dxfId="92" priority="18" stopIfTrue="1">
      <formula>MOD(ROW(),2)&lt;&gt;0</formula>
    </cfRule>
  </conditionalFormatting>
  <conditionalFormatting sqref="B26:L38">
    <cfRule type="expression" dxfId="91" priority="13" stopIfTrue="1">
      <formula>MOD(ROW(),2)=0</formula>
    </cfRule>
    <cfRule type="expression" dxfId="90" priority="14" stopIfTrue="1">
      <formula>MOD(ROW(),2)&lt;&gt;0</formula>
    </cfRule>
  </conditionalFormatting>
  <hyperlinks>
    <hyperlink ref="B24" location="Assumptions!A1" display="Assumptions" xr:uid="{8D74EA53-E8B3-41EF-BD35-061EE3A76CD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22"/>
  <dimension ref="A1:Q46"/>
  <sheetViews>
    <sheetView workbookViewId="0"/>
  </sheetViews>
  <sheetFormatPr defaultColWidth="10" defaultRowHeight="12.5" x14ac:dyDescent="0.25"/>
  <cols>
    <col min="1" max="1" width="31.54296875" style="28" customWidth="1"/>
    <col min="2" max="17" width="22.54296875" style="28" customWidth="1"/>
    <col min="18" max="16384" width="10" style="28"/>
  </cols>
  <sheetData>
    <row r="1" spans="1:17" ht="20" x14ac:dyDescent="0.4">
      <c r="A1" s="53" t="s">
        <v>0</v>
      </c>
      <c r="B1" s="54"/>
      <c r="C1" s="54"/>
      <c r="D1" s="54"/>
      <c r="E1" s="54"/>
      <c r="F1" s="54"/>
      <c r="G1" s="54"/>
      <c r="H1" s="54"/>
      <c r="I1" s="54"/>
    </row>
    <row r="2" spans="1:17"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7" ht="15.5" x14ac:dyDescent="0.35">
      <c r="A3" s="57" t="str">
        <f>TABLE_FACTOR_TYPE_1&amp;" - x-"&amp;TABLE_SERIES_NUMBER_1</f>
        <v>ARBO - x-727</v>
      </c>
      <c r="B3" s="56"/>
      <c r="C3" s="56"/>
      <c r="D3" s="56"/>
      <c r="E3" s="56"/>
      <c r="F3" s="56"/>
      <c r="G3" s="56"/>
      <c r="H3" s="56"/>
      <c r="I3" s="56"/>
    </row>
    <row r="4" spans="1:17" x14ac:dyDescent="0.25">
      <c r="A4" s="58"/>
    </row>
    <row r="6" spans="1:17" ht="13" x14ac:dyDescent="0.3">
      <c r="A6" s="92" t="s">
        <v>716</v>
      </c>
      <c r="B6" s="181" t="s">
        <v>717</v>
      </c>
      <c r="C6" s="181"/>
      <c r="D6" s="181"/>
      <c r="E6" s="181"/>
      <c r="F6" s="181"/>
      <c r="G6" s="181"/>
      <c r="H6" s="181"/>
      <c r="I6" s="181"/>
      <c r="J6" s="181"/>
      <c r="K6" s="181"/>
      <c r="L6" s="181"/>
      <c r="M6" s="181"/>
      <c r="N6" s="181"/>
      <c r="O6" s="181"/>
      <c r="P6" s="181"/>
      <c r="Q6" s="181"/>
    </row>
    <row r="7" spans="1:17" x14ac:dyDescent="0.25">
      <c r="A7" s="94" t="s">
        <v>298</v>
      </c>
      <c r="B7" s="181" t="s">
        <v>326</v>
      </c>
      <c r="C7" s="181"/>
      <c r="D7" s="181"/>
      <c r="E7" s="181"/>
      <c r="F7" s="181"/>
      <c r="G7" s="181"/>
      <c r="H7" s="181"/>
      <c r="I7" s="181"/>
      <c r="J7" s="181"/>
      <c r="K7" s="181"/>
      <c r="L7" s="181"/>
      <c r="M7" s="181"/>
      <c r="N7" s="181"/>
      <c r="O7" s="181"/>
      <c r="P7" s="181"/>
      <c r="Q7" s="181"/>
    </row>
    <row r="8" spans="1:17" x14ac:dyDescent="0.25">
      <c r="A8" s="94" t="s">
        <v>299</v>
      </c>
      <c r="B8" s="181" t="s">
        <v>444</v>
      </c>
      <c r="C8" s="181"/>
      <c r="D8" s="181"/>
      <c r="E8" s="181"/>
      <c r="F8" s="181"/>
      <c r="G8" s="181"/>
      <c r="H8" s="181"/>
      <c r="I8" s="181"/>
      <c r="J8" s="181"/>
      <c r="K8" s="181"/>
      <c r="L8" s="181"/>
      <c r="M8" s="181"/>
      <c r="N8" s="181"/>
      <c r="O8" s="181"/>
      <c r="P8" s="181"/>
      <c r="Q8" s="181"/>
    </row>
    <row r="9" spans="1:17" x14ac:dyDescent="0.25">
      <c r="A9" s="94" t="s">
        <v>300</v>
      </c>
      <c r="B9" s="181" t="s">
        <v>670</v>
      </c>
      <c r="C9" s="181"/>
      <c r="D9" s="181"/>
      <c r="E9" s="181"/>
      <c r="F9" s="181"/>
      <c r="G9" s="181"/>
      <c r="H9" s="181"/>
      <c r="I9" s="181"/>
      <c r="J9" s="181"/>
      <c r="K9" s="181"/>
      <c r="L9" s="181"/>
      <c r="M9" s="181"/>
      <c r="N9" s="181"/>
      <c r="O9" s="181"/>
      <c r="P9" s="181"/>
      <c r="Q9" s="181"/>
    </row>
    <row r="10" spans="1:17" x14ac:dyDescent="0.25">
      <c r="A10" s="94" t="s">
        <v>6</v>
      </c>
      <c r="B10" s="181" t="s">
        <v>689</v>
      </c>
      <c r="C10" s="181"/>
      <c r="D10" s="181"/>
      <c r="E10" s="181"/>
      <c r="F10" s="181"/>
      <c r="G10" s="181"/>
      <c r="H10" s="181"/>
      <c r="I10" s="181"/>
      <c r="J10" s="181"/>
      <c r="K10" s="181"/>
      <c r="L10" s="181"/>
      <c r="M10" s="181"/>
      <c r="N10" s="181"/>
      <c r="O10" s="181"/>
      <c r="P10" s="181"/>
      <c r="Q10" s="181"/>
    </row>
    <row r="11" spans="1:17" x14ac:dyDescent="0.25">
      <c r="A11" s="94" t="s">
        <v>301</v>
      </c>
      <c r="B11" s="181" t="s">
        <v>319</v>
      </c>
      <c r="C11" s="181"/>
      <c r="D11" s="181"/>
      <c r="E11" s="181"/>
      <c r="F11" s="181"/>
      <c r="G11" s="181"/>
      <c r="H11" s="181"/>
      <c r="I11" s="181"/>
      <c r="J11" s="181"/>
      <c r="K11" s="181"/>
      <c r="L11" s="181"/>
      <c r="M11" s="181"/>
      <c r="N11" s="181"/>
      <c r="O11" s="181"/>
      <c r="P11" s="181"/>
      <c r="Q11" s="181"/>
    </row>
    <row r="12" spans="1:17" x14ac:dyDescent="0.25">
      <c r="A12" s="94" t="s">
        <v>302</v>
      </c>
      <c r="B12" s="181" t="s">
        <v>672</v>
      </c>
      <c r="C12" s="181"/>
      <c r="D12" s="181"/>
      <c r="E12" s="181"/>
      <c r="F12" s="181"/>
      <c r="G12" s="181"/>
      <c r="H12" s="181"/>
      <c r="I12" s="181"/>
      <c r="J12" s="181"/>
      <c r="K12" s="181"/>
      <c r="L12" s="181"/>
      <c r="M12" s="181"/>
      <c r="N12" s="181"/>
      <c r="O12" s="181"/>
      <c r="P12" s="181"/>
      <c r="Q12" s="181"/>
    </row>
    <row r="13" spans="1:17" x14ac:dyDescent="0.25">
      <c r="A13" s="94" t="s">
        <v>724</v>
      </c>
      <c r="B13" s="181">
        <v>1</v>
      </c>
      <c r="C13" s="181"/>
      <c r="D13" s="181"/>
      <c r="E13" s="181"/>
      <c r="F13" s="181"/>
      <c r="G13" s="181"/>
      <c r="H13" s="181"/>
      <c r="I13" s="181"/>
      <c r="J13" s="181"/>
      <c r="K13" s="181"/>
      <c r="L13" s="181"/>
      <c r="M13" s="181"/>
      <c r="N13" s="181"/>
      <c r="O13" s="181"/>
      <c r="P13" s="181"/>
      <c r="Q13" s="181"/>
    </row>
    <row r="14" spans="1:17" x14ac:dyDescent="0.25">
      <c r="A14" s="94" t="s">
        <v>304</v>
      </c>
      <c r="B14" s="181">
        <v>727</v>
      </c>
      <c r="C14" s="181"/>
      <c r="D14" s="181"/>
      <c r="E14" s="181"/>
      <c r="F14" s="181"/>
      <c r="G14" s="181"/>
      <c r="H14" s="181"/>
      <c r="I14" s="181"/>
      <c r="J14" s="181"/>
      <c r="K14" s="181"/>
      <c r="L14" s="181"/>
      <c r="M14" s="181"/>
      <c r="N14" s="181"/>
      <c r="O14" s="181"/>
      <c r="P14" s="181"/>
      <c r="Q14" s="181"/>
    </row>
    <row r="15" spans="1:17" x14ac:dyDescent="0.25">
      <c r="A15" s="94" t="s">
        <v>727</v>
      </c>
      <c r="B15" s="181" t="s">
        <v>690</v>
      </c>
      <c r="C15" s="181"/>
      <c r="D15" s="181"/>
      <c r="E15" s="181"/>
      <c r="F15" s="181"/>
      <c r="G15" s="181"/>
      <c r="H15" s="181"/>
      <c r="I15" s="181"/>
      <c r="J15" s="181"/>
      <c r="K15" s="181"/>
      <c r="L15" s="181"/>
      <c r="M15" s="181"/>
      <c r="N15" s="181"/>
      <c r="O15" s="181"/>
      <c r="P15" s="181"/>
      <c r="Q15" s="181"/>
    </row>
    <row r="16" spans="1:17" x14ac:dyDescent="0.25">
      <c r="A16" s="94" t="s">
        <v>306</v>
      </c>
      <c r="B16" s="181" t="s">
        <v>691</v>
      </c>
      <c r="C16" s="181"/>
      <c r="D16" s="181"/>
      <c r="E16" s="181"/>
      <c r="F16" s="181"/>
      <c r="G16" s="181"/>
      <c r="H16" s="181"/>
      <c r="I16" s="181"/>
      <c r="J16" s="181"/>
      <c r="K16" s="181"/>
      <c r="L16" s="181"/>
      <c r="M16" s="181"/>
      <c r="N16" s="181"/>
      <c r="O16" s="181"/>
      <c r="P16" s="181"/>
      <c r="Q16" s="181"/>
    </row>
    <row r="17" spans="1:17" x14ac:dyDescent="0.25">
      <c r="A17" s="94" t="s">
        <v>800</v>
      </c>
      <c r="B17" s="181"/>
      <c r="C17" s="181"/>
      <c r="D17" s="181"/>
      <c r="E17" s="181"/>
      <c r="F17" s="181"/>
      <c r="G17" s="181"/>
      <c r="H17" s="181"/>
      <c r="I17" s="181"/>
      <c r="J17" s="181"/>
      <c r="K17" s="181"/>
      <c r="L17" s="181"/>
      <c r="M17" s="181"/>
      <c r="N17" s="181"/>
      <c r="O17" s="181"/>
      <c r="P17" s="181"/>
      <c r="Q17" s="181"/>
    </row>
    <row r="18" spans="1:17" x14ac:dyDescent="0.25">
      <c r="A18" s="94" t="s">
        <v>308</v>
      </c>
      <c r="B18" s="185">
        <v>45135</v>
      </c>
      <c r="C18" s="181"/>
      <c r="D18" s="181"/>
      <c r="E18" s="181"/>
      <c r="F18" s="181"/>
      <c r="G18" s="181"/>
      <c r="H18" s="181"/>
      <c r="I18" s="181"/>
      <c r="J18" s="181"/>
      <c r="K18" s="181"/>
      <c r="L18" s="181"/>
      <c r="M18" s="181"/>
      <c r="N18" s="181"/>
      <c r="O18" s="181"/>
      <c r="P18" s="181"/>
      <c r="Q18" s="181"/>
    </row>
    <row r="19" spans="1:17" x14ac:dyDescent="0.25">
      <c r="A19" s="94" t="s">
        <v>309</v>
      </c>
      <c r="B19" s="185">
        <v>45231</v>
      </c>
      <c r="C19" s="181"/>
      <c r="D19" s="181"/>
      <c r="E19" s="181"/>
      <c r="F19" s="181"/>
      <c r="G19" s="181"/>
      <c r="H19" s="181"/>
      <c r="I19" s="181"/>
      <c r="J19" s="181"/>
      <c r="K19" s="181"/>
      <c r="L19" s="181"/>
      <c r="M19" s="181"/>
      <c r="N19" s="181"/>
      <c r="O19" s="181"/>
      <c r="P19" s="181"/>
      <c r="Q19" s="181"/>
    </row>
    <row r="20" spans="1:17" x14ac:dyDescent="0.25">
      <c r="A20" s="94" t="s">
        <v>310</v>
      </c>
      <c r="B20" s="181" t="s">
        <v>324</v>
      </c>
      <c r="C20" s="181"/>
      <c r="D20" s="181"/>
      <c r="E20" s="181"/>
      <c r="F20" s="181"/>
      <c r="G20" s="181"/>
      <c r="H20" s="181"/>
      <c r="I20" s="181"/>
      <c r="J20" s="181"/>
      <c r="K20" s="181"/>
      <c r="L20" s="181"/>
      <c r="M20" s="181"/>
      <c r="N20" s="181"/>
      <c r="O20" s="181"/>
      <c r="P20" s="181"/>
      <c r="Q20" s="181"/>
    </row>
    <row r="21" spans="1:17" x14ac:dyDescent="0.25">
      <c r="A21" s="87" t="s">
        <v>311</v>
      </c>
      <c r="B21" s="181" t="s">
        <v>325</v>
      </c>
      <c r="C21" s="181"/>
      <c r="D21" s="181"/>
      <c r="E21" s="181"/>
      <c r="F21" s="181"/>
      <c r="G21" s="181"/>
      <c r="H21" s="181"/>
      <c r="I21" s="181"/>
      <c r="J21" s="181"/>
      <c r="K21" s="181"/>
      <c r="L21" s="181"/>
      <c r="M21" s="181"/>
      <c r="N21" s="181"/>
      <c r="O21" s="181"/>
      <c r="P21" s="181"/>
      <c r="Q21" s="181"/>
    </row>
    <row r="23" spans="1:17" x14ac:dyDescent="0.25">
      <c r="B23" s="104" t="str">
        <f>HYPERLINK("#'Factor List'!A1","Back to Factor List")</f>
        <v>Back to Factor List</v>
      </c>
    </row>
    <row r="24" spans="1:17" x14ac:dyDescent="0.25">
      <c r="B24" s="104" t="s">
        <v>13</v>
      </c>
    </row>
    <row r="26" spans="1:17" ht="13" x14ac:dyDescent="0.25">
      <c r="A26" s="96" t="s">
        <v>839</v>
      </c>
      <c r="B26" s="96">
        <v>50</v>
      </c>
      <c r="C26" s="96">
        <v>51</v>
      </c>
      <c r="D26" s="96">
        <v>52</v>
      </c>
      <c r="E26" s="96">
        <v>53</v>
      </c>
      <c r="F26" s="96">
        <v>54</v>
      </c>
      <c r="G26" s="96">
        <v>55</v>
      </c>
      <c r="H26" s="96">
        <v>56</v>
      </c>
      <c r="I26" s="96">
        <v>57</v>
      </c>
      <c r="J26" s="96">
        <v>58</v>
      </c>
      <c r="K26" s="96">
        <v>59</v>
      </c>
      <c r="L26" s="96">
        <v>60</v>
      </c>
      <c r="M26" s="96">
        <v>61</v>
      </c>
      <c r="N26" s="96">
        <v>62</v>
      </c>
      <c r="O26" s="96">
        <v>63</v>
      </c>
      <c r="P26" s="96">
        <v>64</v>
      </c>
      <c r="Q26" s="96">
        <v>65</v>
      </c>
    </row>
    <row r="27" spans="1:17" x14ac:dyDescent="0.25">
      <c r="A27" s="97">
        <v>0</v>
      </c>
      <c r="B27" s="98">
        <v>12.74</v>
      </c>
      <c r="C27" s="98">
        <v>12.06</v>
      </c>
      <c r="D27" s="98">
        <v>11.34</v>
      </c>
      <c r="E27" s="98">
        <v>10.59</v>
      </c>
      <c r="F27" s="98">
        <v>9.82</v>
      </c>
      <c r="G27" s="98">
        <v>9.01</v>
      </c>
      <c r="H27" s="98">
        <v>8.18</v>
      </c>
      <c r="I27" s="98">
        <v>7.33</v>
      </c>
      <c r="J27" s="98">
        <v>6.47</v>
      </c>
      <c r="K27" s="98">
        <v>5.6</v>
      </c>
      <c r="L27" s="98">
        <v>4.71</v>
      </c>
      <c r="M27" s="98">
        <v>3.81</v>
      </c>
      <c r="N27" s="98">
        <v>2.88</v>
      </c>
      <c r="O27" s="98">
        <v>1.94</v>
      </c>
      <c r="P27" s="98">
        <v>0.98</v>
      </c>
      <c r="Q27" s="98">
        <v>0</v>
      </c>
    </row>
    <row r="28" spans="1:17" x14ac:dyDescent="0.25">
      <c r="A28" s="97">
        <v>1</v>
      </c>
      <c r="B28" s="98">
        <v>12.69</v>
      </c>
      <c r="C28" s="98">
        <v>12</v>
      </c>
      <c r="D28" s="98">
        <v>11.28</v>
      </c>
      <c r="E28" s="98">
        <v>10.53</v>
      </c>
      <c r="F28" s="98">
        <v>9.75</v>
      </c>
      <c r="G28" s="98">
        <v>8.94</v>
      </c>
      <c r="H28" s="98">
        <v>8.11</v>
      </c>
      <c r="I28" s="98">
        <v>7.26</v>
      </c>
      <c r="J28" s="98">
        <v>6.4</v>
      </c>
      <c r="K28" s="98">
        <v>5.53</v>
      </c>
      <c r="L28" s="98">
        <v>4.6399999999999997</v>
      </c>
      <c r="M28" s="98">
        <v>3.73</v>
      </c>
      <c r="N28" s="98">
        <v>2.81</v>
      </c>
      <c r="O28" s="98">
        <v>1.86</v>
      </c>
      <c r="P28" s="98">
        <v>0.9</v>
      </c>
      <c r="Q28" s="98"/>
    </row>
    <row r="29" spans="1:17" x14ac:dyDescent="0.25">
      <c r="A29" s="97">
        <v>2</v>
      </c>
      <c r="B29" s="98">
        <v>12.63</v>
      </c>
      <c r="C29" s="98">
        <v>11.94</v>
      </c>
      <c r="D29" s="98">
        <v>11.21</v>
      </c>
      <c r="E29" s="98">
        <v>10.46</v>
      </c>
      <c r="F29" s="98">
        <v>9.68</v>
      </c>
      <c r="G29" s="98">
        <v>8.8699999999999992</v>
      </c>
      <c r="H29" s="98">
        <v>8.0399999999999991</v>
      </c>
      <c r="I29" s="98">
        <v>7.19</v>
      </c>
      <c r="J29" s="98">
        <v>6.33</v>
      </c>
      <c r="K29" s="98">
        <v>5.45</v>
      </c>
      <c r="L29" s="98">
        <v>4.5599999999999996</v>
      </c>
      <c r="M29" s="98">
        <v>3.65</v>
      </c>
      <c r="N29" s="98">
        <v>2.73</v>
      </c>
      <c r="O29" s="98">
        <v>1.78</v>
      </c>
      <c r="P29" s="98">
        <v>0.82</v>
      </c>
      <c r="Q29" s="98"/>
    </row>
    <row r="30" spans="1:17" x14ac:dyDescent="0.25">
      <c r="A30" s="97">
        <v>3</v>
      </c>
      <c r="B30" s="98">
        <v>12.57</v>
      </c>
      <c r="C30" s="98">
        <v>11.88</v>
      </c>
      <c r="D30" s="98">
        <v>11.15</v>
      </c>
      <c r="E30" s="98">
        <v>10.4</v>
      </c>
      <c r="F30" s="98">
        <v>9.61</v>
      </c>
      <c r="G30" s="98">
        <v>8.8000000000000007</v>
      </c>
      <c r="H30" s="98">
        <v>7.97</v>
      </c>
      <c r="I30" s="98">
        <v>7.12</v>
      </c>
      <c r="J30" s="98">
        <v>6.26</v>
      </c>
      <c r="K30" s="98">
        <v>5.38</v>
      </c>
      <c r="L30" s="98">
        <v>4.49</v>
      </c>
      <c r="M30" s="98">
        <v>3.58</v>
      </c>
      <c r="N30" s="98">
        <v>2.65</v>
      </c>
      <c r="O30" s="98">
        <v>1.7</v>
      </c>
      <c r="P30" s="98">
        <v>0.74</v>
      </c>
      <c r="Q30" s="98"/>
    </row>
    <row r="31" spans="1:17" x14ac:dyDescent="0.25">
      <c r="A31" s="97">
        <v>4</v>
      </c>
      <c r="B31" s="98">
        <v>12.51</v>
      </c>
      <c r="C31" s="98">
        <v>11.82</v>
      </c>
      <c r="D31" s="98">
        <v>11.09</v>
      </c>
      <c r="E31" s="98">
        <v>10.33</v>
      </c>
      <c r="F31" s="98">
        <v>9.5500000000000007</v>
      </c>
      <c r="G31" s="98">
        <v>8.73</v>
      </c>
      <c r="H31" s="98">
        <v>7.9</v>
      </c>
      <c r="I31" s="98">
        <v>7.05</v>
      </c>
      <c r="J31" s="98">
        <v>6.18</v>
      </c>
      <c r="K31" s="98">
        <v>5.3</v>
      </c>
      <c r="L31" s="98">
        <v>4.41</v>
      </c>
      <c r="M31" s="98">
        <v>3.5</v>
      </c>
      <c r="N31" s="98">
        <v>2.57</v>
      </c>
      <c r="O31" s="98">
        <v>1.62</v>
      </c>
      <c r="P31" s="98">
        <v>0.65</v>
      </c>
      <c r="Q31" s="98"/>
    </row>
    <row r="32" spans="1:17" x14ac:dyDescent="0.25">
      <c r="A32" s="97">
        <v>5</v>
      </c>
      <c r="B32" s="98">
        <v>12.46</v>
      </c>
      <c r="C32" s="98">
        <v>11.76</v>
      </c>
      <c r="D32" s="98">
        <v>11.03</v>
      </c>
      <c r="E32" s="98">
        <v>10.27</v>
      </c>
      <c r="F32" s="98">
        <v>9.48</v>
      </c>
      <c r="G32" s="98">
        <v>8.66</v>
      </c>
      <c r="H32" s="98">
        <v>7.83</v>
      </c>
      <c r="I32" s="98">
        <v>6.98</v>
      </c>
      <c r="J32" s="98">
        <v>6.11</v>
      </c>
      <c r="K32" s="98">
        <v>5.23</v>
      </c>
      <c r="L32" s="98">
        <v>4.33</v>
      </c>
      <c r="M32" s="98">
        <v>3.42</v>
      </c>
      <c r="N32" s="98">
        <v>2.4900000000000002</v>
      </c>
      <c r="O32" s="98">
        <v>1.54</v>
      </c>
      <c r="P32" s="98">
        <v>0.56999999999999995</v>
      </c>
      <c r="Q32" s="98"/>
    </row>
    <row r="33" spans="1:17" x14ac:dyDescent="0.25">
      <c r="A33" s="97">
        <v>6</v>
      </c>
      <c r="B33" s="98">
        <v>12.4</v>
      </c>
      <c r="C33" s="98">
        <v>11.7</v>
      </c>
      <c r="D33" s="98">
        <v>10.97</v>
      </c>
      <c r="E33" s="98">
        <v>10.210000000000001</v>
      </c>
      <c r="F33" s="98">
        <v>9.41</v>
      </c>
      <c r="G33" s="98">
        <v>8.59</v>
      </c>
      <c r="H33" s="98">
        <v>7.76</v>
      </c>
      <c r="I33" s="98">
        <v>6.9</v>
      </c>
      <c r="J33" s="98">
        <v>6.04</v>
      </c>
      <c r="K33" s="98">
        <v>5.16</v>
      </c>
      <c r="L33" s="98">
        <v>4.26</v>
      </c>
      <c r="M33" s="98">
        <v>3.34</v>
      </c>
      <c r="N33" s="98">
        <v>2.41</v>
      </c>
      <c r="O33" s="98">
        <v>1.46</v>
      </c>
      <c r="P33" s="98">
        <v>0.49</v>
      </c>
      <c r="Q33" s="98"/>
    </row>
    <row r="34" spans="1:17" x14ac:dyDescent="0.25">
      <c r="A34" s="97">
        <v>7</v>
      </c>
      <c r="B34" s="98">
        <v>12.34</v>
      </c>
      <c r="C34" s="98">
        <v>11.64</v>
      </c>
      <c r="D34" s="98">
        <v>10.9</v>
      </c>
      <c r="E34" s="98">
        <v>10.14</v>
      </c>
      <c r="F34" s="98">
        <v>9.35</v>
      </c>
      <c r="G34" s="98">
        <v>8.52</v>
      </c>
      <c r="H34" s="98">
        <v>7.69</v>
      </c>
      <c r="I34" s="98">
        <v>6.83</v>
      </c>
      <c r="J34" s="98">
        <v>5.96</v>
      </c>
      <c r="K34" s="98">
        <v>5.08</v>
      </c>
      <c r="L34" s="98">
        <v>4.18</v>
      </c>
      <c r="M34" s="98">
        <v>3.27</v>
      </c>
      <c r="N34" s="98">
        <v>2.33</v>
      </c>
      <c r="O34" s="98">
        <v>1.38</v>
      </c>
      <c r="P34" s="98">
        <v>0.41</v>
      </c>
      <c r="Q34" s="98"/>
    </row>
    <row r="35" spans="1:17" x14ac:dyDescent="0.25">
      <c r="A35" s="97">
        <v>8</v>
      </c>
      <c r="B35" s="98">
        <v>12.28</v>
      </c>
      <c r="C35" s="98">
        <v>11.58</v>
      </c>
      <c r="D35" s="98">
        <v>10.84</v>
      </c>
      <c r="E35" s="98">
        <v>10.08</v>
      </c>
      <c r="F35" s="98">
        <v>9.2799999999999994</v>
      </c>
      <c r="G35" s="98">
        <v>8.4499999999999993</v>
      </c>
      <c r="H35" s="98">
        <v>7.61</v>
      </c>
      <c r="I35" s="98">
        <v>6.76</v>
      </c>
      <c r="J35" s="98">
        <v>5.89</v>
      </c>
      <c r="K35" s="98">
        <v>5.01</v>
      </c>
      <c r="L35" s="98">
        <v>4.1100000000000003</v>
      </c>
      <c r="M35" s="98">
        <v>3.19</v>
      </c>
      <c r="N35" s="98">
        <v>2.2599999999999998</v>
      </c>
      <c r="O35" s="98">
        <v>1.3</v>
      </c>
      <c r="P35" s="98">
        <v>0.33</v>
      </c>
      <c r="Q35" s="98"/>
    </row>
    <row r="36" spans="1:17" x14ac:dyDescent="0.25">
      <c r="A36" s="97">
        <v>9</v>
      </c>
      <c r="B36" s="98">
        <v>12.23</v>
      </c>
      <c r="C36" s="98">
        <v>11.52</v>
      </c>
      <c r="D36" s="98">
        <v>10.78</v>
      </c>
      <c r="E36" s="98">
        <v>10.01</v>
      </c>
      <c r="F36" s="98">
        <v>9.2100000000000009</v>
      </c>
      <c r="G36" s="98">
        <v>8.39</v>
      </c>
      <c r="H36" s="98">
        <v>7.54</v>
      </c>
      <c r="I36" s="98">
        <v>6.69</v>
      </c>
      <c r="J36" s="98">
        <v>5.82</v>
      </c>
      <c r="K36" s="98">
        <v>4.93</v>
      </c>
      <c r="L36" s="98">
        <v>4.03</v>
      </c>
      <c r="M36" s="98">
        <v>3.11</v>
      </c>
      <c r="N36" s="98">
        <v>2.1800000000000002</v>
      </c>
      <c r="O36" s="98">
        <v>1.22</v>
      </c>
      <c r="P36" s="98">
        <v>0.25</v>
      </c>
      <c r="Q36" s="98"/>
    </row>
    <row r="37" spans="1:17" x14ac:dyDescent="0.25">
      <c r="A37" s="97">
        <v>10</v>
      </c>
      <c r="B37" s="98">
        <v>12.17</v>
      </c>
      <c r="C37" s="98">
        <v>11.46</v>
      </c>
      <c r="D37" s="98">
        <v>10.72</v>
      </c>
      <c r="E37" s="98">
        <v>9.9499999999999993</v>
      </c>
      <c r="F37" s="98">
        <v>9.14</v>
      </c>
      <c r="G37" s="98">
        <v>8.32</v>
      </c>
      <c r="H37" s="98">
        <v>7.47</v>
      </c>
      <c r="I37" s="98">
        <v>6.62</v>
      </c>
      <c r="J37" s="98">
        <v>5.75</v>
      </c>
      <c r="K37" s="98">
        <v>4.8600000000000003</v>
      </c>
      <c r="L37" s="98">
        <v>3.96</v>
      </c>
      <c r="M37" s="98">
        <v>3.04</v>
      </c>
      <c r="N37" s="98">
        <v>2.1</v>
      </c>
      <c r="O37" s="98">
        <v>1.1399999999999999</v>
      </c>
      <c r="P37" s="98">
        <v>0.16</v>
      </c>
      <c r="Q37" s="98"/>
    </row>
    <row r="38" spans="1:17" x14ac:dyDescent="0.25">
      <c r="A38" s="97">
        <v>11</v>
      </c>
      <c r="B38" s="98">
        <v>12.11</v>
      </c>
      <c r="C38" s="98">
        <v>11.4</v>
      </c>
      <c r="D38" s="98">
        <v>10.66</v>
      </c>
      <c r="E38" s="98">
        <v>9.8800000000000008</v>
      </c>
      <c r="F38" s="98">
        <v>9.08</v>
      </c>
      <c r="G38" s="98">
        <v>8.25</v>
      </c>
      <c r="H38" s="98">
        <v>7.4</v>
      </c>
      <c r="I38" s="98">
        <v>6.55</v>
      </c>
      <c r="J38" s="98">
        <v>5.67</v>
      </c>
      <c r="K38" s="98">
        <v>4.79</v>
      </c>
      <c r="L38" s="98">
        <v>3.88</v>
      </c>
      <c r="M38" s="98">
        <v>2.96</v>
      </c>
      <c r="N38" s="98">
        <v>2.02</v>
      </c>
      <c r="O38" s="98">
        <v>1.06</v>
      </c>
      <c r="P38" s="98">
        <v>0.08</v>
      </c>
      <c r="Q38" s="98"/>
    </row>
    <row r="44" spans="1:17" ht="39.65" customHeight="1" x14ac:dyDescent="0.25"/>
    <row r="46" spans="1:17" ht="27.65" customHeight="1" x14ac:dyDescent="0.25"/>
  </sheetData>
  <conditionalFormatting sqref="A6:A21">
    <cfRule type="expression" dxfId="89" priority="1" stopIfTrue="1">
      <formula>MOD(ROW(),2)=0</formula>
    </cfRule>
    <cfRule type="expression" dxfId="88" priority="2" stopIfTrue="1">
      <formula>MOD(ROW(),2)&lt;&gt;0</formula>
    </cfRule>
  </conditionalFormatting>
  <conditionalFormatting sqref="A26:A38">
    <cfRule type="expression" dxfId="87" priority="11" stopIfTrue="1">
      <formula>MOD(ROW(),2)=0</formula>
    </cfRule>
    <cfRule type="expression" dxfId="86" priority="12" stopIfTrue="1">
      <formula>MOD(ROW(),2)&lt;&gt;0</formula>
    </cfRule>
  </conditionalFormatting>
  <conditionalFormatting sqref="B18:B21">
    <cfRule type="expression" dxfId="85" priority="7" stopIfTrue="1">
      <formula>MOD(ROW(),2)=0</formula>
    </cfRule>
    <cfRule type="expression" dxfId="84" priority="8" stopIfTrue="1">
      <formula>MOD(ROW(),2)&lt;&gt;0</formula>
    </cfRule>
  </conditionalFormatting>
  <conditionalFormatting sqref="B6:Q21">
    <cfRule type="expression" dxfId="83" priority="17" stopIfTrue="1">
      <formula>MOD(ROW(),2)=0</formula>
    </cfRule>
    <cfRule type="expression" dxfId="82" priority="18" stopIfTrue="1">
      <formula>MOD(ROW(),2)&lt;&gt;0</formula>
    </cfRule>
  </conditionalFormatting>
  <conditionalFormatting sqref="B26:Q38">
    <cfRule type="expression" dxfId="81" priority="13" stopIfTrue="1">
      <formula>MOD(ROW(),2)=0</formula>
    </cfRule>
    <cfRule type="expression" dxfId="80" priority="14" stopIfTrue="1">
      <formula>MOD(ROW(),2)&lt;&gt;0</formula>
    </cfRule>
  </conditionalFormatting>
  <hyperlinks>
    <hyperlink ref="B24" location="Assumptions!A1" display="Assumptions" xr:uid="{6CA3586D-1F65-4B7E-BEC2-66BEC12BA73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dimension ref="A1:I78"/>
  <sheetViews>
    <sheetView workbookViewId="0">
      <selection activeCell="E47" sqref="E47"/>
    </sheetView>
  </sheetViews>
  <sheetFormatPr defaultColWidth="10" defaultRowHeight="12.5" x14ac:dyDescent="0.25"/>
  <cols>
    <col min="1" max="1" width="31.54296875" style="28" customWidth="1"/>
    <col min="2" max="2" width="26.1796875" style="28" customWidth="1"/>
    <col min="3" max="3" width="10.1796875" style="28" customWidth="1"/>
    <col min="4" max="4" width="28.1796875" style="28" customWidth="1"/>
    <col min="5" max="5" width="30.54296875" style="28" customWidth="1"/>
    <col min="6"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All - x-001</v>
      </c>
      <c r="B3" s="56"/>
      <c r="C3" s="56"/>
      <c r="D3" s="56"/>
      <c r="E3" s="56"/>
      <c r="F3" s="56"/>
      <c r="G3" s="56"/>
      <c r="H3" s="56"/>
      <c r="I3" s="56"/>
    </row>
    <row r="4" spans="1:9" x14ac:dyDescent="0.25">
      <c r="A4" s="58"/>
    </row>
    <row r="6" spans="1:9" ht="13" x14ac:dyDescent="0.3">
      <c r="A6" s="92" t="s">
        <v>716</v>
      </c>
      <c r="B6" s="180" t="s">
        <v>717</v>
      </c>
      <c r="D6" s="92" t="s">
        <v>716</v>
      </c>
      <c r="E6" s="180" t="s">
        <v>717</v>
      </c>
    </row>
    <row r="7" spans="1:9" x14ac:dyDescent="0.25">
      <c r="A7" s="94" t="s">
        <v>797</v>
      </c>
      <c r="B7" s="111" t="s">
        <v>316</v>
      </c>
      <c r="D7" s="94" t="s">
        <v>797</v>
      </c>
      <c r="E7" s="111" t="s">
        <v>326</v>
      </c>
    </row>
    <row r="8" spans="1:9" x14ac:dyDescent="0.25">
      <c r="A8" s="94" t="s">
        <v>798</v>
      </c>
      <c r="B8" s="181" t="s">
        <v>92</v>
      </c>
      <c r="D8" s="94" t="s">
        <v>798</v>
      </c>
      <c r="E8" s="112" t="s">
        <v>327</v>
      </c>
    </row>
    <row r="9" spans="1:9" x14ac:dyDescent="0.25">
      <c r="A9" s="94" t="s">
        <v>300</v>
      </c>
      <c r="B9" s="181" t="s">
        <v>317</v>
      </c>
      <c r="D9" s="94" t="s">
        <v>300</v>
      </c>
      <c r="E9" s="181" t="s">
        <v>317</v>
      </c>
    </row>
    <row r="10" spans="1:9" x14ac:dyDescent="0.25">
      <c r="A10" s="94" t="s">
        <v>6</v>
      </c>
      <c r="B10" s="181" t="s">
        <v>318</v>
      </c>
      <c r="D10" s="94" t="s">
        <v>6</v>
      </c>
      <c r="E10" s="181" t="s">
        <v>318</v>
      </c>
    </row>
    <row r="11" spans="1:9" x14ac:dyDescent="0.25">
      <c r="A11" s="94" t="s">
        <v>301</v>
      </c>
      <c r="B11" s="181" t="s">
        <v>319</v>
      </c>
      <c r="D11" s="94" t="s">
        <v>301</v>
      </c>
      <c r="E11" s="181" t="s">
        <v>319</v>
      </c>
    </row>
    <row r="12" spans="1:9" x14ac:dyDescent="0.25">
      <c r="A12" s="94" t="s">
        <v>302</v>
      </c>
      <c r="B12" s="181" t="s">
        <v>320</v>
      </c>
      <c r="D12" s="94" t="s">
        <v>302</v>
      </c>
      <c r="E12" s="181" t="s">
        <v>320</v>
      </c>
    </row>
    <row r="13" spans="1:9" x14ac:dyDescent="0.25">
      <c r="A13" s="94" t="s">
        <v>724</v>
      </c>
      <c r="B13" s="181">
        <v>0</v>
      </c>
      <c r="D13" s="94" t="s">
        <v>724</v>
      </c>
      <c r="E13" s="181">
        <v>1</v>
      </c>
    </row>
    <row r="14" spans="1:9" x14ac:dyDescent="0.25">
      <c r="A14" s="94" t="s">
        <v>304</v>
      </c>
      <c r="B14" s="182" t="s">
        <v>799</v>
      </c>
      <c r="D14" s="94" t="s">
        <v>304</v>
      </c>
      <c r="E14" s="182" t="s">
        <v>799</v>
      </c>
    </row>
    <row r="15" spans="1:9" x14ac:dyDescent="0.25">
      <c r="A15" s="94" t="s">
        <v>727</v>
      </c>
      <c r="B15" s="181" t="s">
        <v>321</v>
      </c>
      <c r="D15" s="94" t="s">
        <v>727</v>
      </c>
      <c r="E15" s="181" t="s">
        <v>328</v>
      </c>
    </row>
    <row r="16" spans="1:9" x14ac:dyDescent="0.25">
      <c r="A16" s="94" t="s">
        <v>306</v>
      </c>
      <c r="B16" s="181" t="s">
        <v>322</v>
      </c>
      <c r="D16" s="94" t="s">
        <v>306</v>
      </c>
      <c r="E16" s="181" t="s">
        <v>322</v>
      </c>
    </row>
    <row r="17" spans="1:5" x14ac:dyDescent="0.25">
      <c r="A17" s="94" t="s">
        <v>800</v>
      </c>
      <c r="B17" s="181"/>
      <c r="D17" s="94" t="s">
        <v>800</v>
      </c>
      <c r="E17" s="181"/>
    </row>
    <row r="18" spans="1:5" x14ac:dyDescent="0.25">
      <c r="A18" s="87" t="s">
        <v>308</v>
      </c>
      <c r="B18" s="122">
        <v>45071</v>
      </c>
      <c r="D18" s="87" t="s">
        <v>308</v>
      </c>
      <c r="E18" s="122">
        <v>45071</v>
      </c>
    </row>
    <row r="19" spans="1:5" ht="25" x14ac:dyDescent="0.25">
      <c r="A19" s="87" t="s">
        <v>309</v>
      </c>
      <c r="B19" s="122" t="s">
        <v>323</v>
      </c>
      <c r="D19" s="87" t="s">
        <v>309</v>
      </c>
      <c r="E19" s="122" t="s">
        <v>323</v>
      </c>
    </row>
    <row r="20" spans="1:5" x14ac:dyDescent="0.25">
      <c r="A20" s="87" t="s">
        <v>310</v>
      </c>
      <c r="B20" s="111" t="s">
        <v>324</v>
      </c>
      <c r="D20" s="87" t="s">
        <v>310</v>
      </c>
      <c r="E20" s="111" t="s">
        <v>324</v>
      </c>
    </row>
    <row r="21" spans="1:5" x14ac:dyDescent="0.25">
      <c r="A21" s="87" t="s">
        <v>311</v>
      </c>
      <c r="B21" s="111" t="s">
        <v>325</v>
      </c>
      <c r="D21" s="87" t="s">
        <v>311</v>
      </c>
      <c r="E21" s="111" t="s">
        <v>325</v>
      </c>
    </row>
    <row r="23" spans="1:5" x14ac:dyDescent="0.25">
      <c r="B23" s="104" t="str">
        <f>HYPERLINK("#'Factor List'!A1","Back to Factor List")</f>
        <v>Back to Factor List</v>
      </c>
      <c r="E23" s="104" t="str">
        <f>HYPERLINK("#'Factor List'!A1","Back to Factor List")</f>
        <v>Back to Factor List</v>
      </c>
    </row>
    <row r="24" spans="1:5" x14ac:dyDescent="0.25">
      <c r="B24" s="104" t="s">
        <v>13</v>
      </c>
      <c r="E24" s="104" t="s">
        <v>13</v>
      </c>
    </row>
    <row r="25" spans="1:5" x14ac:dyDescent="0.25">
      <c r="B25" s="104"/>
      <c r="E25" s="104"/>
    </row>
    <row r="27" spans="1:5" ht="13" x14ac:dyDescent="0.25">
      <c r="A27" s="96" t="s">
        <v>801</v>
      </c>
      <c r="B27" s="96" t="s">
        <v>802</v>
      </c>
      <c r="D27" s="96" t="s">
        <v>801</v>
      </c>
      <c r="E27" s="96" t="s">
        <v>802</v>
      </c>
    </row>
    <row r="28" spans="1:5" x14ac:dyDescent="0.25">
      <c r="A28" s="97">
        <v>0</v>
      </c>
      <c r="B28" s="98">
        <v>1</v>
      </c>
      <c r="D28" s="97">
        <v>0</v>
      </c>
      <c r="E28" s="98">
        <v>1</v>
      </c>
    </row>
    <row r="29" spans="1:5" x14ac:dyDescent="0.25">
      <c r="A29" s="97">
        <v>1</v>
      </c>
      <c r="B29" s="98">
        <v>1.02</v>
      </c>
      <c r="D29" s="97">
        <v>1</v>
      </c>
      <c r="E29" s="98">
        <v>1.02</v>
      </c>
    </row>
    <row r="30" spans="1:5" x14ac:dyDescent="0.25">
      <c r="A30" s="97">
        <v>2</v>
      </c>
      <c r="B30" s="98">
        <v>1.04</v>
      </c>
      <c r="D30" s="97">
        <v>2</v>
      </c>
      <c r="E30" s="98">
        <v>1.04</v>
      </c>
    </row>
    <row r="31" spans="1:5" x14ac:dyDescent="0.25">
      <c r="A31" s="97">
        <v>3</v>
      </c>
      <c r="B31" s="98">
        <v>1.06</v>
      </c>
      <c r="D31" s="97">
        <v>3</v>
      </c>
      <c r="E31" s="98">
        <v>1.06</v>
      </c>
    </row>
    <row r="32" spans="1:5" x14ac:dyDescent="0.25">
      <c r="A32" s="97">
        <v>4</v>
      </c>
      <c r="B32" s="98">
        <v>1.08</v>
      </c>
      <c r="D32" s="97">
        <v>4</v>
      </c>
      <c r="E32" s="98">
        <v>1.08</v>
      </c>
    </row>
    <row r="33" spans="1:5" x14ac:dyDescent="0.25">
      <c r="A33" s="97">
        <v>5</v>
      </c>
      <c r="B33" s="98">
        <v>1.1000000000000001</v>
      </c>
      <c r="D33" s="97">
        <v>5</v>
      </c>
      <c r="E33" s="98">
        <v>1.1000000000000001</v>
      </c>
    </row>
    <row r="34" spans="1:5" x14ac:dyDescent="0.25">
      <c r="A34" s="97">
        <v>6</v>
      </c>
      <c r="B34" s="98">
        <v>1.1299999999999999</v>
      </c>
      <c r="D34" s="97">
        <v>6</v>
      </c>
      <c r="E34" s="98">
        <v>1.1299999999999999</v>
      </c>
    </row>
    <row r="35" spans="1:5" x14ac:dyDescent="0.25">
      <c r="A35" s="97">
        <v>7</v>
      </c>
      <c r="B35" s="98">
        <v>1.1499999999999999</v>
      </c>
      <c r="D35" s="97">
        <v>7</v>
      </c>
      <c r="E35" s="98">
        <v>1.1499999999999999</v>
      </c>
    </row>
    <row r="36" spans="1:5" x14ac:dyDescent="0.25">
      <c r="A36" s="97">
        <v>8</v>
      </c>
      <c r="B36" s="98">
        <v>1.17</v>
      </c>
      <c r="D36" s="97">
        <v>8</v>
      </c>
      <c r="E36" s="98">
        <v>1.17</v>
      </c>
    </row>
    <row r="37" spans="1:5" x14ac:dyDescent="0.25">
      <c r="A37" s="97">
        <v>9</v>
      </c>
      <c r="B37" s="98">
        <v>1.2</v>
      </c>
      <c r="D37" s="97">
        <v>9</v>
      </c>
      <c r="E37" s="98">
        <v>1.2</v>
      </c>
    </row>
    <row r="38" spans="1:5" x14ac:dyDescent="0.25">
      <c r="A38" s="97">
        <v>10</v>
      </c>
      <c r="B38" s="98">
        <v>1.22</v>
      </c>
      <c r="D38" s="97">
        <v>10</v>
      </c>
      <c r="E38" s="98">
        <v>1.22</v>
      </c>
    </row>
    <row r="39" spans="1:5" x14ac:dyDescent="0.25">
      <c r="A39" s="97">
        <v>11</v>
      </c>
      <c r="B39" s="98">
        <v>1.24</v>
      </c>
      <c r="D39" s="97">
        <v>11</v>
      </c>
      <c r="E39" s="98">
        <v>1.24</v>
      </c>
    </row>
    <row r="40" spans="1:5" x14ac:dyDescent="0.25">
      <c r="A40" s="97">
        <v>12</v>
      </c>
      <c r="B40" s="98">
        <v>1.27</v>
      </c>
      <c r="D40" s="97">
        <v>12</v>
      </c>
      <c r="E40" s="98">
        <v>1.27</v>
      </c>
    </row>
    <row r="41" spans="1:5" x14ac:dyDescent="0.25">
      <c r="A41" s="97">
        <v>13</v>
      </c>
      <c r="B41" s="98">
        <v>1.29</v>
      </c>
      <c r="D41" s="97">
        <v>13</v>
      </c>
      <c r="E41" s="98">
        <v>1.29</v>
      </c>
    </row>
    <row r="42" spans="1:5" x14ac:dyDescent="0.25">
      <c r="A42" s="97">
        <v>14</v>
      </c>
      <c r="B42" s="98">
        <v>1.32</v>
      </c>
      <c r="D42" s="97">
        <v>14</v>
      </c>
      <c r="E42" s="98">
        <v>1.32</v>
      </c>
    </row>
    <row r="43" spans="1:5" x14ac:dyDescent="0.25">
      <c r="A43" s="97">
        <v>15</v>
      </c>
      <c r="B43" s="98">
        <v>1.35</v>
      </c>
      <c r="D43" s="97">
        <v>15</v>
      </c>
      <c r="E43" s="98">
        <v>1.35</v>
      </c>
    </row>
    <row r="44" spans="1:5" x14ac:dyDescent="0.25">
      <c r="A44" s="97">
        <v>16</v>
      </c>
      <c r="B44" s="98">
        <v>1.37</v>
      </c>
      <c r="D44" s="97">
        <v>16</v>
      </c>
      <c r="E44" s="98">
        <v>1.37</v>
      </c>
    </row>
    <row r="45" spans="1:5" x14ac:dyDescent="0.25">
      <c r="A45" s="97">
        <v>17</v>
      </c>
      <c r="B45" s="98">
        <v>1.4</v>
      </c>
      <c r="D45" s="97">
        <v>17</v>
      </c>
      <c r="E45" s="98">
        <v>1.4</v>
      </c>
    </row>
    <row r="46" spans="1:5" x14ac:dyDescent="0.25">
      <c r="A46" s="97">
        <v>18</v>
      </c>
      <c r="B46" s="98">
        <v>1.43</v>
      </c>
      <c r="D46" s="97">
        <v>18</v>
      </c>
      <c r="E46" s="98">
        <v>1.43</v>
      </c>
    </row>
    <row r="47" spans="1:5" x14ac:dyDescent="0.25">
      <c r="A47" s="97">
        <v>19</v>
      </c>
      <c r="B47" s="98">
        <v>1.46</v>
      </c>
      <c r="D47" s="97">
        <v>19</v>
      </c>
      <c r="E47" s="98">
        <v>1.46</v>
      </c>
    </row>
    <row r="48" spans="1:5" x14ac:dyDescent="0.25">
      <c r="A48" s="97">
        <v>20</v>
      </c>
      <c r="B48" s="98">
        <v>1.49</v>
      </c>
      <c r="D48" s="97">
        <v>20</v>
      </c>
      <c r="E48" s="98">
        <v>1.49</v>
      </c>
    </row>
    <row r="49" spans="1:5" x14ac:dyDescent="0.25">
      <c r="A49" s="97">
        <v>21</v>
      </c>
      <c r="B49" s="98">
        <v>1.52</v>
      </c>
      <c r="D49" s="97">
        <v>21</v>
      </c>
      <c r="E49" s="98">
        <v>1.52</v>
      </c>
    </row>
    <row r="50" spans="1:5" x14ac:dyDescent="0.25">
      <c r="A50" s="97">
        <v>22</v>
      </c>
      <c r="B50" s="98">
        <v>1.55</v>
      </c>
      <c r="D50" s="97">
        <v>22</v>
      </c>
      <c r="E50" s="98">
        <v>1.55</v>
      </c>
    </row>
    <row r="51" spans="1:5" x14ac:dyDescent="0.25">
      <c r="A51" s="97">
        <v>23</v>
      </c>
      <c r="B51" s="98">
        <v>1.58</v>
      </c>
      <c r="D51" s="97">
        <v>23</v>
      </c>
      <c r="E51" s="98">
        <v>1.58</v>
      </c>
    </row>
    <row r="52" spans="1:5" x14ac:dyDescent="0.25">
      <c r="A52" s="97">
        <v>24</v>
      </c>
      <c r="B52" s="98">
        <v>1.61</v>
      </c>
      <c r="D52" s="97">
        <v>24</v>
      </c>
      <c r="E52" s="98">
        <v>1.61</v>
      </c>
    </row>
    <row r="53" spans="1:5" x14ac:dyDescent="0.25">
      <c r="A53" s="97">
        <v>25</v>
      </c>
      <c r="B53" s="98">
        <v>1.64</v>
      </c>
      <c r="D53" s="97">
        <v>25</v>
      </c>
      <c r="E53" s="98">
        <v>1.64</v>
      </c>
    </row>
    <row r="54" spans="1:5" x14ac:dyDescent="0.25">
      <c r="A54" s="97">
        <v>26</v>
      </c>
      <c r="B54" s="98">
        <v>1.67</v>
      </c>
      <c r="D54" s="97">
        <v>26</v>
      </c>
      <c r="E54" s="98">
        <v>1.67</v>
      </c>
    </row>
    <row r="55" spans="1:5" x14ac:dyDescent="0.25">
      <c r="A55" s="97">
        <v>27</v>
      </c>
      <c r="B55" s="98">
        <v>1.71</v>
      </c>
      <c r="D55" s="97">
        <v>27</v>
      </c>
      <c r="E55" s="98">
        <v>1.71</v>
      </c>
    </row>
    <row r="56" spans="1:5" x14ac:dyDescent="0.25">
      <c r="A56" s="97">
        <v>28</v>
      </c>
      <c r="B56" s="98">
        <v>1.74</v>
      </c>
      <c r="D56" s="97">
        <v>28</v>
      </c>
      <c r="E56" s="98">
        <v>1.74</v>
      </c>
    </row>
    <row r="57" spans="1:5" x14ac:dyDescent="0.25">
      <c r="A57" s="97">
        <v>29</v>
      </c>
      <c r="B57" s="98">
        <v>1.78</v>
      </c>
      <c r="D57" s="97">
        <v>29</v>
      </c>
      <c r="E57" s="98">
        <v>1.78</v>
      </c>
    </row>
    <row r="58" spans="1:5" x14ac:dyDescent="0.25">
      <c r="A58" s="97">
        <v>30</v>
      </c>
      <c r="B58" s="98">
        <v>1.81</v>
      </c>
      <c r="D58" s="97">
        <v>30</v>
      </c>
      <c r="E58" s="98">
        <v>1.81</v>
      </c>
    </row>
    <row r="59" spans="1:5" x14ac:dyDescent="0.25">
      <c r="A59" s="97">
        <v>31</v>
      </c>
      <c r="B59" s="98">
        <v>1.85</v>
      </c>
      <c r="D59" s="97">
        <v>31</v>
      </c>
      <c r="E59" s="98">
        <v>1.85</v>
      </c>
    </row>
    <row r="60" spans="1:5" x14ac:dyDescent="0.25">
      <c r="A60" s="97">
        <v>32</v>
      </c>
      <c r="B60" s="98">
        <v>1.88</v>
      </c>
      <c r="D60" s="97">
        <v>32</v>
      </c>
      <c r="E60" s="98">
        <v>1.88</v>
      </c>
    </row>
    <row r="61" spans="1:5" x14ac:dyDescent="0.25">
      <c r="A61" s="97">
        <v>33</v>
      </c>
      <c r="B61" s="98">
        <v>1.92</v>
      </c>
      <c r="D61" s="97">
        <v>33</v>
      </c>
      <c r="E61" s="98">
        <v>1.92</v>
      </c>
    </row>
    <row r="62" spans="1:5" x14ac:dyDescent="0.25">
      <c r="A62" s="97">
        <v>34</v>
      </c>
      <c r="B62" s="98">
        <v>1.96</v>
      </c>
      <c r="D62" s="97">
        <v>34</v>
      </c>
      <c r="E62" s="98">
        <v>1.96</v>
      </c>
    </row>
    <row r="63" spans="1:5" x14ac:dyDescent="0.25">
      <c r="A63" s="97">
        <v>35</v>
      </c>
      <c r="B63" s="98">
        <v>2</v>
      </c>
      <c r="D63" s="97">
        <v>35</v>
      </c>
      <c r="E63" s="98">
        <v>2</v>
      </c>
    </row>
    <row r="64" spans="1:5" x14ac:dyDescent="0.25">
      <c r="A64" s="97">
        <v>36</v>
      </c>
      <c r="B64" s="98">
        <v>2.04</v>
      </c>
      <c r="D64" s="97">
        <v>36</v>
      </c>
      <c r="E64" s="98">
        <v>2.04</v>
      </c>
    </row>
    <row r="65" spans="1:5" x14ac:dyDescent="0.25">
      <c r="A65" s="97">
        <v>37</v>
      </c>
      <c r="B65" s="98">
        <v>2.08</v>
      </c>
      <c r="D65" s="97">
        <v>37</v>
      </c>
      <c r="E65" s="98">
        <v>2.08</v>
      </c>
    </row>
    <row r="66" spans="1:5" x14ac:dyDescent="0.25">
      <c r="A66" s="97">
        <v>38</v>
      </c>
      <c r="B66" s="98">
        <v>2.12</v>
      </c>
      <c r="D66" s="97">
        <v>38</v>
      </c>
      <c r="E66" s="98">
        <v>2.12</v>
      </c>
    </row>
    <row r="67" spans="1:5" x14ac:dyDescent="0.25">
      <c r="A67" s="97">
        <v>39</v>
      </c>
      <c r="B67" s="98">
        <v>2.16</v>
      </c>
      <c r="D67" s="97">
        <v>39</v>
      </c>
      <c r="E67" s="98">
        <v>2.16</v>
      </c>
    </row>
    <row r="68" spans="1:5" x14ac:dyDescent="0.25">
      <c r="A68" s="97">
        <v>40</v>
      </c>
      <c r="B68" s="98">
        <v>2.21</v>
      </c>
      <c r="D68" s="97">
        <v>40</v>
      </c>
      <c r="E68" s="98">
        <v>2.21</v>
      </c>
    </row>
    <row r="69" spans="1:5" x14ac:dyDescent="0.25">
      <c r="A69" s="97">
        <v>41</v>
      </c>
      <c r="B69" s="98">
        <v>2.25</v>
      </c>
      <c r="D69" s="97">
        <v>41</v>
      </c>
      <c r="E69" s="98">
        <v>2.25</v>
      </c>
    </row>
    <row r="70" spans="1:5" x14ac:dyDescent="0.25">
      <c r="A70" s="97">
        <v>42</v>
      </c>
      <c r="B70" s="98">
        <v>2.2999999999999998</v>
      </c>
      <c r="D70" s="97">
        <v>42</v>
      </c>
      <c r="E70" s="98">
        <v>2.2999999999999998</v>
      </c>
    </row>
    <row r="71" spans="1:5" x14ac:dyDescent="0.25">
      <c r="A71" s="97">
        <v>43</v>
      </c>
      <c r="B71" s="98">
        <v>2.34</v>
      </c>
      <c r="D71" s="97">
        <v>43</v>
      </c>
      <c r="E71" s="98">
        <v>2.34</v>
      </c>
    </row>
    <row r="72" spans="1:5" x14ac:dyDescent="0.25">
      <c r="A72" s="97">
        <v>44</v>
      </c>
      <c r="B72" s="98">
        <v>2.39</v>
      </c>
      <c r="D72" s="97">
        <v>44</v>
      </c>
      <c r="E72" s="98">
        <v>2.39</v>
      </c>
    </row>
    <row r="73" spans="1:5" x14ac:dyDescent="0.25">
      <c r="A73" s="97">
        <v>45</v>
      </c>
      <c r="B73" s="98">
        <v>2.44</v>
      </c>
      <c r="D73" s="97">
        <v>45</v>
      </c>
      <c r="E73" s="98">
        <v>2.44</v>
      </c>
    </row>
    <row r="74" spans="1:5" x14ac:dyDescent="0.25">
      <c r="A74" s="97">
        <v>46</v>
      </c>
      <c r="B74" s="98">
        <v>2.4900000000000002</v>
      </c>
      <c r="D74" s="97">
        <v>46</v>
      </c>
      <c r="E74" s="98">
        <v>2.4900000000000002</v>
      </c>
    </row>
    <row r="75" spans="1:5" x14ac:dyDescent="0.25">
      <c r="A75" s="97">
        <v>47</v>
      </c>
      <c r="B75" s="98">
        <v>2.54</v>
      </c>
      <c r="D75" s="97">
        <v>47</v>
      </c>
      <c r="E75" s="98">
        <v>2.54</v>
      </c>
    </row>
    <row r="76" spans="1:5" x14ac:dyDescent="0.25">
      <c r="A76" s="97">
        <v>48</v>
      </c>
      <c r="B76" s="98">
        <v>2.59</v>
      </c>
      <c r="D76" s="97">
        <v>48</v>
      </c>
      <c r="E76" s="98">
        <v>2.59</v>
      </c>
    </row>
    <row r="77" spans="1:5" x14ac:dyDescent="0.25">
      <c r="A77" s="97">
        <v>49</v>
      </c>
      <c r="B77" s="98">
        <v>2.64</v>
      </c>
      <c r="D77" s="97">
        <v>49</v>
      </c>
      <c r="E77" s="98">
        <v>2.64</v>
      </c>
    </row>
    <row r="78" spans="1:5" x14ac:dyDescent="0.25">
      <c r="A78" s="97">
        <v>50</v>
      </c>
      <c r="B78" s="98">
        <v>2.69</v>
      </c>
      <c r="D78" s="97">
        <v>50</v>
      </c>
      <c r="E78" s="98">
        <v>2.69</v>
      </c>
    </row>
  </sheetData>
  <conditionalFormatting sqref="A6:A21">
    <cfRule type="expression" dxfId="1189" priority="59" stopIfTrue="1">
      <formula>MOD(ROW(),2)=0</formula>
    </cfRule>
    <cfRule type="expression" dxfId="1188" priority="60" stopIfTrue="1">
      <formula>MOD(ROW(),2)&lt;&gt;0</formula>
    </cfRule>
  </conditionalFormatting>
  <conditionalFormatting sqref="A27:A78">
    <cfRule type="expression" dxfId="1187" priority="85" stopIfTrue="1">
      <formula>MOD(ROW(),2)=0</formula>
    </cfRule>
    <cfRule type="expression" dxfId="1186" priority="86" stopIfTrue="1">
      <formula>MOD(ROW(),2)&lt;&gt;0</formula>
    </cfRule>
  </conditionalFormatting>
  <conditionalFormatting sqref="B6:B21">
    <cfRule type="expression" dxfId="1185" priority="23" stopIfTrue="1">
      <formula>MOD(ROW(),2)=0</formula>
    </cfRule>
    <cfRule type="expression" dxfId="1184" priority="24" stopIfTrue="1">
      <formula>MOD(ROW(),2)&lt;&gt;0</formula>
    </cfRule>
  </conditionalFormatting>
  <conditionalFormatting sqref="B27:B78">
    <cfRule type="expression" dxfId="1183" priority="87" stopIfTrue="1">
      <formula>MOD(ROW(),2)=0</formula>
    </cfRule>
    <cfRule type="expression" dxfId="1182" priority="88" stopIfTrue="1">
      <formula>MOD(ROW(),2)&lt;&gt;0</formula>
    </cfRule>
  </conditionalFormatting>
  <conditionalFormatting sqref="D6:D21">
    <cfRule type="expression" dxfId="1181" priority="27" stopIfTrue="1">
      <formula>MOD(ROW(),2)=0</formula>
    </cfRule>
    <cfRule type="expression" dxfId="1180" priority="28" stopIfTrue="1">
      <formula>MOD(ROW(),2)&lt;&gt;0</formula>
    </cfRule>
  </conditionalFormatting>
  <conditionalFormatting sqref="D27:D78">
    <cfRule type="expression" dxfId="1179" priority="47" stopIfTrue="1">
      <formula>MOD(ROW(),2)=0</formula>
    </cfRule>
    <cfRule type="expression" dxfId="1178" priority="48" stopIfTrue="1">
      <formula>MOD(ROW(),2)&lt;&gt;0</formula>
    </cfRule>
  </conditionalFormatting>
  <conditionalFormatting sqref="E6:E18">
    <cfRule type="expression" dxfId="1177" priority="5" stopIfTrue="1">
      <formula>MOD(ROW(),2)=0</formula>
    </cfRule>
    <cfRule type="expression" dxfId="1176" priority="6" stopIfTrue="1">
      <formula>MOD(ROW(),2)&lt;&gt;0</formula>
    </cfRule>
  </conditionalFormatting>
  <conditionalFormatting sqref="E8">
    <cfRule type="expression" priority="10" stopIfTrue="1">
      <formula>MOD(ROW(),2)&lt;&gt;0</formula>
    </cfRule>
    <cfRule type="expression" dxfId="1175" priority="3" stopIfTrue="1">
      <formula>MOD(ROW(),2)=0</formula>
    </cfRule>
    <cfRule type="expression" dxfId="1174" priority="4"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fRule type="expression" priority="17" stopIfTrue="1">
      <formula>MOD(ROW(),2)=0</formula>
    </cfRule>
    <cfRule type="expression" priority="18" stopIfTrue="1">
      <formula>MOD(ROW(),2)&lt;&gt;0</formula>
    </cfRule>
  </conditionalFormatting>
  <conditionalFormatting sqref="E19:E21">
    <cfRule type="expression" dxfId="1173" priority="2" stopIfTrue="1">
      <formula>MOD(ROW(),2)&lt;&gt;0</formula>
    </cfRule>
    <cfRule type="expression" dxfId="1172" priority="1" stopIfTrue="1">
      <formula>MOD(ROW(),2)=0</formula>
    </cfRule>
  </conditionalFormatting>
  <conditionalFormatting sqref="E27:E78">
    <cfRule type="expression" dxfId="1171" priority="49" stopIfTrue="1">
      <formula>MOD(ROW(),2)=0</formula>
    </cfRule>
    <cfRule type="expression" dxfId="1170" priority="50" stopIfTrue="1">
      <formula>MOD(ROW(),2)&lt;&gt;0</formula>
    </cfRule>
  </conditionalFormatting>
  <hyperlinks>
    <hyperlink ref="B24" location="Assumptions!A1" display="Assumptions" xr:uid="{DF346660-0BCD-4B0C-91C8-7676B081D02E}"/>
    <hyperlink ref="E24" location="Assumptions!A1" display="Assumptions" xr:uid="{274F28A5-2882-4E5C-AC3B-87B9719BDC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23"/>
  <dimension ref="A1:L46"/>
  <sheetViews>
    <sheetView workbookViewId="0"/>
  </sheetViews>
  <sheetFormatPr defaultColWidth="10" defaultRowHeight="12.5" x14ac:dyDescent="0.25"/>
  <cols>
    <col min="1" max="1" width="31.54296875" style="28" customWidth="1"/>
    <col min="2" max="12" width="22.54296875" style="28" customWidth="1"/>
    <col min="13" max="14" width="10" style="28"/>
    <col min="15" max="16" width="31.54296875" style="28" customWidth="1"/>
    <col min="17" max="16384" width="10" style="28"/>
  </cols>
  <sheetData>
    <row r="1" spans="1:12" ht="20" x14ac:dyDescent="0.4">
      <c r="A1" s="53" t="s">
        <v>0</v>
      </c>
      <c r="B1" s="54"/>
      <c r="C1" s="54"/>
      <c r="D1" s="54"/>
      <c r="E1" s="54"/>
      <c r="F1" s="54"/>
      <c r="G1" s="54"/>
      <c r="H1" s="54"/>
      <c r="I1" s="54"/>
    </row>
    <row r="2" spans="1:12"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12" ht="15.5" x14ac:dyDescent="0.35">
      <c r="A3" s="57" t="str">
        <f>TABLE_FACTOR_TYPE_1&amp;" - x-"&amp;TABLE_SERIES_NUMBER_1</f>
        <v>ARBO - x-728</v>
      </c>
      <c r="B3" s="56"/>
      <c r="C3" s="56"/>
      <c r="D3" s="56"/>
      <c r="E3" s="56"/>
      <c r="F3" s="56"/>
      <c r="G3" s="56"/>
      <c r="H3" s="56"/>
      <c r="I3" s="56"/>
    </row>
    <row r="4" spans="1:12" x14ac:dyDescent="0.25">
      <c r="A4" s="58"/>
    </row>
    <row r="6" spans="1:12" ht="13" x14ac:dyDescent="0.3">
      <c r="A6" s="92" t="s">
        <v>716</v>
      </c>
      <c r="B6" s="181" t="s">
        <v>717</v>
      </c>
      <c r="C6" s="181"/>
      <c r="D6" s="181"/>
      <c r="E6" s="181"/>
      <c r="F6" s="181"/>
      <c r="G6" s="181"/>
      <c r="H6" s="181"/>
      <c r="I6" s="181"/>
      <c r="J6" s="181"/>
      <c r="K6" s="181"/>
      <c r="L6" s="181"/>
    </row>
    <row r="7" spans="1:12" x14ac:dyDescent="0.25">
      <c r="A7" s="94" t="s">
        <v>298</v>
      </c>
      <c r="B7" s="181" t="s">
        <v>326</v>
      </c>
      <c r="C7" s="181"/>
      <c r="D7" s="181"/>
      <c r="E7" s="181"/>
      <c r="F7" s="181"/>
      <c r="G7" s="181"/>
      <c r="H7" s="181"/>
      <c r="I7" s="181"/>
      <c r="J7" s="181"/>
      <c r="K7" s="181"/>
      <c r="L7" s="181"/>
    </row>
    <row r="8" spans="1:12" x14ac:dyDescent="0.25">
      <c r="A8" s="94" t="s">
        <v>299</v>
      </c>
      <c r="B8" s="181" t="s">
        <v>96</v>
      </c>
      <c r="C8" s="181"/>
      <c r="D8" s="181"/>
      <c r="E8" s="181"/>
      <c r="F8" s="181"/>
      <c r="G8" s="181"/>
      <c r="H8" s="181"/>
      <c r="I8" s="181"/>
      <c r="J8" s="181"/>
      <c r="K8" s="181"/>
      <c r="L8" s="181"/>
    </row>
    <row r="9" spans="1:12" x14ac:dyDescent="0.25">
      <c r="A9" s="94" t="s">
        <v>300</v>
      </c>
      <c r="B9" s="181" t="s">
        <v>670</v>
      </c>
      <c r="C9" s="181"/>
      <c r="D9" s="181"/>
      <c r="E9" s="181"/>
      <c r="F9" s="181"/>
      <c r="G9" s="181"/>
      <c r="H9" s="181"/>
      <c r="I9" s="181"/>
      <c r="J9" s="181"/>
      <c r="K9" s="181"/>
      <c r="L9" s="181"/>
    </row>
    <row r="10" spans="1:12" x14ac:dyDescent="0.25">
      <c r="A10" s="94" t="s">
        <v>6</v>
      </c>
      <c r="B10" s="181" t="s">
        <v>692</v>
      </c>
      <c r="C10" s="181"/>
      <c r="D10" s="181"/>
      <c r="E10" s="181"/>
      <c r="F10" s="181"/>
      <c r="G10" s="181"/>
      <c r="H10" s="181"/>
      <c r="I10" s="181"/>
      <c r="J10" s="181"/>
      <c r="K10" s="181"/>
      <c r="L10" s="181"/>
    </row>
    <row r="11" spans="1:12" x14ac:dyDescent="0.25">
      <c r="A11" s="94" t="s">
        <v>301</v>
      </c>
      <c r="B11" s="181" t="s">
        <v>319</v>
      </c>
      <c r="C11" s="181"/>
      <c r="D11" s="181"/>
      <c r="E11" s="181"/>
      <c r="F11" s="181"/>
      <c r="G11" s="181"/>
      <c r="H11" s="181"/>
      <c r="I11" s="181"/>
      <c r="J11" s="181"/>
      <c r="K11" s="181"/>
      <c r="L11" s="181"/>
    </row>
    <row r="12" spans="1:12" x14ac:dyDescent="0.25">
      <c r="A12" s="94" t="s">
        <v>302</v>
      </c>
      <c r="B12" s="181" t="s">
        <v>672</v>
      </c>
      <c r="C12" s="181"/>
      <c r="D12" s="181"/>
      <c r="E12" s="181"/>
      <c r="F12" s="181"/>
      <c r="G12" s="181"/>
      <c r="H12" s="181"/>
      <c r="I12" s="181"/>
      <c r="J12" s="181"/>
      <c r="K12" s="181"/>
      <c r="L12" s="181"/>
    </row>
    <row r="13" spans="1:12" x14ac:dyDescent="0.25">
      <c r="A13" s="94" t="s">
        <v>724</v>
      </c>
      <c r="B13" s="181">
        <v>1</v>
      </c>
      <c r="C13" s="181"/>
      <c r="D13" s="181"/>
      <c r="E13" s="181"/>
      <c r="F13" s="181"/>
      <c r="G13" s="181"/>
      <c r="H13" s="181"/>
      <c r="I13" s="181"/>
      <c r="J13" s="181"/>
      <c r="K13" s="181"/>
      <c r="L13" s="181"/>
    </row>
    <row r="14" spans="1:12" x14ac:dyDescent="0.25">
      <c r="A14" s="94" t="s">
        <v>304</v>
      </c>
      <c r="B14" s="181">
        <v>728</v>
      </c>
      <c r="C14" s="181"/>
      <c r="D14" s="181"/>
      <c r="E14" s="181"/>
      <c r="F14" s="181"/>
      <c r="G14" s="181"/>
      <c r="H14" s="181"/>
      <c r="I14" s="181"/>
      <c r="J14" s="181"/>
      <c r="K14" s="181"/>
      <c r="L14" s="181"/>
    </row>
    <row r="15" spans="1:12" x14ac:dyDescent="0.25">
      <c r="A15" s="94" t="s">
        <v>727</v>
      </c>
      <c r="B15" s="181" t="s">
        <v>693</v>
      </c>
      <c r="C15" s="181"/>
      <c r="D15" s="181"/>
      <c r="E15" s="181"/>
      <c r="F15" s="181"/>
      <c r="G15" s="181"/>
      <c r="H15" s="181"/>
      <c r="I15" s="181"/>
      <c r="J15" s="181"/>
      <c r="K15" s="181"/>
      <c r="L15" s="181"/>
    </row>
    <row r="16" spans="1:12" x14ac:dyDescent="0.25">
      <c r="A16" s="94" t="s">
        <v>306</v>
      </c>
      <c r="B16" s="181" t="s">
        <v>694</v>
      </c>
      <c r="C16" s="181"/>
      <c r="D16" s="181"/>
      <c r="E16" s="181"/>
      <c r="F16" s="181"/>
      <c r="G16" s="181"/>
      <c r="H16" s="181"/>
      <c r="I16" s="181"/>
      <c r="J16" s="181"/>
      <c r="K16" s="181"/>
      <c r="L16" s="181"/>
    </row>
    <row r="17" spans="1:12" x14ac:dyDescent="0.25">
      <c r="A17" s="94" t="s">
        <v>800</v>
      </c>
      <c r="B17" s="181"/>
      <c r="C17" s="181"/>
      <c r="D17" s="181"/>
      <c r="E17" s="181"/>
      <c r="F17" s="181"/>
      <c r="G17" s="181"/>
      <c r="H17" s="181"/>
      <c r="I17" s="181"/>
      <c r="J17" s="181"/>
      <c r="K17" s="181"/>
      <c r="L17" s="181"/>
    </row>
    <row r="18" spans="1:12" x14ac:dyDescent="0.25">
      <c r="A18" s="94" t="s">
        <v>308</v>
      </c>
      <c r="B18" s="185">
        <v>45135</v>
      </c>
      <c r="C18" s="181"/>
      <c r="D18" s="181"/>
      <c r="E18" s="181"/>
      <c r="F18" s="181"/>
      <c r="G18" s="181"/>
      <c r="H18" s="181"/>
      <c r="I18" s="181"/>
      <c r="J18" s="181"/>
      <c r="K18" s="181"/>
      <c r="L18" s="181"/>
    </row>
    <row r="19" spans="1:12" x14ac:dyDescent="0.25">
      <c r="A19" s="94" t="s">
        <v>309</v>
      </c>
      <c r="B19" s="185">
        <v>45231</v>
      </c>
      <c r="C19" s="181"/>
      <c r="D19" s="181"/>
      <c r="E19" s="181"/>
      <c r="F19" s="181"/>
      <c r="G19" s="181"/>
      <c r="H19" s="181"/>
      <c r="I19" s="181"/>
      <c r="J19" s="181"/>
      <c r="K19" s="181"/>
      <c r="L19" s="181"/>
    </row>
    <row r="20" spans="1:12" x14ac:dyDescent="0.25">
      <c r="A20" s="94" t="s">
        <v>310</v>
      </c>
      <c r="B20" s="181" t="s">
        <v>324</v>
      </c>
      <c r="C20" s="181"/>
      <c r="D20" s="181"/>
      <c r="E20" s="181"/>
      <c r="F20" s="181"/>
      <c r="G20" s="181"/>
      <c r="H20" s="181"/>
      <c r="I20" s="181"/>
      <c r="J20" s="181"/>
      <c r="K20" s="181"/>
      <c r="L20" s="181"/>
    </row>
    <row r="21" spans="1:12" x14ac:dyDescent="0.25">
      <c r="A21" s="87" t="s">
        <v>311</v>
      </c>
      <c r="B21" s="181" t="s">
        <v>325</v>
      </c>
      <c r="C21" s="181"/>
      <c r="D21" s="181"/>
      <c r="E21" s="181"/>
      <c r="F21" s="181"/>
      <c r="G21" s="181"/>
      <c r="H21" s="181"/>
      <c r="I21" s="181"/>
      <c r="J21" s="181"/>
      <c r="K21" s="181"/>
      <c r="L21" s="181"/>
    </row>
    <row r="23" spans="1:12" x14ac:dyDescent="0.25">
      <c r="B23" s="104" t="str">
        <f>HYPERLINK("#'Factor List'!A1","Back to Factor List")</f>
        <v>Back to Factor List</v>
      </c>
    </row>
    <row r="24" spans="1:12" x14ac:dyDescent="0.25">
      <c r="B24" s="104" t="s">
        <v>13</v>
      </c>
    </row>
    <row r="26" spans="1:12" ht="13" x14ac:dyDescent="0.25">
      <c r="A26" s="96" t="s">
        <v>839</v>
      </c>
      <c r="B26" s="96">
        <v>55</v>
      </c>
      <c r="C26" s="96">
        <v>56</v>
      </c>
      <c r="D26" s="96">
        <v>57</v>
      </c>
      <c r="E26" s="96">
        <v>58</v>
      </c>
      <c r="F26" s="96">
        <v>59</v>
      </c>
      <c r="G26" s="96">
        <v>60</v>
      </c>
      <c r="H26" s="96">
        <v>61</v>
      </c>
      <c r="I26" s="96">
        <v>62</v>
      </c>
      <c r="J26" s="96">
        <v>63</v>
      </c>
      <c r="K26" s="96">
        <v>64</v>
      </c>
      <c r="L26" s="96">
        <v>65</v>
      </c>
    </row>
    <row r="27" spans="1:12" x14ac:dyDescent="0.25">
      <c r="A27" s="97">
        <v>0</v>
      </c>
      <c r="B27" s="98">
        <v>9.01</v>
      </c>
      <c r="C27" s="98">
        <v>8.18</v>
      </c>
      <c r="D27" s="98">
        <v>7.33</v>
      </c>
      <c r="E27" s="98">
        <v>6.47</v>
      </c>
      <c r="F27" s="98">
        <v>5.6</v>
      </c>
      <c r="G27" s="98">
        <v>4.71</v>
      </c>
      <c r="H27" s="98">
        <v>3.81</v>
      </c>
      <c r="I27" s="98">
        <v>2.88</v>
      </c>
      <c r="J27" s="98">
        <v>1.94</v>
      </c>
      <c r="K27" s="98">
        <v>0.98</v>
      </c>
      <c r="L27" s="98">
        <v>0</v>
      </c>
    </row>
    <row r="28" spans="1:12" x14ac:dyDescent="0.25">
      <c r="A28" s="97">
        <v>1</v>
      </c>
      <c r="B28" s="98">
        <v>8.94</v>
      </c>
      <c r="C28" s="98">
        <v>8.11</v>
      </c>
      <c r="D28" s="98">
        <v>7.26</v>
      </c>
      <c r="E28" s="98">
        <v>6.4</v>
      </c>
      <c r="F28" s="98">
        <v>5.53</v>
      </c>
      <c r="G28" s="98">
        <v>4.6399999999999997</v>
      </c>
      <c r="H28" s="98">
        <v>3.73</v>
      </c>
      <c r="I28" s="98">
        <v>2.81</v>
      </c>
      <c r="J28" s="98">
        <v>1.86</v>
      </c>
      <c r="K28" s="98">
        <v>0.9</v>
      </c>
      <c r="L28" s="98"/>
    </row>
    <row r="29" spans="1:12" x14ac:dyDescent="0.25">
      <c r="A29" s="97">
        <v>2</v>
      </c>
      <c r="B29" s="98">
        <v>8.8699999999999992</v>
      </c>
      <c r="C29" s="98">
        <v>8.0399999999999991</v>
      </c>
      <c r="D29" s="98">
        <v>7.19</v>
      </c>
      <c r="E29" s="98">
        <v>6.33</v>
      </c>
      <c r="F29" s="98">
        <v>5.45</v>
      </c>
      <c r="G29" s="98">
        <v>4.5599999999999996</v>
      </c>
      <c r="H29" s="98">
        <v>3.65</v>
      </c>
      <c r="I29" s="98">
        <v>2.73</v>
      </c>
      <c r="J29" s="98">
        <v>1.78</v>
      </c>
      <c r="K29" s="98">
        <v>0.82</v>
      </c>
      <c r="L29" s="98"/>
    </row>
    <row r="30" spans="1:12" x14ac:dyDescent="0.25">
      <c r="A30" s="97">
        <v>3</v>
      </c>
      <c r="B30" s="98">
        <v>8.8000000000000007</v>
      </c>
      <c r="C30" s="98">
        <v>7.97</v>
      </c>
      <c r="D30" s="98">
        <v>7.12</v>
      </c>
      <c r="E30" s="98">
        <v>6.26</v>
      </c>
      <c r="F30" s="98">
        <v>5.38</v>
      </c>
      <c r="G30" s="98">
        <v>4.49</v>
      </c>
      <c r="H30" s="98">
        <v>3.58</v>
      </c>
      <c r="I30" s="98">
        <v>2.65</v>
      </c>
      <c r="J30" s="98">
        <v>1.7</v>
      </c>
      <c r="K30" s="98">
        <v>0.74</v>
      </c>
      <c r="L30" s="98"/>
    </row>
    <row r="31" spans="1:12" x14ac:dyDescent="0.25">
      <c r="A31" s="97">
        <v>4</v>
      </c>
      <c r="B31" s="98">
        <v>8.73</v>
      </c>
      <c r="C31" s="98">
        <v>7.9</v>
      </c>
      <c r="D31" s="98">
        <v>7.05</v>
      </c>
      <c r="E31" s="98">
        <v>6.18</v>
      </c>
      <c r="F31" s="98">
        <v>5.3</v>
      </c>
      <c r="G31" s="98">
        <v>4.41</v>
      </c>
      <c r="H31" s="98">
        <v>3.5</v>
      </c>
      <c r="I31" s="98">
        <v>2.57</v>
      </c>
      <c r="J31" s="98">
        <v>1.62</v>
      </c>
      <c r="K31" s="98">
        <v>0.65</v>
      </c>
      <c r="L31" s="98"/>
    </row>
    <row r="32" spans="1:12" x14ac:dyDescent="0.25">
      <c r="A32" s="97">
        <v>5</v>
      </c>
      <c r="B32" s="98">
        <v>8.66</v>
      </c>
      <c r="C32" s="98">
        <v>7.83</v>
      </c>
      <c r="D32" s="98">
        <v>6.98</v>
      </c>
      <c r="E32" s="98">
        <v>6.11</v>
      </c>
      <c r="F32" s="98">
        <v>5.23</v>
      </c>
      <c r="G32" s="98">
        <v>4.33</v>
      </c>
      <c r="H32" s="98">
        <v>3.42</v>
      </c>
      <c r="I32" s="98">
        <v>2.4900000000000002</v>
      </c>
      <c r="J32" s="98">
        <v>1.54</v>
      </c>
      <c r="K32" s="98">
        <v>0.56999999999999995</v>
      </c>
      <c r="L32" s="98"/>
    </row>
    <row r="33" spans="1:12" x14ac:dyDescent="0.25">
      <c r="A33" s="97">
        <v>6</v>
      </c>
      <c r="B33" s="98">
        <v>8.59</v>
      </c>
      <c r="C33" s="98">
        <v>7.76</v>
      </c>
      <c r="D33" s="98">
        <v>6.9</v>
      </c>
      <c r="E33" s="98">
        <v>6.04</v>
      </c>
      <c r="F33" s="98">
        <v>5.16</v>
      </c>
      <c r="G33" s="98">
        <v>4.26</v>
      </c>
      <c r="H33" s="98">
        <v>3.34</v>
      </c>
      <c r="I33" s="98">
        <v>2.41</v>
      </c>
      <c r="J33" s="98">
        <v>1.46</v>
      </c>
      <c r="K33" s="98">
        <v>0.49</v>
      </c>
      <c r="L33" s="98"/>
    </row>
    <row r="34" spans="1:12" x14ac:dyDescent="0.25">
      <c r="A34" s="97">
        <v>7</v>
      </c>
      <c r="B34" s="98">
        <v>8.52</v>
      </c>
      <c r="C34" s="98">
        <v>7.69</v>
      </c>
      <c r="D34" s="98">
        <v>6.83</v>
      </c>
      <c r="E34" s="98">
        <v>5.96</v>
      </c>
      <c r="F34" s="98">
        <v>5.08</v>
      </c>
      <c r="G34" s="98">
        <v>4.18</v>
      </c>
      <c r="H34" s="98">
        <v>3.27</v>
      </c>
      <c r="I34" s="98">
        <v>2.33</v>
      </c>
      <c r="J34" s="98">
        <v>1.38</v>
      </c>
      <c r="K34" s="98">
        <v>0.41</v>
      </c>
      <c r="L34" s="98"/>
    </row>
    <row r="35" spans="1:12" x14ac:dyDescent="0.25">
      <c r="A35" s="97">
        <v>8</v>
      </c>
      <c r="B35" s="98">
        <v>8.4499999999999993</v>
      </c>
      <c r="C35" s="98">
        <v>7.61</v>
      </c>
      <c r="D35" s="98">
        <v>6.76</v>
      </c>
      <c r="E35" s="98">
        <v>5.89</v>
      </c>
      <c r="F35" s="98">
        <v>5.01</v>
      </c>
      <c r="G35" s="98">
        <v>4.1100000000000003</v>
      </c>
      <c r="H35" s="98">
        <v>3.19</v>
      </c>
      <c r="I35" s="98">
        <v>2.2599999999999998</v>
      </c>
      <c r="J35" s="98">
        <v>1.3</v>
      </c>
      <c r="K35" s="98">
        <v>0.33</v>
      </c>
      <c r="L35" s="98"/>
    </row>
    <row r="36" spans="1:12" x14ac:dyDescent="0.25">
      <c r="A36" s="97">
        <v>9</v>
      </c>
      <c r="B36" s="98">
        <v>8.39</v>
      </c>
      <c r="C36" s="98">
        <v>7.54</v>
      </c>
      <c r="D36" s="98">
        <v>6.69</v>
      </c>
      <c r="E36" s="98">
        <v>5.82</v>
      </c>
      <c r="F36" s="98">
        <v>4.93</v>
      </c>
      <c r="G36" s="98">
        <v>4.03</v>
      </c>
      <c r="H36" s="98">
        <v>3.11</v>
      </c>
      <c r="I36" s="98">
        <v>2.1800000000000002</v>
      </c>
      <c r="J36" s="98">
        <v>1.22</v>
      </c>
      <c r="K36" s="98">
        <v>0.25</v>
      </c>
      <c r="L36" s="98"/>
    </row>
    <row r="37" spans="1:12" x14ac:dyDescent="0.25">
      <c r="A37" s="97">
        <v>10</v>
      </c>
      <c r="B37" s="98">
        <v>8.32</v>
      </c>
      <c r="C37" s="98">
        <v>7.47</v>
      </c>
      <c r="D37" s="98">
        <v>6.62</v>
      </c>
      <c r="E37" s="98">
        <v>5.75</v>
      </c>
      <c r="F37" s="98">
        <v>4.8600000000000003</v>
      </c>
      <c r="G37" s="98">
        <v>3.96</v>
      </c>
      <c r="H37" s="98">
        <v>3.04</v>
      </c>
      <c r="I37" s="98">
        <v>2.1</v>
      </c>
      <c r="J37" s="98">
        <v>1.1399999999999999</v>
      </c>
      <c r="K37" s="98">
        <v>0.16</v>
      </c>
      <c r="L37" s="98"/>
    </row>
    <row r="38" spans="1:12" x14ac:dyDescent="0.25">
      <c r="A38" s="97">
        <v>11</v>
      </c>
      <c r="B38" s="98">
        <v>8.25</v>
      </c>
      <c r="C38" s="98">
        <v>7.4</v>
      </c>
      <c r="D38" s="98">
        <v>6.55</v>
      </c>
      <c r="E38" s="98">
        <v>5.67</v>
      </c>
      <c r="F38" s="98">
        <v>4.79</v>
      </c>
      <c r="G38" s="98">
        <v>3.88</v>
      </c>
      <c r="H38" s="98">
        <v>2.96</v>
      </c>
      <c r="I38" s="98">
        <v>2.02</v>
      </c>
      <c r="J38" s="98">
        <v>1.06</v>
      </c>
      <c r="K38" s="98">
        <v>0.08</v>
      </c>
      <c r="L38" s="98"/>
    </row>
    <row r="44" spans="1:12" ht="39.65" customHeight="1" x14ac:dyDescent="0.25"/>
    <row r="46" spans="1:12" ht="27.65" customHeight="1" x14ac:dyDescent="0.25"/>
  </sheetData>
  <conditionalFormatting sqref="A6:A21">
    <cfRule type="expression" dxfId="79" priority="1" stopIfTrue="1">
      <formula>MOD(ROW(),2)=0</formula>
    </cfRule>
    <cfRule type="expression" dxfId="78" priority="2" stopIfTrue="1">
      <formula>MOD(ROW(),2)&lt;&gt;0</formula>
    </cfRule>
  </conditionalFormatting>
  <conditionalFormatting sqref="A26:A38">
    <cfRule type="expression" dxfId="77" priority="11" stopIfTrue="1">
      <formula>MOD(ROW(),2)=0</formula>
    </cfRule>
    <cfRule type="expression" dxfId="76" priority="12" stopIfTrue="1">
      <formula>MOD(ROW(),2)&lt;&gt;0</formula>
    </cfRule>
  </conditionalFormatting>
  <conditionalFormatting sqref="B18:B21">
    <cfRule type="expression" dxfId="75" priority="7" stopIfTrue="1">
      <formula>MOD(ROW(),2)=0</formula>
    </cfRule>
    <cfRule type="expression" dxfId="74" priority="8" stopIfTrue="1">
      <formula>MOD(ROW(),2)&lt;&gt;0</formula>
    </cfRule>
  </conditionalFormatting>
  <conditionalFormatting sqref="B6:L21">
    <cfRule type="expression" dxfId="73" priority="17" stopIfTrue="1">
      <formula>MOD(ROW(),2)=0</formula>
    </cfRule>
    <cfRule type="expression" dxfId="72" priority="18" stopIfTrue="1">
      <formula>MOD(ROW(),2)&lt;&gt;0</formula>
    </cfRule>
  </conditionalFormatting>
  <conditionalFormatting sqref="B26:L38">
    <cfRule type="expression" dxfId="71" priority="13" stopIfTrue="1">
      <formula>MOD(ROW(),2)=0</formula>
    </cfRule>
    <cfRule type="expression" dxfId="70" priority="14" stopIfTrue="1">
      <formula>MOD(ROW(),2)&lt;&gt;0</formula>
    </cfRule>
  </conditionalFormatting>
  <hyperlinks>
    <hyperlink ref="B24" location="Assumptions!A1" display="Assumptions" xr:uid="{2FC375DF-EF3A-4906-8EB1-1E9B8502A3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24"/>
  <dimension ref="A1:I46"/>
  <sheetViews>
    <sheetView workbookViewId="0"/>
  </sheetViews>
  <sheetFormatPr defaultColWidth="10" defaultRowHeight="12.5" x14ac:dyDescent="0.25"/>
  <cols>
    <col min="1" max="1" width="31.54296875" style="28" customWidth="1"/>
    <col min="2" max="7" width="22.54296875" style="28" customWidth="1"/>
    <col min="8"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ARBO - x-729</v>
      </c>
      <c r="B3" s="56"/>
      <c r="C3" s="56"/>
      <c r="D3" s="56"/>
      <c r="E3" s="56"/>
      <c r="F3" s="56"/>
      <c r="G3" s="56"/>
      <c r="H3" s="56"/>
      <c r="I3" s="56"/>
    </row>
    <row r="4" spans="1:9" x14ac:dyDescent="0.25">
      <c r="A4" s="58"/>
    </row>
    <row r="6" spans="1:9" ht="13" x14ac:dyDescent="0.3">
      <c r="A6" s="92" t="s">
        <v>716</v>
      </c>
      <c r="B6" s="181" t="s">
        <v>717</v>
      </c>
      <c r="C6" s="181"/>
      <c r="D6" s="181"/>
      <c r="E6" s="181"/>
      <c r="F6" s="181"/>
      <c r="G6" s="181"/>
    </row>
    <row r="7" spans="1:9" x14ac:dyDescent="0.25">
      <c r="A7" s="94" t="s">
        <v>298</v>
      </c>
      <c r="B7" s="181" t="s">
        <v>326</v>
      </c>
      <c r="C7" s="181"/>
      <c r="D7" s="181"/>
      <c r="E7" s="181"/>
      <c r="F7" s="181"/>
      <c r="G7" s="181"/>
    </row>
    <row r="8" spans="1:9" x14ac:dyDescent="0.25">
      <c r="A8" s="94" t="s">
        <v>299</v>
      </c>
      <c r="B8" s="181" t="s">
        <v>96</v>
      </c>
      <c r="C8" s="181"/>
      <c r="D8" s="181"/>
      <c r="E8" s="181"/>
      <c r="F8" s="181"/>
      <c r="G8" s="181"/>
    </row>
    <row r="9" spans="1:9" x14ac:dyDescent="0.25">
      <c r="A9" s="94" t="s">
        <v>300</v>
      </c>
      <c r="B9" s="181" t="s">
        <v>670</v>
      </c>
      <c r="C9" s="181"/>
      <c r="D9" s="181"/>
      <c r="E9" s="181"/>
      <c r="F9" s="181"/>
      <c r="G9" s="181"/>
    </row>
    <row r="10" spans="1:9" x14ac:dyDescent="0.25">
      <c r="A10" s="94" t="s">
        <v>6</v>
      </c>
      <c r="B10" s="181" t="s">
        <v>695</v>
      </c>
      <c r="C10" s="181"/>
      <c r="D10" s="181"/>
      <c r="E10" s="181"/>
      <c r="F10" s="181"/>
      <c r="G10" s="181"/>
    </row>
    <row r="11" spans="1:9" x14ac:dyDescent="0.25">
      <c r="A11" s="94" t="s">
        <v>301</v>
      </c>
      <c r="B11" s="181" t="s">
        <v>319</v>
      </c>
      <c r="C11" s="181"/>
      <c r="D11" s="181"/>
      <c r="E11" s="181"/>
      <c r="F11" s="181"/>
      <c r="G11" s="181"/>
    </row>
    <row r="12" spans="1:9" x14ac:dyDescent="0.25">
      <c r="A12" s="94" t="s">
        <v>302</v>
      </c>
      <c r="B12" s="181" t="s">
        <v>672</v>
      </c>
      <c r="C12" s="181"/>
      <c r="D12" s="181"/>
      <c r="E12" s="181"/>
      <c r="F12" s="181"/>
      <c r="G12" s="181"/>
    </row>
    <row r="13" spans="1:9" x14ac:dyDescent="0.25">
      <c r="A13" s="94" t="s">
        <v>724</v>
      </c>
      <c r="B13" s="181">
        <v>1</v>
      </c>
      <c r="C13" s="181"/>
      <c r="D13" s="181"/>
      <c r="E13" s="181"/>
      <c r="F13" s="181"/>
      <c r="G13" s="181"/>
    </row>
    <row r="14" spans="1:9" x14ac:dyDescent="0.25">
      <c r="A14" s="94" t="s">
        <v>304</v>
      </c>
      <c r="B14" s="181">
        <v>729</v>
      </c>
      <c r="C14" s="181"/>
      <c r="D14" s="181"/>
      <c r="E14" s="181"/>
      <c r="F14" s="181"/>
      <c r="G14" s="181"/>
    </row>
    <row r="15" spans="1:9" x14ac:dyDescent="0.25">
      <c r="A15" s="94" t="s">
        <v>727</v>
      </c>
      <c r="B15" s="181" t="s">
        <v>696</v>
      </c>
      <c r="C15" s="181"/>
      <c r="D15" s="181"/>
      <c r="E15" s="181"/>
      <c r="F15" s="181"/>
      <c r="G15" s="181"/>
    </row>
    <row r="16" spans="1:9" x14ac:dyDescent="0.25">
      <c r="A16" s="94" t="s">
        <v>306</v>
      </c>
      <c r="B16" s="181" t="s">
        <v>697</v>
      </c>
      <c r="C16" s="181"/>
      <c r="D16" s="181"/>
      <c r="E16" s="181"/>
      <c r="F16" s="181"/>
      <c r="G16" s="181"/>
    </row>
    <row r="17" spans="1:7" x14ac:dyDescent="0.25">
      <c r="A17" s="94" t="s">
        <v>800</v>
      </c>
      <c r="B17" s="181"/>
      <c r="C17" s="181"/>
      <c r="D17" s="181"/>
      <c r="E17" s="181"/>
      <c r="F17" s="181"/>
      <c r="G17" s="181"/>
    </row>
    <row r="18" spans="1:7" x14ac:dyDescent="0.25">
      <c r="A18" s="94" t="s">
        <v>308</v>
      </c>
      <c r="B18" s="185">
        <v>45135</v>
      </c>
      <c r="C18" s="181"/>
      <c r="D18" s="181"/>
      <c r="E18" s="181"/>
      <c r="F18" s="181"/>
      <c r="G18" s="181"/>
    </row>
    <row r="19" spans="1:7" x14ac:dyDescent="0.25">
      <c r="A19" s="94" t="s">
        <v>309</v>
      </c>
      <c r="B19" s="185">
        <v>45231</v>
      </c>
      <c r="C19" s="181"/>
      <c r="D19" s="181"/>
      <c r="E19" s="181"/>
      <c r="F19" s="181"/>
      <c r="G19" s="181"/>
    </row>
    <row r="20" spans="1:7" x14ac:dyDescent="0.25">
      <c r="A20" s="94" t="s">
        <v>310</v>
      </c>
      <c r="B20" s="181" t="s">
        <v>324</v>
      </c>
      <c r="C20" s="181"/>
      <c r="D20" s="181"/>
      <c r="E20" s="181"/>
      <c r="F20" s="181"/>
      <c r="G20" s="181"/>
    </row>
    <row r="21" spans="1:7" x14ac:dyDescent="0.25">
      <c r="A21" s="87" t="s">
        <v>311</v>
      </c>
      <c r="B21" s="181" t="s">
        <v>325</v>
      </c>
      <c r="C21" s="181"/>
      <c r="D21" s="181"/>
      <c r="E21" s="181"/>
      <c r="F21" s="181"/>
      <c r="G21" s="181"/>
    </row>
    <row r="23" spans="1:7" x14ac:dyDescent="0.25">
      <c r="B23" s="104" t="str">
        <f>HYPERLINK("#'Factor List'!A1","Back to Factor List")</f>
        <v>Back to Factor List</v>
      </c>
    </row>
    <row r="24" spans="1:7" x14ac:dyDescent="0.25">
      <c r="B24" s="104" t="s">
        <v>13</v>
      </c>
    </row>
    <row r="26" spans="1:7" ht="13" x14ac:dyDescent="0.25">
      <c r="A26" s="96" t="s">
        <v>839</v>
      </c>
      <c r="B26" s="96">
        <v>55</v>
      </c>
      <c r="C26" s="96">
        <v>56</v>
      </c>
      <c r="D26" s="96">
        <v>57</v>
      </c>
      <c r="E26" s="96">
        <v>58</v>
      </c>
      <c r="F26" s="96">
        <v>59</v>
      </c>
      <c r="G26" s="96">
        <v>60</v>
      </c>
    </row>
    <row r="27" spans="1:7" x14ac:dyDescent="0.25">
      <c r="A27" s="97">
        <v>0</v>
      </c>
      <c r="B27" s="98">
        <v>4.74</v>
      </c>
      <c r="C27" s="98">
        <v>3.83</v>
      </c>
      <c r="D27" s="98">
        <v>2.9</v>
      </c>
      <c r="E27" s="98">
        <v>1.95</v>
      </c>
      <c r="F27" s="98">
        <v>0.99</v>
      </c>
      <c r="G27" s="98">
        <v>0</v>
      </c>
    </row>
    <row r="28" spans="1:7" x14ac:dyDescent="0.25">
      <c r="A28" s="97">
        <v>1</v>
      </c>
      <c r="B28" s="98">
        <v>4.67</v>
      </c>
      <c r="C28" s="98">
        <v>3.75</v>
      </c>
      <c r="D28" s="98">
        <v>2.82</v>
      </c>
      <c r="E28" s="98">
        <v>1.87</v>
      </c>
      <c r="F28" s="98">
        <v>0.9</v>
      </c>
      <c r="G28" s="98"/>
    </row>
    <row r="29" spans="1:7" x14ac:dyDescent="0.25">
      <c r="A29" s="97">
        <v>2</v>
      </c>
      <c r="B29" s="98">
        <v>4.59</v>
      </c>
      <c r="C29" s="98">
        <v>3.68</v>
      </c>
      <c r="D29" s="98">
        <v>2.74</v>
      </c>
      <c r="E29" s="98">
        <v>1.79</v>
      </c>
      <c r="F29" s="98">
        <v>0.82</v>
      </c>
      <c r="G29" s="98"/>
    </row>
    <row r="30" spans="1:7" x14ac:dyDescent="0.25">
      <c r="A30" s="97">
        <v>3</v>
      </c>
      <c r="B30" s="98">
        <v>4.5199999999999996</v>
      </c>
      <c r="C30" s="98">
        <v>3.6</v>
      </c>
      <c r="D30" s="98">
        <v>2.66</v>
      </c>
      <c r="E30" s="98">
        <v>1.71</v>
      </c>
      <c r="F30" s="98">
        <v>0.74</v>
      </c>
      <c r="G30" s="98"/>
    </row>
    <row r="31" spans="1:7" x14ac:dyDescent="0.25">
      <c r="A31" s="97">
        <v>4</v>
      </c>
      <c r="B31" s="98">
        <v>4.4400000000000004</v>
      </c>
      <c r="C31" s="98">
        <v>3.52</v>
      </c>
      <c r="D31" s="98">
        <v>2.58</v>
      </c>
      <c r="E31" s="98">
        <v>1.63</v>
      </c>
      <c r="F31" s="98">
        <v>0.66</v>
      </c>
      <c r="G31" s="98"/>
    </row>
    <row r="32" spans="1:7" x14ac:dyDescent="0.25">
      <c r="A32" s="97">
        <v>5</v>
      </c>
      <c r="B32" s="98">
        <v>4.3600000000000003</v>
      </c>
      <c r="C32" s="98">
        <v>3.44</v>
      </c>
      <c r="D32" s="98">
        <v>2.5099999999999998</v>
      </c>
      <c r="E32" s="98">
        <v>1.55</v>
      </c>
      <c r="F32" s="98">
        <v>0.57999999999999996</v>
      </c>
      <c r="G32" s="98"/>
    </row>
    <row r="33" spans="1:7" x14ac:dyDescent="0.25">
      <c r="A33" s="97">
        <v>6</v>
      </c>
      <c r="B33" s="98">
        <v>4.29</v>
      </c>
      <c r="C33" s="98">
        <v>3.37</v>
      </c>
      <c r="D33" s="98">
        <v>2.4300000000000002</v>
      </c>
      <c r="E33" s="98">
        <v>1.47</v>
      </c>
      <c r="F33" s="98">
        <v>0.49</v>
      </c>
      <c r="G33" s="98"/>
    </row>
    <row r="34" spans="1:7" x14ac:dyDescent="0.25">
      <c r="A34" s="97">
        <v>7</v>
      </c>
      <c r="B34" s="98">
        <v>4.21</v>
      </c>
      <c r="C34" s="98">
        <v>3.29</v>
      </c>
      <c r="D34" s="98">
        <v>2.35</v>
      </c>
      <c r="E34" s="98">
        <v>1.39</v>
      </c>
      <c r="F34" s="98">
        <v>0.41</v>
      </c>
      <c r="G34" s="98"/>
    </row>
    <row r="35" spans="1:7" x14ac:dyDescent="0.25">
      <c r="A35" s="97">
        <v>8</v>
      </c>
      <c r="B35" s="98">
        <v>4.1399999999999997</v>
      </c>
      <c r="C35" s="98">
        <v>3.21</v>
      </c>
      <c r="D35" s="98">
        <v>2.27</v>
      </c>
      <c r="E35" s="98">
        <v>1.31</v>
      </c>
      <c r="F35" s="98">
        <v>0.33</v>
      </c>
      <c r="G35" s="98"/>
    </row>
    <row r="36" spans="1:7" x14ac:dyDescent="0.25">
      <c r="A36" s="97">
        <v>9</v>
      </c>
      <c r="B36" s="98">
        <v>4.0599999999999996</v>
      </c>
      <c r="C36" s="98">
        <v>3.13</v>
      </c>
      <c r="D36" s="98">
        <v>2.19</v>
      </c>
      <c r="E36" s="98">
        <v>1.23</v>
      </c>
      <c r="F36" s="98">
        <v>0.25</v>
      </c>
      <c r="G36" s="98"/>
    </row>
    <row r="37" spans="1:7" x14ac:dyDescent="0.25">
      <c r="A37" s="97">
        <v>10</v>
      </c>
      <c r="B37" s="98">
        <v>3.98</v>
      </c>
      <c r="C37" s="98">
        <v>3.06</v>
      </c>
      <c r="D37" s="98">
        <v>2.11</v>
      </c>
      <c r="E37" s="98">
        <v>1.1499999999999999</v>
      </c>
      <c r="F37" s="98">
        <v>0.16</v>
      </c>
      <c r="G37" s="98"/>
    </row>
    <row r="38" spans="1:7" x14ac:dyDescent="0.25">
      <c r="A38" s="97">
        <v>11</v>
      </c>
      <c r="B38" s="98">
        <v>3.91</v>
      </c>
      <c r="C38" s="98">
        <v>2.98</v>
      </c>
      <c r="D38" s="98">
        <v>2.0299999999999998</v>
      </c>
      <c r="E38" s="98">
        <v>1.07</v>
      </c>
      <c r="F38" s="98">
        <v>0.08</v>
      </c>
      <c r="G38" s="98"/>
    </row>
    <row r="44" spans="1:7" ht="39.65" customHeight="1" x14ac:dyDescent="0.25"/>
    <row r="46" spans="1:7" ht="27.65" customHeight="1" x14ac:dyDescent="0.25"/>
  </sheetData>
  <conditionalFormatting sqref="A6:A21">
    <cfRule type="expression" dxfId="69" priority="1" stopIfTrue="1">
      <formula>MOD(ROW(),2)=0</formula>
    </cfRule>
    <cfRule type="expression" dxfId="68" priority="2" stopIfTrue="1">
      <formula>MOD(ROW(),2)&lt;&gt;0</formula>
    </cfRule>
  </conditionalFormatting>
  <conditionalFormatting sqref="A26:A38">
    <cfRule type="expression" dxfId="67" priority="11" stopIfTrue="1">
      <formula>MOD(ROW(),2)=0</formula>
    </cfRule>
    <cfRule type="expression" dxfId="66" priority="12" stopIfTrue="1">
      <formula>MOD(ROW(),2)&lt;&gt;0</formula>
    </cfRule>
  </conditionalFormatting>
  <conditionalFormatting sqref="B18:B21">
    <cfRule type="expression" dxfId="65" priority="7" stopIfTrue="1">
      <formula>MOD(ROW(),2)=0</formula>
    </cfRule>
    <cfRule type="expression" dxfId="64" priority="8" stopIfTrue="1">
      <formula>MOD(ROW(),2)&lt;&gt;0</formula>
    </cfRule>
  </conditionalFormatting>
  <conditionalFormatting sqref="B6:G21">
    <cfRule type="expression" dxfId="63" priority="17" stopIfTrue="1">
      <formula>MOD(ROW(),2)=0</formula>
    </cfRule>
    <cfRule type="expression" dxfId="62" priority="18" stopIfTrue="1">
      <formula>MOD(ROW(),2)&lt;&gt;0</formula>
    </cfRule>
  </conditionalFormatting>
  <conditionalFormatting sqref="B26:G38">
    <cfRule type="expression" dxfId="61" priority="13" stopIfTrue="1">
      <formula>MOD(ROW(),2)=0</formula>
    </cfRule>
    <cfRule type="expression" dxfId="60" priority="14" stopIfTrue="1">
      <formula>MOD(ROW(),2)&lt;&gt;0</formula>
    </cfRule>
  </conditionalFormatting>
  <hyperlinks>
    <hyperlink ref="B24" location="Assumptions!A1" display="Assumptions" xr:uid="{67EFD567-5CF9-4747-9AF9-1628DB9ACAC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37"/>
  <dimension ref="A1:I45"/>
  <sheetViews>
    <sheetView workbookViewId="0">
      <selection activeCell="B19" sqref="B19"/>
    </sheetView>
  </sheetViews>
  <sheetFormatPr defaultColWidth="10" defaultRowHeight="12.5" x14ac:dyDescent="0.25"/>
  <cols>
    <col min="1" max="2" width="31.54296875" style="28" customWidth="1"/>
    <col min="3"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WPS refunds - x-811</v>
      </c>
      <c r="B3" s="56"/>
      <c r="C3" s="56"/>
      <c r="D3" s="56"/>
      <c r="E3" s="56"/>
      <c r="F3" s="56"/>
      <c r="G3" s="56"/>
      <c r="H3" s="56"/>
      <c r="I3" s="56"/>
    </row>
    <row r="4" spans="1:9" x14ac:dyDescent="0.25">
      <c r="A4" s="58"/>
    </row>
    <row r="6" spans="1:9" ht="13" x14ac:dyDescent="0.3">
      <c r="A6" s="92" t="s">
        <v>716</v>
      </c>
      <c r="B6" s="181" t="s">
        <v>717</v>
      </c>
    </row>
    <row r="7" spans="1:9" x14ac:dyDescent="0.25">
      <c r="A7" s="94" t="s">
        <v>298</v>
      </c>
      <c r="B7" s="181" t="s">
        <v>326</v>
      </c>
    </row>
    <row r="8" spans="1:9" x14ac:dyDescent="0.25">
      <c r="A8" s="94" t="s">
        <v>299</v>
      </c>
      <c r="B8" s="181" t="s">
        <v>93</v>
      </c>
    </row>
    <row r="9" spans="1:9" x14ac:dyDescent="0.25">
      <c r="A9" s="94" t="s">
        <v>300</v>
      </c>
      <c r="B9" s="181" t="s">
        <v>698</v>
      </c>
    </row>
    <row r="10" spans="1:9" x14ac:dyDescent="0.25">
      <c r="A10" s="94" t="s">
        <v>6</v>
      </c>
      <c r="B10" s="181" t="s">
        <v>699</v>
      </c>
    </row>
    <row r="11" spans="1:9" x14ac:dyDescent="0.25">
      <c r="A11" s="94" t="s">
        <v>301</v>
      </c>
      <c r="B11" s="181" t="s">
        <v>319</v>
      </c>
    </row>
    <row r="12" spans="1:9" x14ac:dyDescent="0.25">
      <c r="A12" s="94" t="s">
        <v>302</v>
      </c>
      <c r="B12" s="181" t="s">
        <v>335</v>
      </c>
    </row>
    <row r="13" spans="1:9" x14ac:dyDescent="0.25">
      <c r="A13" s="94" t="s">
        <v>724</v>
      </c>
      <c r="B13" s="181">
        <v>1</v>
      </c>
    </row>
    <row r="14" spans="1:9" x14ac:dyDescent="0.25">
      <c r="A14" s="94" t="s">
        <v>304</v>
      </c>
      <c r="B14" s="181">
        <v>811</v>
      </c>
    </row>
    <row r="15" spans="1:9" x14ac:dyDescent="0.25">
      <c r="A15" s="94" t="s">
        <v>727</v>
      </c>
      <c r="B15" s="181" t="s">
        <v>700</v>
      </c>
    </row>
    <row r="16" spans="1:9" x14ac:dyDescent="0.25">
      <c r="A16" s="94" t="s">
        <v>306</v>
      </c>
      <c r="B16" s="181" t="s">
        <v>701</v>
      </c>
    </row>
    <row r="17" spans="1:2" ht="144.65" customHeight="1" x14ac:dyDescent="0.25">
      <c r="A17" s="94" t="s">
        <v>800</v>
      </c>
      <c r="B17" s="181"/>
    </row>
    <row r="18" spans="1:2" x14ac:dyDescent="0.25">
      <c r="A18" s="94" t="s">
        <v>308</v>
      </c>
      <c r="B18" s="185">
        <v>45184</v>
      </c>
    </row>
    <row r="19" spans="1:2" x14ac:dyDescent="0.25">
      <c r="A19" s="94" t="s">
        <v>309</v>
      </c>
      <c r="B19" s="185">
        <v>45184</v>
      </c>
    </row>
    <row r="20" spans="1:2" x14ac:dyDescent="0.25">
      <c r="A20" s="94" t="s">
        <v>310</v>
      </c>
      <c r="B20" s="181" t="s">
        <v>324</v>
      </c>
    </row>
    <row r="21" spans="1:2" x14ac:dyDescent="0.25">
      <c r="A21" s="87" t="s">
        <v>311</v>
      </c>
      <c r="B21" s="181" t="s">
        <v>325</v>
      </c>
    </row>
    <row r="23" spans="1:2" x14ac:dyDescent="0.25">
      <c r="B23" s="104" t="str">
        <f>HYPERLINK("#'Factor List'!A1","Back to Factor List")</f>
        <v>Back to Factor List</v>
      </c>
    </row>
    <row r="24" spans="1:2" x14ac:dyDescent="0.25">
      <c r="B24" s="104" t="s">
        <v>13</v>
      </c>
    </row>
    <row r="26" spans="1:2" ht="13" x14ac:dyDescent="0.25">
      <c r="A26" s="96" t="s">
        <v>534</v>
      </c>
      <c r="B26" s="96" t="s">
        <v>802</v>
      </c>
    </row>
    <row r="27" spans="1:2" x14ac:dyDescent="0.25">
      <c r="A27" s="97">
        <v>50</v>
      </c>
      <c r="B27" s="107">
        <v>0.69000000000000006</v>
      </c>
    </row>
    <row r="28" spans="1:2" x14ac:dyDescent="0.25">
      <c r="A28" s="97">
        <v>51</v>
      </c>
      <c r="B28" s="107">
        <v>0.64500000000000002</v>
      </c>
    </row>
    <row r="29" spans="1:2" x14ac:dyDescent="0.25">
      <c r="A29" s="97">
        <v>52</v>
      </c>
      <c r="B29" s="107">
        <v>0.59499999999999997</v>
      </c>
    </row>
    <row r="30" spans="1:2" x14ac:dyDescent="0.25">
      <c r="A30" s="97">
        <v>53</v>
      </c>
      <c r="B30" s="107">
        <v>0.55000000000000004</v>
      </c>
    </row>
    <row r="31" spans="1:2" x14ac:dyDescent="0.25">
      <c r="A31" s="97">
        <v>54</v>
      </c>
      <c r="B31" s="107">
        <v>0.51500000000000001</v>
      </c>
    </row>
    <row r="32" spans="1:2" x14ac:dyDescent="0.25">
      <c r="A32" s="97">
        <v>55</v>
      </c>
      <c r="B32" s="107">
        <v>0.48499999999999999</v>
      </c>
    </row>
    <row r="33" spans="1:2" x14ac:dyDescent="0.25">
      <c r="A33" s="97">
        <v>56</v>
      </c>
      <c r="B33" s="107">
        <v>0.46</v>
      </c>
    </row>
    <row r="34" spans="1:2" x14ac:dyDescent="0.25">
      <c r="A34" s="97">
        <v>57</v>
      </c>
      <c r="B34" s="107">
        <v>0.44</v>
      </c>
    </row>
    <row r="35" spans="1:2" x14ac:dyDescent="0.25">
      <c r="A35" s="97">
        <v>58</v>
      </c>
      <c r="B35" s="107">
        <v>0.42499999999999999</v>
      </c>
    </row>
    <row r="36" spans="1:2" x14ac:dyDescent="0.25">
      <c r="A36" s="97">
        <v>59</v>
      </c>
      <c r="B36" s="107">
        <v>0.41500000000000004</v>
      </c>
    </row>
    <row r="37" spans="1:2" x14ac:dyDescent="0.25">
      <c r="A37" s="97" t="s">
        <v>987</v>
      </c>
      <c r="B37" s="107">
        <v>0.4</v>
      </c>
    </row>
    <row r="43" spans="1:2" ht="39.65" customHeight="1" x14ac:dyDescent="0.25"/>
    <row r="45" spans="1:2" ht="27.65" customHeight="1" x14ac:dyDescent="0.25"/>
  </sheetData>
  <conditionalFormatting sqref="A6:A21">
    <cfRule type="expression" dxfId="59" priority="1" stopIfTrue="1">
      <formula>MOD(ROW(),2)=0</formula>
    </cfRule>
    <cfRule type="expression" dxfId="58" priority="2" stopIfTrue="1">
      <formula>MOD(ROW(),2)&lt;&gt;0</formula>
    </cfRule>
  </conditionalFormatting>
  <conditionalFormatting sqref="A26:A37">
    <cfRule type="expression" dxfId="57" priority="13" stopIfTrue="1">
      <formula>MOD(ROW(),2)=0</formula>
    </cfRule>
    <cfRule type="expression" dxfId="56" priority="14" stopIfTrue="1">
      <formula>MOD(ROW(),2)&lt;&gt;0</formula>
    </cfRule>
  </conditionalFormatting>
  <conditionalFormatting sqref="B6">
    <cfRule type="expression" dxfId="55" priority="19" stopIfTrue="1">
      <formula>MOD(ROW(),2)=0</formula>
    </cfRule>
    <cfRule type="expression" dxfId="54" priority="20" stopIfTrue="1">
      <formula>MOD(ROW(),2)&lt;&gt;0</formula>
    </cfRule>
  </conditionalFormatting>
  <conditionalFormatting sqref="B6:B21">
    <cfRule type="expression" dxfId="53" priority="9" stopIfTrue="1">
      <formula>MOD(ROW(),2)=0</formula>
    </cfRule>
    <cfRule type="expression" dxfId="52" priority="10" stopIfTrue="1">
      <formula>MOD(ROW(),2)&lt;&gt;0</formula>
    </cfRule>
  </conditionalFormatting>
  <conditionalFormatting sqref="B18:B21">
    <cfRule type="expression" dxfId="51" priority="7" stopIfTrue="1">
      <formula>MOD(ROW(),2)=0</formula>
    </cfRule>
    <cfRule type="expression" dxfId="50" priority="8" stopIfTrue="1">
      <formula>MOD(ROW(),2)&lt;&gt;0</formula>
    </cfRule>
  </conditionalFormatting>
  <conditionalFormatting sqref="B26:B37">
    <cfRule type="expression" dxfId="49" priority="15" stopIfTrue="1">
      <formula>MOD(ROW(),2)=0</formula>
    </cfRule>
    <cfRule type="expression" dxfId="48" priority="16" stopIfTrue="1">
      <formula>MOD(ROW(),2)&lt;&gt;0</formula>
    </cfRule>
  </conditionalFormatting>
  <hyperlinks>
    <hyperlink ref="B24" location="Assumptions!A1" display="Assumptions" xr:uid="{955C370E-F37E-4990-8E8A-A58467CE0A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38"/>
  <dimension ref="A1:I74"/>
  <sheetViews>
    <sheetView workbookViewId="0"/>
  </sheetViews>
  <sheetFormatPr defaultColWidth="10" defaultRowHeight="12.5" x14ac:dyDescent="0.25"/>
  <cols>
    <col min="1" max="2" width="31.54296875" style="28" customWidth="1"/>
    <col min="3"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WPS refunds - x-812</v>
      </c>
      <c r="B3" s="56"/>
      <c r="C3" s="56"/>
      <c r="D3" s="56"/>
      <c r="E3" s="56"/>
      <c r="F3" s="56"/>
      <c r="G3" s="56"/>
      <c r="H3" s="56"/>
      <c r="I3" s="56"/>
    </row>
    <row r="4" spans="1:9" x14ac:dyDescent="0.25">
      <c r="A4" s="58"/>
    </row>
    <row r="6" spans="1:9" ht="13" x14ac:dyDescent="0.3">
      <c r="A6" s="92" t="s">
        <v>716</v>
      </c>
      <c r="B6" s="181" t="s">
        <v>717</v>
      </c>
    </row>
    <row r="7" spans="1:9" ht="32.15" customHeight="1" x14ac:dyDescent="0.25">
      <c r="A7" s="94" t="s">
        <v>298</v>
      </c>
      <c r="B7" s="181" t="s">
        <v>326</v>
      </c>
    </row>
    <row r="8" spans="1:9" x14ac:dyDescent="0.25">
      <c r="A8" s="94" t="s">
        <v>299</v>
      </c>
      <c r="B8" s="181" t="s">
        <v>93</v>
      </c>
    </row>
    <row r="9" spans="1:9" x14ac:dyDescent="0.25">
      <c r="A9" s="94" t="s">
        <v>300</v>
      </c>
      <c r="B9" s="181" t="s">
        <v>698</v>
      </c>
    </row>
    <row r="10" spans="1:9" x14ac:dyDescent="0.25">
      <c r="A10" s="94" t="s">
        <v>6</v>
      </c>
      <c r="B10" s="181" t="s">
        <v>702</v>
      </c>
    </row>
    <row r="11" spans="1:9" x14ac:dyDescent="0.25">
      <c r="A11" s="94" t="s">
        <v>301</v>
      </c>
      <c r="B11" s="181" t="s">
        <v>319</v>
      </c>
    </row>
    <row r="12" spans="1:9" x14ac:dyDescent="0.25">
      <c r="A12" s="94" t="s">
        <v>302</v>
      </c>
      <c r="B12" s="181" t="s">
        <v>335</v>
      </c>
    </row>
    <row r="13" spans="1:9" x14ac:dyDescent="0.25">
      <c r="A13" s="94" t="s">
        <v>724</v>
      </c>
      <c r="B13" s="181">
        <v>1</v>
      </c>
    </row>
    <row r="14" spans="1:9" x14ac:dyDescent="0.25">
      <c r="A14" s="94" t="s">
        <v>304</v>
      </c>
      <c r="B14" s="181">
        <v>812</v>
      </c>
    </row>
    <row r="15" spans="1:9" x14ac:dyDescent="0.25">
      <c r="A15" s="94" t="s">
        <v>727</v>
      </c>
      <c r="B15" s="181" t="s">
        <v>703</v>
      </c>
    </row>
    <row r="16" spans="1:9" x14ac:dyDescent="0.25">
      <c r="A16" s="94" t="s">
        <v>306</v>
      </c>
      <c r="B16" s="181" t="s">
        <v>704</v>
      </c>
    </row>
    <row r="17" spans="1:2" ht="144.65" customHeight="1" x14ac:dyDescent="0.25">
      <c r="A17" s="94" t="s">
        <v>800</v>
      </c>
      <c r="B17" s="181"/>
    </row>
    <row r="18" spans="1:2" x14ac:dyDescent="0.25">
      <c r="A18" s="94" t="s">
        <v>308</v>
      </c>
      <c r="B18" s="185">
        <v>45184</v>
      </c>
    </row>
    <row r="19" spans="1:2" x14ac:dyDescent="0.25">
      <c r="A19" s="94" t="s">
        <v>309</v>
      </c>
      <c r="B19" s="185">
        <v>45184</v>
      </c>
    </row>
    <row r="20" spans="1:2" x14ac:dyDescent="0.25">
      <c r="A20" s="94" t="s">
        <v>310</v>
      </c>
      <c r="B20" s="181" t="s">
        <v>324</v>
      </c>
    </row>
    <row r="21" spans="1:2" x14ac:dyDescent="0.25">
      <c r="A21" s="87" t="s">
        <v>311</v>
      </c>
      <c r="B21" s="181" t="s">
        <v>325</v>
      </c>
    </row>
    <row r="23" spans="1:2" x14ac:dyDescent="0.25">
      <c r="B23" s="104" t="str">
        <f>HYPERLINK("#'Factor List'!A1","Back to Factor List")</f>
        <v>Back to Factor List</v>
      </c>
    </row>
    <row r="24" spans="1:2" x14ac:dyDescent="0.25">
      <c r="B24" s="104" t="s">
        <v>13</v>
      </c>
    </row>
    <row r="26" spans="1:2" ht="13" x14ac:dyDescent="0.25">
      <c r="A26" s="96" t="s">
        <v>534</v>
      </c>
      <c r="B26" s="96" t="s">
        <v>802</v>
      </c>
    </row>
    <row r="27" spans="1:2" x14ac:dyDescent="0.25">
      <c r="A27" s="97">
        <v>20</v>
      </c>
      <c r="B27" s="107">
        <v>1.7550000000000001</v>
      </c>
    </row>
    <row r="28" spans="1:2" x14ac:dyDescent="0.25">
      <c r="A28" s="97">
        <v>21</v>
      </c>
      <c r="B28" s="107">
        <v>1.7550000000000001</v>
      </c>
    </row>
    <row r="29" spans="1:2" x14ac:dyDescent="0.25">
      <c r="A29" s="97">
        <v>22</v>
      </c>
      <c r="B29" s="107">
        <v>1.75</v>
      </c>
    </row>
    <row r="30" spans="1:2" x14ac:dyDescent="0.25">
      <c r="A30" s="97">
        <v>23</v>
      </c>
      <c r="B30" s="107">
        <v>1.75</v>
      </c>
    </row>
    <row r="31" spans="1:2" x14ac:dyDescent="0.25">
      <c r="A31" s="97">
        <v>24</v>
      </c>
      <c r="B31" s="107">
        <v>1.7450000000000001</v>
      </c>
    </row>
    <row r="32" spans="1:2" x14ac:dyDescent="0.25">
      <c r="A32" s="97">
        <v>25</v>
      </c>
      <c r="B32" s="107">
        <v>1.7350000000000001</v>
      </c>
    </row>
    <row r="33" spans="1:2" x14ac:dyDescent="0.25">
      <c r="A33" s="97">
        <v>26</v>
      </c>
      <c r="B33" s="107">
        <v>1.7250000000000001</v>
      </c>
    </row>
    <row r="34" spans="1:2" x14ac:dyDescent="0.25">
      <c r="A34" s="97">
        <v>27</v>
      </c>
      <c r="B34" s="107">
        <v>1.71</v>
      </c>
    </row>
    <row r="35" spans="1:2" x14ac:dyDescent="0.25">
      <c r="A35" s="97">
        <v>28</v>
      </c>
      <c r="B35" s="107">
        <v>1.69</v>
      </c>
    </row>
    <row r="36" spans="1:2" x14ac:dyDescent="0.25">
      <c r="A36" s="97">
        <v>29</v>
      </c>
      <c r="B36" s="107">
        <v>1.67</v>
      </c>
    </row>
    <row r="37" spans="1:2" x14ac:dyDescent="0.25">
      <c r="A37" s="97">
        <v>30</v>
      </c>
      <c r="B37" s="107">
        <v>1.6400000000000001</v>
      </c>
    </row>
    <row r="38" spans="1:2" x14ac:dyDescent="0.25">
      <c r="A38" s="97">
        <v>31</v>
      </c>
      <c r="B38" s="107">
        <v>1.61</v>
      </c>
    </row>
    <row r="39" spans="1:2" x14ac:dyDescent="0.25">
      <c r="A39" s="97">
        <v>32</v>
      </c>
      <c r="B39" s="107">
        <v>1.58</v>
      </c>
    </row>
    <row r="40" spans="1:2" x14ac:dyDescent="0.25">
      <c r="A40" s="97">
        <v>33</v>
      </c>
      <c r="B40" s="107">
        <v>1.54</v>
      </c>
    </row>
    <row r="41" spans="1:2" x14ac:dyDescent="0.25">
      <c r="A41" s="97">
        <v>34</v>
      </c>
      <c r="B41" s="107">
        <v>1.5</v>
      </c>
    </row>
    <row r="42" spans="1:2" x14ac:dyDescent="0.25">
      <c r="A42" s="97">
        <v>35</v>
      </c>
      <c r="B42" s="107">
        <v>1.46</v>
      </c>
    </row>
    <row r="43" spans="1:2" x14ac:dyDescent="0.25">
      <c r="A43" s="97">
        <v>36</v>
      </c>
      <c r="B43" s="107">
        <v>1.415</v>
      </c>
    </row>
    <row r="44" spans="1:2" x14ac:dyDescent="0.25">
      <c r="A44" s="97">
        <v>37</v>
      </c>
      <c r="B44" s="107">
        <v>1.37</v>
      </c>
    </row>
    <row r="45" spans="1:2" x14ac:dyDescent="0.25">
      <c r="A45" s="97">
        <v>38</v>
      </c>
      <c r="B45" s="107">
        <v>1.325</v>
      </c>
    </row>
    <row r="46" spans="1:2" x14ac:dyDescent="0.25">
      <c r="A46" s="97">
        <v>39</v>
      </c>
      <c r="B46" s="107">
        <v>1.27</v>
      </c>
    </row>
    <row r="47" spans="1:2" x14ac:dyDescent="0.25">
      <c r="A47" s="97">
        <v>40</v>
      </c>
      <c r="B47" s="107">
        <v>1.22</v>
      </c>
    </row>
    <row r="48" spans="1:2" x14ac:dyDescent="0.25">
      <c r="A48" s="97">
        <v>41</v>
      </c>
      <c r="B48" s="107">
        <v>1.165</v>
      </c>
    </row>
    <row r="49" spans="1:2" x14ac:dyDescent="0.25">
      <c r="A49" s="97">
        <v>42</v>
      </c>
      <c r="B49" s="107">
        <v>1.105</v>
      </c>
    </row>
    <row r="50" spans="1:2" x14ac:dyDescent="0.25">
      <c r="A50" s="97">
        <v>43</v>
      </c>
      <c r="B50" s="107">
        <v>1.05</v>
      </c>
    </row>
    <row r="51" spans="1:2" x14ac:dyDescent="0.25">
      <c r="A51" s="97">
        <v>44</v>
      </c>
      <c r="B51" s="107">
        <v>0.995</v>
      </c>
    </row>
    <row r="52" spans="1:2" x14ac:dyDescent="0.25">
      <c r="A52" s="97">
        <v>45</v>
      </c>
      <c r="B52" s="107">
        <v>0.94000000000000006</v>
      </c>
    </row>
    <row r="53" spans="1:2" x14ac:dyDescent="0.25">
      <c r="A53" s="97">
        <v>46</v>
      </c>
      <c r="B53" s="107">
        <v>0.89</v>
      </c>
    </row>
    <row r="54" spans="1:2" x14ac:dyDescent="0.25">
      <c r="A54" s="97">
        <v>47</v>
      </c>
      <c r="B54" s="107">
        <v>0.84</v>
      </c>
    </row>
    <row r="55" spans="1:2" x14ac:dyDescent="0.25">
      <c r="A55" s="97">
        <v>48</v>
      </c>
      <c r="B55" s="107">
        <v>0.79</v>
      </c>
    </row>
    <row r="56" spans="1:2" x14ac:dyDescent="0.25">
      <c r="A56" s="97">
        <v>49</v>
      </c>
      <c r="B56" s="107">
        <v>0.74</v>
      </c>
    </row>
    <row r="57" spans="1:2" x14ac:dyDescent="0.25">
      <c r="A57" s="97">
        <v>50</v>
      </c>
      <c r="B57" s="107">
        <v>0.69000000000000006</v>
      </c>
    </row>
    <row r="58" spans="1:2" x14ac:dyDescent="0.25">
      <c r="A58" s="97">
        <v>51</v>
      </c>
      <c r="B58" s="107">
        <v>0.64500000000000002</v>
      </c>
    </row>
    <row r="59" spans="1:2" x14ac:dyDescent="0.25">
      <c r="A59" s="97">
        <v>52</v>
      </c>
      <c r="B59" s="107">
        <v>0.59499999999999997</v>
      </c>
    </row>
    <row r="60" spans="1:2" x14ac:dyDescent="0.25">
      <c r="A60" s="97">
        <v>53</v>
      </c>
      <c r="B60" s="107">
        <v>0.55000000000000004</v>
      </c>
    </row>
    <row r="61" spans="1:2" x14ac:dyDescent="0.25">
      <c r="A61" s="97">
        <v>54</v>
      </c>
      <c r="B61" s="107">
        <v>0.51500000000000001</v>
      </c>
    </row>
    <row r="62" spans="1:2" x14ac:dyDescent="0.25">
      <c r="A62" s="97">
        <v>55</v>
      </c>
      <c r="B62" s="107">
        <v>0.48499999999999999</v>
      </c>
    </row>
    <row r="63" spans="1:2" x14ac:dyDescent="0.25">
      <c r="A63" s="97">
        <v>56</v>
      </c>
      <c r="B63" s="107">
        <v>0.46</v>
      </c>
    </row>
    <row r="64" spans="1:2" x14ac:dyDescent="0.25">
      <c r="A64" s="97">
        <v>57</v>
      </c>
      <c r="B64" s="107">
        <v>0.44</v>
      </c>
    </row>
    <row r="65" spans="1:2" x14ac:dyDescent="0.25">
      <c r="A65" s="97">
        <v>58</v>
      </c>
      <c r="B65" s="107">
        <v>0.42499999999999999</v>
      </c>
    </row>
    <row r="66" spans="1:2" x14ac:dyDescent="0.25">
      <c r="A66" s="97">
        <v>59</v>
      </c>
      <c r="B66" s="107">
        <v>0.41500000000000004</v>
      </c>
    </row>
    <row r="72" spans="1:2" ht="39.65" customHeight="1" x14ac:dyDescent="0.25"/>
    <row r="74" spans="1:2" ht="27.65" customHeight="1" x14ac:dyDescent="0.25"/>
  </sheetData>
  <conditionalFormatting sqref="A6:A21">
    <cfRule type="expression" dxfId="47" priority="1" stopIfTrue="1">
      <formula>MOD(ROW(),2)=0</formula>
    </cfRule>
    <cfRule type="expression" dxfId="46" priority="2" stopIfTrue="1">
      <formula>MOD(ROW(),2)&lt;&gt;0</formula>
    </cfRule>
  </conditionalFormatting>
  <conditionalFormatting sqref="A26:A66">
    <cfRule type="expression" dxfId="45" priority="11" stopIfTrue="1">
      <formula>MOD(ROW(),2)=0</formula>
    </cfRule>
    <cfRule type="expression" dxfId="44" priority="12" stopIfTrue="1">
      <formula>MOD(ROW(),2)&lt;&gt;0</formula>
    </cfRule>
  </conditionalFormatting>
  <conditionalFormatting sqref="B6">
    <cfRule type="expression" dxfId="43" priority="17" stopIfTrue="1">
      <formula>MOD(ROW(),2)=0</formula>
    </cfRule>
    <cfRule type="expression" dxfId="42" priority="18" stopIfTrue="1">
      <formula>MOD(ROW(),2)&lt;&gt;0</formula>
    </cfRule>
  </conditionalFormatting>
  <conditionalFormatting sqref="B6:B21">
    <cfRule type="expression" dxfId="41" priority="9" stopIfTrue="1">
      <formula>MOD(ROW(),2)=0</formula>
    </cfRule>
    <cfRule type="expression" dxfId="40" priority="10" stopIfTrue="1">
      <formula>MOD(ROW(),2)&lt;&gt;0</formula>
    </cfRule>
  </conditionalFormatting>
  <conditionalFormatting sqref="B18:B21">
    <cfRule type="expression" dxfId="39" priority="7" stopIfTrue="1">
      <formula>MOD(ROW(),2)=0</formula>
    </cfRule>
    <cfRule type="expression" dxfId="38" priority="8" stopIfTrue="1">
      <formula>MOD(ROW(),2)&lt;&gt;0</formula>
    </cfRule>
  </conditionalFormatting>
  <conditionalFormatting sqref="B26:B66">
    <cfRule type="expression" dxfId="37" priority="13" stopIfTrue="1">
      <formula>MOD(ROW(),2)=0</formula>
    </cfRule>
    <cfRule type="expression" dxfId="36" priority="14" stopIfTrue="1">
      <formula>MOD(ROW(),2)&lt;&gt;0</formula>
    </cfRule>
  </conditionalFormatting>
  <hyperlinks>
    <hyperlink ref="B24" location="Assumptions!A1" display="Assumptions" xr:uid="{A14710D5-8131-400F-8ABF-5927881F46E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39"/>
  <dimension ref="A1:I44"/>
  <sheetViews>
    <sheetView workbookViewId="0"/>
  </sheetViews>
  <sheetFormatPr defaultColWidth="10" defaultRowHeight="12.5" x14ac:dyDescent="0.25"/>
  <cols>
    <col min="1" max="2" width="31.54296875" style="28" customWidth="1"/>
    <col min="3"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WPS refunds - x-813</v>
      </c>
      <c r="B3" s="56"/>
      <c r="C3" s="56"/>
      <c r="D3" s="56"/>
      <c r="E3" s="56"/>
      <c r="F3" s="56"/>
      <c r="G3" s="56"/>
      <c r="H3" s="56"/>
      <c r="I3" s="56"/>
    </row>
    <row r="4" spans="1:9" x14ac:dyDescent="0.25">
      <c r="A4" s="58"/>
    </row>
    <row r="6" spans="1:9" ht="13" x14ac:dyDescent="0.3">
      <c r="A6" s="92" t="s">
        <v>716</v>
      </c>
      <c r="B6" s="181" t="s">
        <v>717</v>
      </c>
    </row>
    <row r="7" spans="1:9" ht="25" customHeight="1" x14ac:dyDescent="0.25">
      <c r="A7" s="94" t="s">
        <v>298</v>
      </c>
      <c r="B7" s="181" t="s">
        <v>326</v>
      </c>
    </row>
    <row r="8" spans="1:9" x14ac:dyDescent="0.25">
      <c r="A8" s="94" t="s">
        <v>299</v>
      </c>
      <c r="B8" s="181" t="s">
        <v>95</v>
      </c>
    </row>
    <row r="9" spans="1:9" x14ac:dyDescent="0.25">
      <c r="A9" s="94" t="s">
        <v>300</v>
      </c>
      <c r="B9" s="181" t="s">
        <v>698</v>
      </c>
    </row>
    <row r="10" spans="1:9" x14ac:dyDescent="0.25">
      <c r="A10" s="94" t="s">
        <v>6</v>
      </c>
      <c r="B10" s="181" t="s">
        <v>705</v>
      </c>
    </row>
    <row r="11" spans="1:9" x14ac:dyDescent="0.25">
      <c r="A11" s="94" t="s">
        <v>301</v>
      </c>
      <c r="B11" s="181" t="s">
        <v>319</v>
      </c>
    </row>
    <row r="12" spans="1:9" x14ac:dyDescent="0.25">
      <c r="A12" s="94" t="s">
        <v>302</v>
      </c>
      <c r="B12" s="181" t="s">
        <v>335</v>
      </c>
    </row>
    <row r="13" spans="1:9" x14ac:dyDescent="0.25">
      <c r="A13" s="94" t="s">
        <v>724</v>
      </c>
      <c r="B13" s="181">
        <v>1</v>
      </c>
    </row>
    <row r="14" spans="1:9" x14ac:dyDescent="0.25">
      <c r="A14" s="94" t="s">
        <v>304</v>
      </c>
      <c r="B14" s="181">
        <v>813</v>
      </c>
    </row>
    <row r="15" spans="1:9" x14ac:dyDescent="0.25">
      <c r="A15" s="94" t="s">
        <v>727</v>
      </c>
      <c r="B15" s="181" t="s">
        <v>706</v>
      </c>
    </row>
    <row r="16" spans="1:9" x14ac:dyDescent="0.25">
      <c r="A16" s="94" t="s">
        <v>306</v>
      </c>
      <c r="B16" s="181" t="s">
        <v>707</v>
      </c>
    </row>
    <row r="17" spans="1:2" ht="153" customHeight="1" x14ac:dyDescent="0.25">
      <c r="A17" s="94" t="s">
        <v>800</v>
      </c>
      <c r="B17" s="181"/>
    </row>
    <row r="18" spans="1:2" x14ac:dyDescent="0.25">
      <c r="A18" s="94" t="s">
        <v>308</v>
      </c>
      <c r="B18" s="185">
        <v>45184</v>
      </c>
    </row>
    <row r="19" spans="1:2" x14ac:dyDescent="0.25">
      <c r="A19" s="94" t="s">
        <v>309</v>
      </c>
      <c r="B19" s="185">
        <v>45184</v>
      </c>
    </row>
    <row r="20" spans="1:2" x14ac:dyDescent="0.25">
      <c r="A20" s="94" t="s">
        <v>310</v>
      </c>
      <c r="B20" s="181" t="s">
        <v>324</v>
      </c>
    </row>
    <row r="21" spans="1:2" x14ac:dyDescent="0.25">
      <c r="A21" s="87" t="s">
        <v>311</v>
      </c>
      <c r="B21" s="181" t="s">
        <v>325</v>
      </c>
    </row>
    <row r="23" spans="1:2" x14ac:dyDescent="0.25">
      <c r="B23" s="104" t="str">
        <f>HYPERLINK("#'Factor List'!A1","Back to Factor List")</f>
        <v>Back to Factor List</v>
      </c>
    </row>
    <row r="24" spans="1:2" x14ac:dyDescent="0.25">
      <c r="B24" s="104" t="s">
        <v>13</v>
      </c>
    </row>
    <row r="26" spans="1:2" ht="13" x14ac:dyDescent="0.25">
      <c r="A26" s="96" t="s">
        <v>534</v>
      </c>
      <c r="B26" s="96" t="s">
        <v>802</v>
      </c>
    </row>
    <row r="27" spans="1:2" x14ac:dyDescent="0.25">
      <c r="A27" s="97">
        <v>50</v>
      </c>
      <c r="B27" s="106">
        <v>2.4500000000000002</v>
      </c>
    </row>
    <row r="28" spans="1:2" x14ac:dyDescent="0.25">
      <c r="A28" s="97">
        <v>51</v>
      </c>
      <c r="B28" s="106">
        <v>2.2250000000000001</v>
      </c>
    </row>
    <row r="29" spans="1:2" x14ac:dyDescent="0.25">
      <c r="A29" s="97">
        <v>52</v>
      </c>
      <c r="B29" s="106">
        <v>1.9749999999999996</v>
      </c>
    </row>
    <row r="30" spans="1:2" x14ac:dyDescent="0.25">
      <c r="A30" s="97">
        <v>53</v>
      </c>
      <c r="B30" s="106">
        <v>1.75</v>
      </c>
    </row>
    <row r="31" spans="1:2" x14ac:dyDescent="0.25">
      <c r="A31" s="97">
        <v>54</v>
      </c>
      <c r="B31" s="106">
        <v>1.5749999999999997</v>
      </c>
    </row>
    <row r="32" spans="1:2" x14ac:dyDescent="0.25">
      <c r="A32" s="97">
        <v>55</v>
      </c>
      <c r="B32" s="106">
        <v>1.4249999999999998</v>
      </c>
    </row>
    <row r="33" spans="1:2" x14ac:dyDescent="0.25">
      <c r="A33" s="97">
        <v>56</v>
      </c>
      <c r="B33" s="106">
        <v>1.2999999999999998</v>
      </c>
    </row>
    <row r="34" spans="1:2" x14ac:dyDescent="0.25">
      <c r="A34" s="97">
        <v>57</v>
      </c>
      <c r="B34" s="106">
        <v>1.1999999999999997</v>
      </c>
    </row>
    <row r="35" spans="1:2" x14ac:dyDescent="0.25">
      <c r="A35" s="97">
        <v>58</v>
      </c>
      <c r="B35" s="106">
        <v>1.125</v>
      </c>
    </row>
    <row r="36" spans="1:2" x14ac:dyDescent="0.25">
      <c r="A36" s="97">
        <v>59</v>
      </c>
      <c r="B36" s="106">
        <v>1.0750000000000002</v>
      </c>
    </row>
    <row r="42" spans="1:2" ht="39.65" customHeight="1" x14ac:dyDescent="0.25"/>
    <row r="44" spans="1:2" ht="27.65" customHeight="1" x14ac:dyDescent="0.25"/>
  </sheetData>
  <conditionalFormatting sqref="A6:A21">
    <cfRule type="expression" dxfId="35" priority="1" stopIfTrue="1">
      <formula>MOD(ROW(),2)=0</formula>
    </cfRule>
    <cfRule type="expression" dxfId="34" priority="2" stopIfTrue="1">
      <formula>MOD(ROW(),2)&lt;&gt;0</formula>
    </cfRule>
  </conditionalFormatting>
  <conditionalFormatting sqref="A26:A36">
    <cfRule type="expression" dxfId="33" priority="13" stopIfTrue="1">
      <formula>MOD(ROW(),2)=0</formula>
    </cfRule>
    <cfRule type="expression" dxfId="32" priority="14" stopIfTrue="1">
      <formula>MOD(ROW(),2)&lt;&gt;0</formula>
    </cfRule>
  </conditionalFormatting>
  <conditionalFormatting sqref="B6">
    <cfRule type="expression" dxfId="31" priority="19" stopIfTrue="1">
      <formula>MOD(ROW(),2)=0</formula>
    </cfRule>
    <cfRule type="expression" dxfId="30" priority="20" stopIfTrue="1">
      <formula>MOD(ROW(),2)&lt;&gt;0</formula>
    </cfRule>
  </conditionalFormatting>
  <conditionalFormatting sqref="B6:B21">
    <cfRule type="expression" dxfId="29" priority="11" stopIfTrue="1">
      <formula>MOD(ROW(),2)=0</formula>
    </cfRule>
    <cfRule type="expression" dxfId="28" priority="12" stopIfTrue="1">
      <formula>MOD(ROW(),2)&lt;&gt;0</formula>
    </cfRule>
  </conditionalFormatting>
  <conditionalFormatting sqref="B18:B21">
    <cfRule type="expression" dxfId="27" priority="9" stopIfTrue="1">
      <formula>MOD(ROW(),2)=0</formula>
    </cfRule>
    <cfRule type="expression" dxfId="26" priority="10" stopIfTrue="1">
      <formula>MOD(ROW(),2)&lt;&gt;0</formula>
    </cfRule>
  </conditionalFormatting>
  <conditionalFormatting sqref="B26:B36">
    <cfRule type="expression" dxfId="25" priority="7" stopIfTrue="1">
      <formula>MOD(ROW(),2)=0</formula>
    </cfRule>
    <cfRule type="expression" dxfId="24" priority="8" stopIfTrue="1">
      <formula>MOD(ROW(),2)&lt;&gt;0</formula>
    </cfRule>
  </conditionalFormatting>
  <hyperlinks>
    <hyperlink ref="B24" location="Assumptions!A1" display="Assumptions" xr:uid="{8EDB8CC9-D831-434F-A385-71082B7239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40"/>
  <dimension ref="A1:I74"/>
  <sheetViews>
    <sheetView workbookViewId="0"/>
  </sheetViews>
  <sheetFormatPr defaultColWidth="10" defaultRowHeight="12.5" x14ac:dyDescent="0.25"/>
  <cols>
    <col min="1" max="2" width="31.54296875" style="28" customWidth="1"/>
    <col min="3"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WPS refunds - x-814</v>
      </c>
      <c r="B3" s="56"/>
      <c r="C3" s="56"/>
      <c r="D3" s="56"/>
      <c r="E3" s="56"/>
      <c r="F3" s="56"/>
      <c r="G3" s="56"/>
      <c r="H3" s="56"/>
      <c r="I3" s="56"/>
    </row>
    <row r="4" spans="1:9" x14ac:dyDescent="0.25">
      <c r="A4" s="58"/>
    </row>
    <row r="6" spans="1:9" ht="13" x14ac:dyDescent="0.3">
      <c r="A6" s="92" t="s">
        <v>716</v>
      </c>
      <c r="B6" s="181" t="s">
        <v>717</v>
      </c>
    </row>
    <row r="7" spans="1:9" ht="26.5" customHeight="1" x14ac:dyDescent="0.25">
      <c r="A7" s="94" t="s">
        <v>298</v>
      </c>
      <c r="B7" s="181" t="s">
        <v>326</v>
      </c>
    </row>
    <row r="8" spans="1:9" x14ac:dyDescent="0.25">
      <c r="A8" s="94" t="s">
        <v>299</v>
      </c>
      <c r="B8" s="181" t="s">
        <v>95</v>
      </c>
    </row>
    <row r="9" spans="1:9" x14ac:dyDescent="0.25">
      <c r="A9" s="94" t="s">
        <v>300</v>
      </c>
      <c r="B9" s="181" t="s">
        <v>698</v>
      </c>
    </row>
    <row r="10" spans="1:9" ht="49" customHeight="1" x14ac:dyDescent="0.25">
      <c r="A10" s="94" t="s">
        <v>6</v>
      </c>
      <c r="B10" s="181" t="s">
        <v>708</v>
      </c>
    </row>
    <row r="11" spans="1:9" x14ac:dyDescent="0.25">
      <c r="A11" s="94" t="s">
        <v>301</v>
      </c>
      <c r="B11" s="181" t="s">
        <v>319</v>
      </c>
    </row>
    <row r="12" spans="1:9" x14ac:dyDescent="0.25">
      <c r="A12" s="94" t="s">
        <v>302</v>
      </c>
      <c r="B12" s="181" t="s">
        <v>335</v>
      </c>
    </row>
    <row r="13" spans="1:9" x14ac:dyDescent="0.25">
      <c r="A13" s="94" t="s">
        <v>724</v>
      </c>
      <c r="B13" s="181">
        <v>1</v>
      </c>
    </row>
    <row r="14" spans="1:9" x14ac:dyDescent="0.25">
      <c r="A14" s="94" t="s">
        <v>304</v>
      </c>
      <c r="B14" s="181">
        <v>814</v>
      </c>
    </row>
    <row r="15" spans="1:9" x14ac:dyDescent="0.25">
      <c r="A15" s="94" t="s">
        <v>727</v>
      </c>
      <c r="B15" s="181" t="s">
        <v>709</v>
      </c>
    </row>
    <row r="16" spans="1:9" x14ac:dyDescent="0.25">
      <c r="A16" s="94" t="s">
        <v>306</v>
      </c>
      <c r="B16" s="181" t="s">
        <v>710</v>
      </c>
    </row>
    <row r="17" spans="1:2" ht="156.65" customHeight="1" x14ac:dyDescent="0.25">
      <c r="A17" s="94" t="s">
        <v>800</v>
      </c>
      <c r="B17" s="181"/>
    </row>
    <row r="18" spans="1:2" x14ac:dyDescent="0.25">
      <c r="A18" s="94" t="s">
        <v>308</v>
      </c>
      <c r="B18" s="185">
        <v>45184</v>
      </c>
    </row>
    <row r="19" spans="1:2" x14ac:dyDescent="0.25">
      <c r="A19" s="94" t="s">
        <v>309</v>
      </c>
      <c r="B19" s="185">
        <v>45184</v>
      </c>
    </row>
    <row r="20" spans="1:2" x14ac:dyDescent="0.25">
      <c r="A20" s="94" t="s">
        <v>310</v>
      </c>
      <c r="B20" s="181" t="s">
        <v>324</v>
      </c>
    </row>
    <row r="21" spans="1:2" x14ac:dyDescent="0.25">
      <c r="A21" s="87" t="s">
        <v>311</v>
      </c>
      <c r="B21" s="181" t="s">
        <v>325</v>
      </c>
    </row>
    <row r="23" spans="1:2" x14ac:dyDescent="0.25">
      <c r="B23" s="104" t="str">
        <f>HYPERLINK("#'Factor List'!A1","Back to Factor List")</f>
        <v>Back to Factor List</v>
      </c>
    </row>
    <row r="24" spans="1:2" x14ac:dyDescent="0.25">
      <c r="B24" s="104" t="s">
        <v>13</v>
      </c>
    </row>
    <row r="26" spans="1:2" ht="13" x14ac:dyDescent="0.25">
      <c r="A26" s="96" t="s">
        <v>534</v>
      </c>
      <c r="B26" s="96" t="s">
        <v>802</v>
      </c>
    </row>
    <row r="27" spans="1:2" x14ac:dyDescent="0.25">
      <c r="A27" s="97">
        <v>20</v>
      </c>
      <c r="B27" s="106">
        <v>7.7750000000000004</v>
      </c>
    </row>
    <row r="28" spans="1:2" x14ac:dyDescent="0.25">
      <c r="A28" s="97">
        <v>21</v>
      </c>
      <c r="B28" s="106">
        <v>7.7750000000000004</v>
      </c>
    </row>
    <row r="29" spans="1:2" x14ac:dyDescent="0.25">
      <c r="A29" s="97">
        <v>22</v>
      </c>
      <c r="B29" s="106">
        <v>7.75</v>
      </c>
    </row>
    <row r="30" spans="1:2" x14ac:dyDescent="0.25">
      <c r="A30" s="97">
        <v>23</v>
      </c>
      <c r="B30" s="106">
        <v>7.75</v>
      </c>
    </row>
    <row r="31" spans="1:2" x14ac:dyDescent="0.25">
      <c r="A31" s="97">
        <v>24</v>
      </c>
      <c r="B31" s="106">
        <v>7.7249999999999996</v>
      </c>
    </row>
    <row r="32" spans="1:2" x14ac:dyDescent="0.25">
      <c r="A32" s="97">
        <v>25</v>
      </c>
      <c r="B32" s="106">
        <v>7.6750000000000007</v>
      </c>
    </row>
    <row r="33" spans="1:2" x14ac:dyDescent="0.25">
      <c r="A33" s="97">
        <v>26</v>
      </c>
      <c r="B33" s="106">
        <v>7.625</v>
      </c>
    </row>
    <row r="34" spans="1:2" x14ac:dyDescent="0.25">
      <c r="A34" s="97">
        <v>27</v>
      </c>
      <c r="B34" s="106">
        <v>7.5499999999999989</v>
      </c>
    </row>
    <row r="35" spans="1:2" x14ac:dyDescent="0.25">
      <c r="A35" s="97">
        <v>28</v>
      </c>
      <c r="B35" s="106">
        <v>7.4499999999999993</v>
      </c>
    </row>
    <row r="36" spans="1:2" x14ac:dyDescent="0.25">
      <c r="A36" s="97">
        <v>29</v>
      </c>
      <c r="B36" s="106">
        <v>7.35</v>
      </c>
    </row>
    <row r="37" spans="1:2" x14ac:dyDescent="0.25">
      <c r="A37" s="97">
        <v>30</v>
      </c>
      <c r="B37" s="106">
        <v>7.1999999999999993</v>
      </c>
    </row>
    <row r="38" spans="1:2" x14ac:dyDescent="0.25">
      <c r="A38" s="97">
        <v>31</v>
      </c>
      <c r="B38" s="106">
        <v>7.0500000000000007</v>
      </c>
    </row>
    <row r="39" spans="1:2" x14ac:dyDescent="0.25">
      <c r="A39" s="97">
        <v>32</v>
      </c>
      <c r="B39" s="106">
        <v>6.9</v>
      </c>
    </row>
    <row r="40" spans="1:2" x14ac:dyDescent="0.25">
      <c r="A40" s="97">
        <v>33</v>
      </c>
      <c r="B40" s="106">
        <v>6.7</v>
      </c>
    </row>
    <row r="41" spans="1:2" x14ac:dyDescent="0.25">
      <c r="A41" s="97">
        <v>34</v>
      </c>
      <c r="B41" s="106">
        <v>6.5</v>
      </c>
    </row>
    <row r="42" spans="1:2" x14ac:dyDescent="0.25">
      <c r="A42" s="97">
        <v>35</v>
      </c>
      <c r="B42" s="106">
        <v>6.3</v>
      </c>
    </row>
    <row r="43" spans="1:2" x14ac:dyDescent="0.25">
      <c r="A43" s="97">
        <v>36</v>
      </c>
      <c r="B43" s="106">
        <v>6.0750000000000002</v>
      </c>
    </row>
    <row r="44" spans="1:2" x14ac:dyDescent="0.25">
      <c r="A44" s="97">
        <v>37</v>
      </c>
      <c r="B44" s="106">
        <v>5.8500000000000005</v>
      </c>
    </row>
    <row r="45" spans="1:2" x14ac:dyDescent="0.25">
      <c r="A45" s="97">
        <v>38</v>
      </c>
      <c r="B45" s="106">
        <v>5.6249999999999991</v>
      </c>
    </row>
    <row r="46" spans="1:2" x14ac:dyDescent="0.25">
      <c r="A46" s="97">
        <v>39</v>
      </c>
      <c r="B46" s="106">
        <v>5.35</v>
      </c>
    </row>
    <row r="47" spans="1:2" x14ac:dyDescent="0.25">
      <c r="A47" s="97">
        <v>40</v>
      </c>
      <c r="B47" s="106">
        <v>5.0999999999999996</v>
      </c>
    </row>
    <row r="48" spans="1:2" x14ac:dyDescent="0.25">
      <c r="A48" s="97">
        <v>41</v>
      </c>
      <c r="B48" s="106">
        <v>4.8250000000000002</v>
      </c>
    </row>
    <row r="49" spans="1:2" x14ac:dyDescent="0.25">
      <c r="A49" s="97">
        <v>42</v>
      </c>
      <c r="B49" s="106">
        <v>4.5249999999999995</v>
      </c>
    </row>
    <row r="50" spans="1:2" x14ac:dyDescent="0.25">
      <c r="A50" s="97">
        <v>43</v>
      </c>
      <c r="B50" s="106">
        <v>4.25</v>
      </c>
    </row>
    <row r="51" spans="1:2" x14ac:dyDescent="0.25">
      <c r="A51" s="97">
        <v>44</v>
      </c>
      <c r="B51" s="106">
        <v>3.9749999999999996</v>
      </c>
    </row>
    <row r="52" spans="1:2" x14ac:dyDescent="0.25">
      <c r="A52" s="97">
        <v>45</v>
      </c>
      <c r="B52" s="106">
        <v>3.7</v>
      </c>
    </row>
    <row r="53" spans="1:2" x14ac:dyDescent="0.25">
      <c r="A53" s="97">
        <v>46</v>
      </c>
      <c r="B53" s="106">
        <v>3.45</v>
      </c>
    </row>
    <row r="54" spans="1:2" x14ac:dyDescent="0.25">
      <c r="A54" s="97">
        <v>47</v>
      </c>
      <c r="B54" s="106">
        <v>3.1999999999999993</v>
      </c>
    </row>
    <row r="55" spans="1:2" x14ac:dyDescent="0.25">
      <c r="A55" s="97">
        <v>48</v>
      </c>
      <c r="B55" s="106">
        <v>2.95</v>
      </c>
    </row>
    <row r="56" spans="1:2" x14ac:dyDescent="0.25">
      <c r="A56" s="97">
        <v>49</v>
      </c>
      <c r="B56" s="106">
        <v>2.6999999999999997</v>
      </c>
    </row>
    <row r="57" spans="1:2" x14ac:dyDescent="0.25">
      <c r="A57" s="97">
        <v>50</v>
      </c>
      <c r="B57" s="106">
        <v>2.4500000000000002</v>
      </c>
    </row>
    <row r="58" spans="1:2" x14ac:dyDescent="0.25">
      <c r="A58" s="97">
        <v>51</v>
      </c>
      <c r="B58" s="106">
        <v>2.2250000000000001</v>
      </c>
    </row>
    <row r="59" spans="1:2" x14ac:dyDescent="0.25">
      <c r="A59" s="97">
        <v>52</v>
      </c>
      <c r="B59" s="106">
        <v>1.9749999999999996</v>
      </c>
    </row>
    <row r="60" spans="1:2" x14ac:dyDescent="0.25">
      <c r="A60" s="97">
        <v>53</v>
      </c>
      <c r="B60" s="106">
        <v>1.75</v>
      </c>
    </row>
    <row r="61" spans="1:2" x14ac:dyDescent="0.25">
      <c r="A61" s="97">
        <v>54</v>
      </c>
      <c r="B61" s="106">
        <v>1.5749999999999997</v>
      </c>
    </row>
    <row r="62" spans="1:2" x14ac:dyDescent="0.25">
      <c r="A62" s="97">
        <v>55</v>
      </c>
      <c r="B62" s="106">
        <v>1.4249999999999998</v>
      </c>
    </row>
    <row r="63" spans="1:2" x14ac:dyDescent="0.25">
      <c r="A63" s="97">
        <v>56</v>
      </c>
      <c r="B63" s="106">
        <v>1.2999999999999998</v>
      </c>
    </row>
    <row r="64" spans="1:2" x14ac:dyDescent="0.25">
      <c r="A64" s="97">
        <v>57</v>
      </c>
      <c r="B64" s="106">
        <v>1.1999999999999997</v>
      </c>
    </row>
    <row r="65" spans="1:2" x14ac:dyDescent="0.25">
      <c r="A65" s="97">
        <v>58</v>
      </c>
      <c r="B65" s="106">
        <v>1.125</v>
      </c>
    </row>
    <row r="66" spans="1:2" x14ac:dyDescent="0.25">
      <c r="A66" s="97">
        <v>59</v>
      </c>
      <c r="B66" s="106">
        <v>1.0750000000000002</v>
      </c>
    </row>
    <row r="72" spans="1:2" ht="39.65" customHeight="1" x14ac:dyDescent="0.25"/>
    <row r="74" spans="1:2" ht="27.65" customHeight="1" x14ac:dyDescent="0.25"/>
  </sheetData>
  <conditionalFormatting sqref="A6:A21">
    <cfRule type="expression" dxfId="23" priority="1" stopIfTrue="1">
      <formula>MOD(ROW(),2)=0</formula>
    </cfRule>
    <cfRule type="expression" dxfId="22" priority="2" stopIfTrue="1">
      <formula>MOD(ROW(),2)&lt;&gt;0</formula>
    </cfRule>
  </conditionalFormatting>
  <conditionalFormatting sqref="A26:A66">
    <cfRule type="expression" dxfId="21" priority="15" stopIfTrue="1">
      <formula>MOD(ROW(),2)=0</formula>
    </cfRule>
    <cfRule type="expression" dxfId="20" priority="16" stopIfTrue="1">
      <formula>MOD(ROW(),2)&lt;&gt;0</formula>
    </cfRule>
  </conditionalFormatting>
  <conditionalFormatting sqref="B6">
    <cfRule type="expression" dxfId="19" priority="21" stopIfTrue="1">
      <formula>MOD(ROW(),2)=0</formula>
    </cfRule>
    <cfRule type="expression" dxfId="18" priority="22" stopIfTrue="1">
      <formula>MOD(ROW(),2)&lt;&gt;0</formula>
    </cfRule>
  </conditionalFormatting>
  <conditionalFormatting sqref="B6:B21">
    <cfRule type="expression" dxfId="17" priority="13" stopIfTrue="1">
      <formula>MOD(ROW(),2)=0</formula>
    </cfRule>
    <cfRule type="expression" dxfId="16" priority="14" stopIfTrue="1">
      <formula>MOD(ROW(),2)&lt;&gt;0</formula>
    </cfRule>
  </conditionalFormatting>
  <conditionalFormatting sqref="B18:B21">
    <cfRule type="expression" dxfId="15" priority="5" stopIfTrue="1">
      <formula>MOD(ROW(),2)=0</formula>
    </cfRule>
    <cfRule type="expression" dxfId="14" priority="6" stopIfTrue="1">
      <formula>MOD(ROW(),2)&lt;&gt;0</formula>
    </cfRule>
  </conditionalFormatting>
  <conditionalFormatting sqref="B26:B66">
    <cfRule type="expression" dxfId="13" priority="9" stopIfTrue="1">
      <formula>MOD(ROW(),2)=0</formula>
    </cfRule>
    <cfRule type="expression" dxfId="12" priority="10" stopIfTrue="1">
      <formula>MOD(ROW(),2)&lt;&gt;0</formula>
    </cfRule>
  </conditionalFormatting>
  <hyperlinks>
    <hyperlink ref="B24" location="Assumptions!A1" display="Assumptions" xr:uid="{0DB828A5-9AB6-4B90-B26E-F2D232F9F7B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BFE7-EECC-4479-B88B-8940925BFA2C}">
  <sheetPr codeName="Sheet141"/>
  <dimension ref="A1:I35"/>
  <sheetViews>
    <sheetView zoomScale="70" zoomScaleNormal="70" workbookViewId="0">
      <selection activeCell="B19" sqref="B19"/>
    </sheetView>
  </sheetViews>
  <sheetFormatPr defaultColWidth="10" defaultRowHeight="12.5" x14ac:dyDescent="0.25"/>
  <cols>
    <col min="1" max="2" width="31.54296875" style="28" customWidth="1"/>
    <col min="3" max="16384" width="10" style="28"/>
  </cols>
  <sheetData>
    <row r="1" spans="1:9" ht="20" x14ac:dyDescent="0.4">
      <c r="A1" s="53" t="s">
        <v>0</v>
      </c>
      <c r="B1" s="54"/>
      <c r="C1" s="54"/>
      <c r="D1" s="54"/>
      <c r="E1" s="54"/>
      <c r="F1" s="54"/>
      <c r="G1" s="54"/>
      <c r="H1" s="54"/>
      <c r="I1" s="54"/>
    </row>
    <row r="2" spans="1:9" ht="15.5" x14ac:dyDescent="0.35">
      <c r="A2" s="55" t="str">
        <f>IF(title="&gt; Enter workbook title here","Enter workbook title in Cover sheet",title)</f>
        <v>Northern Ireland Civil Service Pension Schemes - Consolidated Factor Spreadsheet</v>
      </c>
      <c r="B2" s="56"/>
      <c r="C2" s="56"/>
      <c r="D2" s="56"/>
      <c r="E2" s="56"/>
      <c r="F2" s="56"/>
      <c r="G2" s="56"/>
      <c r="H2" s="56"/>
      <c r="I2" s="56"/>
    </row>
    <row r="3" spans="1:9" ht="15.5" x14ac:dyDescent="0.35">
      <c r="A3" s="57" t="str">
        <f>TABLE_FACTOR_TYPE_1&amp;" - x-"&amp;TABLE_SERIES_NUMBER_1</f>
        <v>GMP test - x-815</v>
      </c>
      <c r="B3" s="56"/>
      <c r="C3" s="56"/>
      <c r="D3" s="56"/>
      <c r="E3" s="56"/>
      <c r="F3" s="56"/>
      <c r="G3" s="56"/>
      <c r="H3" s="56"/>
      <c r="I3" s="56"/>
    </row>
    <row r="4" spans="1:9" x14ac:dyDescent="0.25">
      <c r="A4" s="58"/>
    </row>
    <row r="6" spans="1:9" ht="13" x14ac:dyDescent="0.3">
      <c r="A6" s="92" t="s">
        <v>716</v>
      </c>
      <c r="B6" s="181" t="s">
        <v>717</v>
      </c>
    </row>
    <row r="7" spans="1:9" ht="26.9" customHeight="1" x14ac:dyDescent="0.25">
      <c r="A7" s="94" t="s">
        <v>298</v>
      </c>
      <c r="B7" s="181" t="s">
        <v>326</v>
      </c>
    </row>
    <row r="8" spans="1:9" x14ac:dyDescent="0.25">
      <c r="A8" s="94" t="s">
        <v>299</v>
      </c>
      <c r="B8" s="181" t="s">
        <v>395</v>
      </c>
    </row>
    <row r="9" spans="1:9" x14ac:dyDescent="0.25">
      <c r="A9" s="94" t="s">
        <v>300</v>
      </c>
      <c r="B9" s="181" t="s">
        <v>711</v>
      </c>
    </row>
    <row r="10" spans="1:9" ht="49.4" customHeight="1" x14ac:dyDescent="0.25">
      <c r="A10" s="94" t="s">
        <v>6</v>
      </c>
      <c r="B10" s="181" t="s">
        <v>712</v>
      </c>
    </row>
    <row r="11" spans="1:9" x14ac:dyDescent="0.25">
      <c r="A11" s="94" t="s">
        <v>301</v>
      </c>
      <c r="B11" s="181" t="s">
        <v>319</v>
      </c>
    </row>
    <row r="12" spans="1:9" x14ac:dyDescent="0.25">
      <c r="A12" s="94" t="s">
        <v>302</v>
      </c>
      <c r="B12" s="181" t="s">
        <v>713</v>
      </c>
    </row>
    <row r="13" spans="1:9" x14ac:dyDescent="0.25">
      <c r="A13" s="94" t="s">
        <v>724</v>
      </c>
      <c r="B13" s="181">
        <v>1</v>
      </c>
    </row>
    <row r="14" spans="1:9" x14ac:dyDescent="0.25">
      <c r="A14" s="94" t="s">
        <v>304</v>
      </c>
      <c r="B14" s="181">
        <v>815</v>
      </c>
    </row>
    <row r="15" spans="1:9" x14ac:dyDescent="0.25">
      <c r="A15" s="94" t="s">
        <v>727</v>
      </c>
      <c r="B15" s="181" t="s">
        <v>714</v>
      </c>
    </row>
    <row r="16" spans="1:9" x14ac:dyDescent="0.25">
      <c r="A16" s="94" t="s">
        <v>306</v>
      </c>
      <c r="B16" s="181" t="s">
        <v>715</v>
      </c>
    </row>
    <row r="17" spans="1:2" ht="156.65" customHeight="1" x14ac:dyDescent="0.25">
      <c r="A17" s="94" t="s">
        <v>800</v>
      </c>
      <c r="B17" s="94"/>
    </row>
    <row r="18" spans="1:2" x14ac:dyDescent="0.25">
      <c r="A18" s="94" t="s">
        <v>308</v>
      </c>
      <c r="B18" s="185">
        <v>43812</v>
      </c>
    </row>
    <row r="19" spans="1:2" x14ac:dyDescent="0.25">
      <c r="A19" s="94" t="s">
        <v>309</v>
      </c>
      <c r="B19" s="185"/>
    </row>
    <row r="20" spans="1:2" x14ac:dyDescent="0.25">
      <c r="A20" s="94" t="s">
        <v>310</v>
      </c>
      <c r="B20" s="181" t="s">
        <v>324</v>
      </c>
    </row>
    <row r="21" spans="1:2" x14ac:dyDescent="0.25">
      <c r="A21" s="189" t="s">
        <v>311</v>
      </c>
      <c r="B21" s="181" t="s">
        <v>325</v>
      </c>
    </row>
    <row r="23" spans="1:2" x14ac:dyDescent="0.25">
      <c r="B23" s="104" t="str">
        <f>HYPERLINK("#'Factor List'!A1","Back to Factor List")</f>
        <v>Back to Factor List</v>
      </c>
    </row>
    <row r="24" spans="1:2" x14ac:dyDescent="0.25">
      <c r="B24" s="104" t="s">
        <v>13</v>
      </c>
    </row>
    <row r="26" spans="1:2" ht="13" x14ac:dyDescent="0.25">
      <c r="A26" s="188" t="s">
        <v>988</v>
      </c>
      <c r="B26" s="188" t="s">
        <v>989</v>
      </c>
    </row>
    <row r="27" spans="1:2" x14ac:dyDescent="0.25">
      <c r="A27" s="130" t="s">
        <v>990</v>
      </c>
      <c r="B27" s="187">
        <v>2.2000000000000002</v>
      </c>
    </row>
    <row r="33" ht="39.65" customHeight="1" x14ac:dyDescent="0.25"/>
    <row r="35" ht="27.65" customHeight="1" x14ac:dyDescent="0.25"/>
  </sheetData>
  <conditionalFormatting sqref="A6:A21">
    <cfRule type="expression" dxfId="11" priority="1" stopIfTrue="1">
      <formula>MOD(ROW(),2)=0</formula>
    </cfRule>
    <cfRule type="expression" dxfId="10" priority="2" stopIfTrue="1">
      <formula>MOD(ROW(),2)&lt;&gt;0</formula>
    </cfRule>
  </conditionalFormatting>
  <conditionalFormatting sqref="A26:A27">
    <cfRule type="expression" dxfId="9" priority="11" stopIfTrue="1">
      <formula>MOD(ROW(),2)=0</formula>
    </cfRule>
    <cfRule type="expression" dxfId="8" priority="12" stopIfTrue="1">
      <formula>MOD(ROW(),2)&lt;&gt;0</formula>
    </cfRule>
  </conditionalFormatting>
  <conditionalFormatting sqref="B6">
    <cfRule type="expression" dxfId="7" priority="17" stopIfTrue="1">
      <formula>MOD(ROW(),2)=0</formula>
    </cfRule>
    <cfRule type="expression" dxfId="6" priority="18" stopIfTrue="1">
      <formula>MOD(ROW(),2)&lt;&gt;0</formula>
    </cfRule>
  </conditionalFormatting>
  <conditionalFormatting sqref="B6:B21">
    <cfRule type="expression" dxfId="5" priority="9" stopIfTrue="1">
      <formula>MOD(ROW(),2)=0</formula>
    </cfRule>
    <cfRule type="expression" dxfId="4" priority="10" stopIfTrue="1">
      <formula>MOD(ROW(),2)&lt;&gt;0</formula>
    </cfRule>
  </conditionalFormatting>
  <conditionalFormatting sqref="B18:B21">
    <cfRule type="expression" dxfId="3" priority="3" stopIfTrue="1">
      <formula>MOD(ROW(),2)=0</formula>
    </cfRule>
    <cfRule type="expression" dxfId="2" priority="4" stopIfTrue="1">
      <formula>MOD(ROW(),2)&lt;&gt;0</formula>
    </cfRule>
  </conditionalFormatting>
  <conditionalFormatting sqref="B26:B27">
    <cfRule type="expression" dxfId="1" priority="7" stopIfTrue="1">
      <formula>MOD(ROW(),2)=0</formula>
    </cfRule>
    <cfRule type="expression" dxfId="0" priority="8" stopIfTrue="1">
      <formula>MOD(ROW(),2)&lt;&gt;0</formula>
    </cfRule>
  </conditionalFormatting>
  <hyperlinks>
    <hyperlink ref="B24" location="Assumptions!A1" display="Assumptions" xr:uid="{EAE2F673-791C-4B76-9066-923CCD3B0C86}"/>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07f43e36cf7f79c0aded69d0da2cadf5">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07b5c9ccfddc1afc172dcc65de9a251c"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GADWRKGRPACTUA-1580777631-42008</_dlc_DocId>
    <HMT_LegacySensitive xmlns="f69fd3ce-e1df-49de-b78d-1d800e75d0a3">false</HMT_LegacySensitive>
    <_dlc_DocIdUrl xmlns="f69fd3ce-e1df-49de-b78d-1d800e75d0a3">
      <Url>https://tris42.sharepoint.com/sites/gad_wrkgrp_actuarial/_layouts/15/DocIdRedir.aspx?ID=GADWRKGRPACTUA-1580777631-42008</Url>
      <Description>GADWRKGRPACTUA-1580777631-42008</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D6212E2-074C-48A9-A0B0-9C9509B14337}">
  <ds:schemaRefs>
    <ds:schemaRef ds:uri="http://schemas.microsoft.com/sharepoint/v3/contenttype/forms"/>
  </ds:schemaRefs>
</ds:datastoreItem>
</file>

<file path=customXml/itemProps2.xml><?xml version="1.0" encoding="utf-8"?>
<ds:datastoreItem xmlns:ds="http://schemas.openxmlformats.org/officeDocument/2006/customXml" ds:itemID="{D9F2129C-A846-41AB-AE17-15276BFB48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F20FC9-3E55-4384-808A-24893893CDDD}">
  <ds:schemaRefs>
    <ds:schemaRef ds:uri="http://purl.org/dc/dcmitype/"/>
    <ds:schemaRef ds:uri="62c7038d-3aec-4dd4-8afa-8b92667eb25d"/>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www.w3.org/XML/1998/namespace"/>
    <ds:schemaRef ds:uri="http://schemas.microsoft.com/sharepoint/v3"/>
    <ds:schemaRef ds:uri="f69fd3ce-e1df-49de-b78d-1d800e75d0a3"/>
    <ds:schemaRef ds:uri="http://purl.org/dc/elements/1.1/"/>
  </ds:schemaRefs>
</ds:datastoreItem>
</file>

<file path=customXml/itemProps4.xml><?xml version="1.0" encoding="utf-8"?>
<ds:datastoreItem xmlns:ds="http://schemas.openxmlformats.org/officeDocument/2006/customXml" ds:itemID="{0DC27AAA-B155-45A5-8986-02840D5794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96</vt:i4>
      </vt:variant>
      <vt:variant>
        <vt:lpstr>Named Ranges</vt:lpstr>
      </vt:variant>
      <vt:variant>
        <vt:i4>1819</vt:i4>
      </vt:variant>
    </vt:vector>
  </HeadingPairs>
  <TitlesOfParts>
    <vt:vector size="1915" baseType="lpstr">
      <vt:lpstr>Cover</vt:lpstr>
      <vt:lpstr>Purpose of spreadsheet</vt:lpstr>
      <vt:lpstr>Version Control</vt:lpstr>
      <vt:lpstr>Summary - PCSPS_NI</vt:lpstr>
      <vt:lpstr>AnnGenHiddenLists</vt:lpstr>
      <vt:lpstr>Factor List</vt:lpstr>
      <vt:lpstr>x-Series Number</vt:lpstr>
      <vt:lpstr>Assumptions</vt:lpstr>
      <vt:lpstr>x-001</vt:lpstr>
      <vt:lpstr>x-201</vt:lpstr>
      <vt:lpstr>x-202</vt:lpstr>
      <vt:lpstr>x-203</vt:lpstr>
      <vt:lpstr>x-204</vt:lpstr>
      <vt:lpstr>x-206</vt:lpstr>
      <vt:lpstr>x-207</vt:lpstr>
      <vt:lpstr>x-208</vt:lpstr>
      <vt:lpstr>x-210</vt:lpstr>
      <vt:lpstr>x-211</vt:lpstr>
      <vt:lpstr>x-214</vt:lpstr>
      <vt:lpstr>x-215</vt:lpstr>
      <vt:lpstr>x-216</vt:lpstr>
      <vt:lpstr>x-217</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x-416</vt:lpstr>
      <vt:lpstr>x-417</vt:lpstr>
      <vt:lpstr>x-418</vt:lpstr>
      <vt:lpstr>x-419</vt:lpstr>
      <vt:lpstr>x-420</vt:lpstr>
      <vt:lpstr>x-421</vt:lpstr>
      <vt:lpstr>x-422</vt:lpstr>
      <vt:lpstr>x-423</vt:lpstr>
      <vt:lpstr>x-424</vt:lpstr>
      <vt:lpstr>x-501</vt:lpstr>
      <vt:lpstr>x-502</vt:lpstr>
      <vt:lpstr>x-503</vt:lpstr>
      <vt:lpstr>x-504</vt:lpstr>
      <vt:lpstr>x-601</vt:lpstr>
      <vt:lpstr>x-603</vt:lpstr>
      <vt:lpstr>x-604</vt:lpstr>
      <vt:lpstr>x-605</vt:lpstr>
      <vt:lpstr>x-606</vt:lpstr>
      <vt:lpstr>x-607</vt:lpstr>
      <vt:lpstr>x-608</vt:lpstr>
      <vt:lpstr>x-610</vt:lpstr>
      <vt:lpstr>x-611</vt:lpstr>
      <vt:lpstr>x-612</vt:lpstr>
      <vt:lpstr>x-613</vt:lpstr>
      <vt:lpstr>x-701</vt:lpstr>
      <vt:lpstr>x-702</vt:lpstr>
      <vt:lpstr>x-703</vt:lpstr>
      <vt:lpstr>x-704</vt:lpstr>
      <vt:lpstr>x-705</vt:lpstr>
      <vt:lpstr>x-706</vt:lpstr>
      <vt:lpstr>x-707</vt:lpstr>
      <vt:lpstr>x-708</vt:lpstr>
      <vt:lpstr>x-709</vt:lpstr>
      <vt:lpstr>x-710</vt:lpstr>
      <vt:lpstr>x-711</vt:lpstr>
      <vt:lpstr>x-717</vt:lpstr>
      <vt:lpstr>x-718</vt:lpstr>
      <vt:lpstr>x-719</vt:lpstr>
      <vt:lpstr>x-720</vt:lpstr>
      <vt:lpstr>x-721</vt:lpstr>
      <vt:lpstr>x-722</vt:lpstr>
      <vt:lpstr>x-723</vt:lpstr>
      <vt:lpstr>x-724</vt:lpstr>
      <vt:lpstr>x-725</vt:lpstr>
      <vt:lpstr>x-726</vt:lpstr>
      <vt:lpstr>x-727</vt:lpstr>
      <vt:lpstr>x-728</vt:lpstr>
      <vt:lpstr>x-729</vt:lpstr>
      <vt:lpstr>x-811</vt:lpstr>
      <vt:lpstr>x-812</vt:lpstr>
      <vt:lpstr>x-813</vt:lpstr>
      <vt:lpstr>x-814</vt:lpstr>
      <vt:lpstr>x-815</vt:lpstr>
      <vt:lpstr>DATE_MODIFIED</vt:lpstr>
      <vt:lpstr>FACTOR_LIST_AGE_DEF</vt:lpstr>
      <vt:lpstr>FACTOR_LIST_CLIENT</vt:lpstr>
      <vt:lpstr>FACTOR_LIST_DATE_IMPLEMENTED</vt:lpstr>
      <vt:lpstr>FACTOR_LIST_DATE_ISSUED</vt:lpstr>
      <vt:lpstr>FACTOR_LIST_DESCRIPTION</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FACTOR_LIST_TIMESTAMP</vt:lpstr>
      <vt:lpstr>'Summary - PCSPS_NI'!Print_Area</vt:lpstr>
      <vt:lpstr>'x-001'!Print_Area</vt:lpstr>
      <vt:lpstr>'x-201'!Print_Area</vt:lpstr>
      <vt:lpstr>'x-202'!Print_Area</vt:lpstr>
      <vt:lpstr>'x-203'!Print_Area</vt:lpstr>
      <vt:lpstr>'x-204'!Print_Area</vt:lpstr>
      <vt:lpstr>'x-206'!Print_Area</vt:lpstr>
      <vt:lpstr>'x-207'!Print_Area</vt:lpstr>
      <vt:lpstr>'x-208'!Print_Area</vt:lpstr>
      <vt:lpstr>'x-210'!Print_Area</vt:lpstr>
      <vt:lpstr>'x-211'!Print_Area</vt:lpstr>
      <vt:lpstr>'x-214'!Print_Area</vt:lpstr>
      <vt:lpstr>'x-215'!Print_Area</vt:lpstr>
      <vt:lpstr>'x-216'!Print_Area</vt:lpstr>
      <vt:lpstr>'x-217'!Print_Area</vt:lpstr>
      <vt:lpstr>'x-301'!Print_Area</vt:lpstr>
      <vt:lpstr>'x-302'!Print_Area</vt:lpstr>
      <vt:lpstr>'x-303'!Print_Area</vt:lpstr>
      <vt:lpstr>'x-304'!Print_Area</vt:lpstr>
      <vt:lpstr>'x-305'!Print_Area</vt:lpstr>
      <vt:lpstr>'x-306'!Print_Area</vt:lpstr>
      <vt:lpstr>'x-307'!Print_Area</vt:lpstr>
      <vt:lpstr>'x-308'!Print_Area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'x-416'!Print_Area</vt:lpstr>
      <vt:lpstr>'x-417'!Print_Area</vt:lpstr>
      <vt:lpstr>'x-418'!Print_Area</vt:lpstr>
      <vt:lpstr>'x-419'!Print_Area</vt:lpstr>
      <vt:lpstr>'x-420'!Print_Area</vt:lpstr>
      <vt:lpstr>'x-421'!Print_Area</vt:lpstr>
      <vt:lpstr>'x-422'!Print_Area</vt:lpstr>
      <vt:lpstr>'x-423'!Print_Area</vt:lpstr>
      <vt:lpstr>'x-424'!Print_Area</vt:lpstr>
      <vt:lpstr>'x-501'!Print_Area</vt:lpstr>
      <vt:lpstr>'x-502'!Print_Area</vt:lpstr>
      <vt:lpstr>'x-503'!Print_Area</vt:lpstr>
      <vt:lpstr>'x-504'!Print_Area</vt:lpstr>
      <vt:lpstr>'x-601'!Print_Area</vt:lpstr>
      <vt:lpstr>'x-603'!Print_Area</vt:lpstr>
      <vt:lpstr>'x-604'!Print_Area</vt:lpstr>
      <vt:lpstr>'x-605'!Print_Area</vt:lpstr>
      <vt:lpstr>'x-606'!Print_Area</vt:lpstr>
      <vt:lpstr>'x-607'!Print_Area</vt:lpstr>
      <vt:lpstr>'x-608'!Print_Area</vt:lpstr>
      <vt:lpstr>'x-610'!Print_Area</vt:lpstr>
      <vt:lpstr>'x-611'!Print_Area</vt:lpstr>
      <vt:lpstr>'x-612'!Print_Area</vt:lpstr>
      <vt:lpstr>'x-613'!Print_Area</vt:lpstr>
      <vt:lpstr>'x-701'!Print_Area</vt:lpstr>
      <vt:lpstr>'x-702'!Print_Area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'x-717'!Print_Area</vt:lpstr>
      <vt:lpstr>'x-718'!Print_Area</vt:lpstr>
      <vt:lpstr>'x-719'!Print_Area</vt:lpstr>
      <vt:lpstr>'x-720'!Print_Area</vt:lpstr>
      <vt:lpstr>'x-721'!Print_Area</vt:lpstr>
      <vt:lpstr>'x-722'!Print_Area</vt:lpstr>
      <vt:lpstr>'x-723'!Print_Area</vt:lpstr>
      <vt:lpstr>'x-724'!Print_Area</vt:lpstr>
      <vt:lpstr>'x-725'!Print_Area</vt:lpstr>
      <vt:lpstr>'x-726'!Print_Area</vt:lpstr>
      <vt:lpstr>'x-727'!Print_Area</vt:lpstr>
      <vt:lpstr>'x-728'!Print_Area</vt:lpstr>
      <vt:lpstr>'x-729'!Print_Area</vt:lpstr>
      <vt:lpstr>'x-811'!Print_Area</vt:lpstr>
      <vt:lpstr>'x-812'!Print_Area</vt:lpstr>
      <vt:lpstr>'x-813'!Print_Area</vt:lpstr>
      <vt:lpstr>'x-814'!Print_Area</vt:lpstr>
      <vt:lpstr>'x-815'!Print_Area</vt:lpstr>
      <vt:lpstr>'x-Series Number'!Print_Area</vt:lpstr>
      <vt:lpstr>TABLE_AGE_DEF</vt:lpstr>
      <vt:lpstr>'x-001'!TABLE_AGE_DEF_1</vt:lpstr>
      <vt:lpstr>'x-201'!TABLE_AGE_DEF_1</vt:lpstr>
      <vt:lpstr>'x-202'!TABLE_AGE_DEF_1</vt:lpstr>
      <vt:lpstr>'x-203'!TABLE_AGE_DEF_1</vt:lpstr>
      <vt:lpstr>'x-204'!TABLE_AGE_DEF_1</vt:lpstr>
      <vt:lpstr>'x-206'!TABLE_AGE_DEF_1</vt:lpstr>
      <vt:lpstr>'x-207'!TABLE_AGE_DEF_1</vt:lpstr>
      <vt:lpstr>'x-208'!TABLE_AGE_DEF_1</vt:lpstr>
      <vt:lpstr>'x-210'!TABLE_AGE_DEF_1</vt:lpstr>
      <vt:lpstr>'x-211'!TABLE_AGE_DEF_1</vt:lpstr>
      <vt:lpstr>'x-214'!TABLE_AGE_DEF_1</vt:lpstr>
      <vt:lpstr>'x-215'!TABLE_AGE_DEF_1</vt:lpstr>
      <vt:lpstr>'x-216'!TABLE_AGE_DEF_1</vt:lpstr>
      <vt:lpstr>'x-217'!TABLE_AGE_DEF_1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'x-424'!TABLE_AGE_DEF_1</vt:lpstr>
      <vt:lpstr>'x-501'!TABLE_AGE_DEF_1</vt:lpstr>
      <vt:lpstr>'x-502'!TABLE_AGE_DEF_1</vt:lpstr>
      <vt:lpstr>'x-503'!TABLE_AGE_DEF_1</vt:lpstr>
      <vt:lpstr>'x-504'!TABLE_AGE_DEF_1</vt:lpstr>
      <vt:lpstr>'x-601'!TABLE_AGE_DEF_1</vt:lpstr>
      <vt:lpstr>'x-603'!TABLE_AGE_DEF_1</vt:lpstr>
      <vt:lpstr>'x-604'!TABLE_AGE_DEF_1</vt:lpstr>
      <vt:lpstr>'x-605'!TABLE_AGE_DEF_1</vt:lpstr>
      <vt:lpstr>'x-606'!TABLE_AGE_DEF_1</vt:lpstr>
      <vt:lpstr>'x-607'!TABLE_AGE_DEF_1</vt:lpstr>
      <vt:lpstr>'x-608'!TABLE_AGE_DEF_1</vt:lpstr>
      <vt:lpstr>'x-610'!TABLE_AGE_DEF_1</vt:lpstr>
      <vt:lpstr>'x-611'!TABLE_AGE_DEF_1</vt:lpstr>
      <vt:lpstr>'x-612'!TABLE_AGE_DEF_1</vt:lpstr>
      <vt:lpstr>'x-613'!TABLE_AGE_DEF_1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'x-717'!TABLE_AGE_DEF_1</vt:lpstr>
      <vt:lpstr>'x-718'!TABLE_AGE_DEF_1</vt:lpstr>
      <vt:lpstr>'x-719'!TABLE_AGE_DEF_1</vt:lpstr>
      <vt:lpstr>'x-720'!TABLE_AGE_DEF_1</vt:lpstr>
      <vt:lpstr>'x-721'!TABLE_AGE_DEF_1</vt:lpstr>
      <vt:lpstr>'x-722'!TABLE_AGE_DEF_1</vt:lpstr>
      <vt:lpstr>'x-723'!TABLE_AGE_DEF_1</vt:lpstr>
      <vt:lpstr>'x-724'!TABLE_AGE_DEF_1</vt:lpstr>
      <vt:lpstr>'x-725'!TABLE_AGE_DEF_1</vt:lpstr>
      <vt:lpstr>'x-726'!TABLE_AGE_DEF_1</vt:lpstr>
      <vt:lpstr>'x-727'!TABLE_AGE_DEF_1</vt:lpstr>
      <vt:lpstr>'x-728'!TABLE_AGE_DEF_1</vt:lpstr>
      <vt:lpstr>'x-729'!TABLE_AGE_DEF_1</vt:lpstr>
      <vt:lpstr>'x-811'!TABLE_AGE_DEF_1</vt:lpstr>
      <vt:lpstr>'x-812'!TABLE_AGE_DEF_1</vt:lpstr>
      <vt:lpstr>'x-813'!TABLE_AGE_DEF_1</vt:lpstr>
      <vt:lpstr>'x-814'!TABLE_AGE_DEF_1</vt:lpstr>
      <vt:lpstr>'x-815'!TABLE_AGE_DEF_1</vt:lpstr>
      <vt:lpstr>'x-001'!TABLE_AGE_DEF_2</vt:lpstr>
      <vt:lpstr>'x-408'!TABLE_AGE_DEF_2</vt:lpstr>
      <vt:lpstr>'x-412'!TABLE_AGE_DEF_2</vt:lpstr>
      <vt:lpstr>'x-610'!TABLE_AGE_DEF_2</vt:lpstr>
      <vt:lpstr>'x-611'!TABLE_AGE_DEF_2</vt:lpstr>
      <vt:lpstr>'x-717'!TABLE_AGE_DEF_2</vt:lpstr>
      <vt:lpstr>'x-718'!TABLE_AGE_DEF_2</vt:lpstr>
      <vt:lpstr>'x-719'!TABLE_AGE_DEF_2</vt:lpstr>
      <vt:lpstr>'x-728'!TABLE_AGE_DEF_2</vt:lpstr>
      <vt:lpstr>'x-717'!TABLE_AGE_DEF_3</vt:lpstr>
      <vt:lpstr>'x-718'!TABLE_AGE_DEF_3</vt:lpstr>
      <vt:lpstr>'x-717'!TABLE_AGE_DEF_4</vt:lpstr>
      <vt:lpstr>'x-001'!TABLE_AREA</vt:lpstr>
      <vt:lpstr>TABLE_AREA</vt:lpstr>
      <vt:lpstr>'x-001'!TABLE_AREA_1</vt:lpstr>
      <vt:lpstr>'x-201'!TABLE_AREA_1</vt:lpstr>
      <vt:lpstr>'x-202'!TABLE_AREA_1</vt:lpstr>
      <vt:lpstr>'x-203'!TABLE_AREA_1</vt:lpstr>
      <vt:lpstr>'x-204'!TABLE_AREA_1</vt:lpstr>
      <vt:lpstr>'x-206'!TABLE_AREA_1</vt:lpstr>
      <vt:lpstr>'x-207'!TABLE_AREA_1</vt:lpstr>
      <vt:lpstr>'x-208'!TABLE_AREA_1</vt:lpstr>
      <vt:lpstr>'x-210'!TABLE_AREA_1</vt:lpstr>
      <vt:lpstr>'x-211'!TABLE_AREA_1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'x-416'!TABLE_AREA_1</vt:lpstr>
      <vt:lpstr>'x-417'!TABLE_AREA_1</vt:lpstr>
      <vt:lpstr>'x-418'!TABLE_AREA_1</vt:lpstr>
      <vt:lpstr>'x-419'!TABLE_AREA_1</vt:lpstr>
      <vt:lpstr>'x-420'!TABLE_AREA_1</vt:lpstr>
      <vt:lpstr>'x-421'!TABLE_AREA_1</vt:lpstr>
      <vt:lpstr>'x-422'!TABLE_AREA_1</vt:lpstr>
      <vt:lpstr>'x-423'!TABLE_AREA_1</vt:lpstr>
      <vt:lpstr>'x-424'!TABLE_AREA_1</vt:lpstr>
      <vt:lpstr>'x-501'!TABLE_AREA_1</vt:lpstr>
      <vt:lpstr>'x-502'!TABLE_AREA_1</vt:lpstr>
      <vt:lpstr>'x-503'!TABLE_AREA_1</vt:lpstr>
      <vt:lpstr>'x-504'!TABLE_AREA_1</vt:lpstr>
      <vt:lpstr>'x-601'!TABLE_AREA_1</vt:lpstr>
      <vt:lpstr>'x-603'!TABLE_AREA_1</vt:lpstr>
      <vt:lpstr>'x-604'!TABLE_AREA_1</vt:lpstr>
      <vt:lpstr>'x-605'!TABLE_AREA_1</vt:lpstr>
      <vt:lpstr>'x-606'!TABLE_AREA_1</vt:lpstr>
      <vt:lpstr>'x-607'!TABLE_AREA_1</vt:lpstr>
      <vt:lpstr>'x-608'!TABLE_AREA_1</vt:lpstr>
      <vt:lpstr>'x-610'!TABLE_AREA_1</vt:lpstr>
      <vt:lpstr>'x-611'!TABLE_AREA_1</vt:lpstr>
      <vt:lpstr>'x-612'!TABLE_AREA_1</vt:lpstr>
      <vt:lpstr>'x-613'!TABLE_AREA_1</vt:lpstr>
      <vt:lpstr>'x-701'!TABLE_AREA_1</vt:lpstr>
      <vt:lpstr>'x-702'!TABLE_AREA_1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'x-717'!TABLE_AREA_1</vt:lpstr>
      <vt:lpstr>'x-718'!TABLE_AREA_1</vt:lpstr>
      <vt:lpstr>'x-719'!TABLE_AREA_1</vt:lpstr>
      <vt:lpstr>'x-720'!TABLE_AREA_1</vt:lpstr>
      <vt:lpstr>'x-721'!TABLE_AREA_1</vt:lpstr>
      <vt:lpstr>'x-722'!TABLE_AREA_1</vt:lpstr>
      <vt:lpstr>'x-723'!TABLE_AREA_1</vt:lpstr>
      <vt:lpstr>'x-724'!TABLE_AREA_1</vt:lpstr>
      <vt:lpstr>'x-725'!TABLE_AREA_1</vt:lpstr>
      <vt:lpstr>'x-726'!TABLE_AREA_1</vt:lpstr>
      <vt:lpstr>'x-727'!TABLE_AREA_1</vt:lpstr>
      <vt:lpstr>'x-728'!TABLE_AREA_1</vt:lpstr>
      <vt:lpstr>'x-729'!TABLE_AREA_1</vt:lpstr>
      <vt:lpstr>'x-811'!TABLE_AREA_1</vt:lpstr>
      <vt:lpstr>'x-812'!TABLE_AREA_1</vt:lpstr>
      <vt:lpstr>'x-813'!TABLE_AREA_1</vt:lpstr>
      <vt:lpstr>'x-814'!TABLE_AREA_1</vt:lpstr>
      <vt:lpstr>'x-815'!TABLE_AREA_1</vt:lpstr>
      <vt:lpstr>'x-408'!TABLE_AREA_2</vt:lpstr>
      <vt:lpstr>'x-412'!TABLE_AREA_2</vt:lpstr>
      <vt:lpstr>'x-610'!TABLE_AREA_2</vt:lpstr>
      <vt:lpstr>'x-611'!TABLE_AREA_2</vt:lpstr>
      <vt:lpstr>'x-717'!TABLE_AREA_2</vt:lpstr>
      <vt:lpstr>'x-718'!TABLE_AREA_2</vt:lpstr>
      <vt:lpstr>'x-719'!TABLE_AREA_2</vt:lpstr>
      <vt:lpstr>'x-728'!TABLE_AREA_2</vt:lpstr>
      <vt:lpstr>'x-717'!TABLE_AREA_3</vt:lpstr>
      <vt:lpstr>'x-718'!TABLE_AREA_3</vt:lpstr>
      <vt:lpstr>'x-717'!TABLE_AREA_4</vt:lpstr>
      <vt:lpstr>'x-001'!TABLE_ASSUMPTION_SET_1</vt:lpstr>
      <vt:lpstr>'x-201'!TABLE_ASSUMPTION_SET_1</vt:lpstr>
      <vt:lpstr>'x-202'!TABLE_ASSUMPTION_SET_1</vt:lpstr>
      <vt:lpstr>'x-203'!TABLE_ASSUMPTION_SET_1</vt:lpstr>
      <vt:lpstr>'x-204'!TABLE_ASSUMPTION_SET_1</vt:lpstr>
      <vt:lpstr>'x-206'!TABLE_ASSUMPTION_SET_1</vt:lpstr>
      <vt:lpstr>'x-207'!TABLE_ASSUMPTION_SET_1</vt:lpstr>
      <vt:lpstr>'x-208'!TABLE_ASSUMPTION_SET_1</vt:lpstr>
      <vt:lpstr>'x-210'!TABLE_ASSUMPTION_SET_1</vt:lpstr>
      <vt:lpstr>'x-211'!TABLE_ASSUMPTION_SET_1</vt:lpstr>
      <vt:lpstr>'x-214'!TABLE_ASSUMPTION_SET_1</vt:lpstr>
      <vt:lpstr>'x-215'!TABLE_ASSUMPTION_SET_1</vt:lpstr>
      <vt:lpstr>'x-216'!TABLE_ASSUMPTION_SET_1</vt:lpstr>
      <vt:lpstr>'x-217'!TABLE_ASSUMPTION_SET_1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'x-422'!TABLE_ASSUMPTION_SET_1</vt:lpstr>
      <vt:lpstr>'x-423'!TABLE_ASSUMPTION_SET_1</vt:lpstr>
      <vt:lpstr>'x-424'!TABLE_ASSUMPTION_SET_1</vt:lpstr>
      <vt:lpstr>'x-501'!TABLE_ASSUMPTION_SET_1</vt:lpstr>
      <vt:lpstr>'x-502'!TABLE_ASSUMPTION_SET_1</vt:lpstr>
      <vt:lpstr>'x-503'!TABLE_ASSUMPTION_SET_1</vt:lpstr>
      <vt:lpstr>'x-504'!TABLE_ASSUMPTION_SET_1</vt:lpstr>
      <vt:lpstr>'x-601'!TABLE_ASSUMPTION_SET_1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'x-610'!TABLE_ASSUMPTION_SET_1</vt:lpstr>
      <vt:lpstr>'x-611'!TABLE_ASSUMPTION_SET_1</vt:lpstr>
      <vt:lpstr>'x-612'!TABLE_ASSUMPTION_SET_1</vt:lpstr>
      <vt:lpstr>'x-613'!TABLE_ASSUMPTION_SET_1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'x-717'!TABLE_ASSUMPTION_SET_1</vt:lpstr>
      <vt:lpstr>'x-718'!TABLE_ASSUMPTION_SET_1</vt:lpstr>
      <vt:lpstr>'x-719'!TABLE_ASSUMPTION_SET_1</vt:lpstr>
      <vt:lpstr>'x-720'!TABLE_ASSUMPTION_SET_1</vt:lpstr>
      <vt:lpstr>'x-721'!TABLE_ASSUMPTION_SET_1</vt:lpstr>
      <vt:lpstr>'x-722'!TABLE_ASSUMPTION_SET_1</vt:lpstr>
      <vt:lpstr>'x-723'!TABLE_ASSUMPTION_SET_1</vt:lpstr>
      <vt:lpstr>'x-724'!TABLE_ASSUMPTION_SET_1</vt:lpstr>
      <vt:lpstr>'x-725'!TABLE_ASSUMPTION_SET_1</vt:lpstr>
      <vt:lpstr>'x-726'!TABLE_ASSUMPTION_SET_1</vt:lpstr>
      <vt:lpstr>'x-727'!TABLE_ASSUMPTION_SET_1</vt:lpstr>
      <vt:lpstr>'x-728'!TABLE_ASSUMPTION_SET_1</vt:lpstr>
      <vt:lpstr>'x-729'!TABLE_ASSUMPTION_SET_1</vt:lpstr>
      <vt:lpstr>'x-811'!TABLE_ASSUMPTION_SET_1</vt:lpstr>
      <vt:lpstr>'x-812'!TABLE_ASSUMPTION_SET_1</vt:lpstr>
      <vt:lpstr>'x-813'!TABLE_ASSUMPTION_SET_1</vt:lpstr>
      <vt:lpstr>'x-814'!TABLE_ASSUMPTION_SET_1</vt:lpstr>
      <vt:lpstr>'x-815'!TABLE_ASSUMPTION_SET_1</vt:lpstr>
      <vt:lpstr>'x-001'!TABLE_ASSUMPTION_SET_2</vt:lpstr>
      <vt:lpstr>'x-408'!TABLE_ASSUMPTION_SET_2</vt:lpstr>
      <vt:lpstr>'x-412'!TABLE_ASSUMPTION_SET_2</vt:lpstr>
      <vt:lpstr>'x-610'!TABLE_ASSUMPTION_SET_2</vt:lpstr>
      <vt:lpstr>'x-611'!TABLE_ASSUMPTION_SET_2</vt:lpstr>
      <vt:lpstr>'x-718'!TABLE_ASSUMPTION_SET_2</vt:lpstr>
      <vt:lpstr>'x-719'!TABLE_ASSUMPTION_SET_2</vt:lpstr>
      <vt:lpstr>'x-718'!TABLE_ASSUMPTION_SET_3</vt:lpstr>
      <vt:lpstr>TABLE_CLIENT</vt:lpstr>
      <vt:lpstr>'x-001'!TABLE_CLIENT_1</vt:lpstr>
      <vt:lpstr>'x-201'!TABLE_CLIENT_1</vt:lpstr>
      <vt:lpstr>'x-202'!TABLE_CLIENT_1</vt:lpstr>
      <vt:lpstr>'x-203'!TABLE_CLIENT_1</vt:lpstr>
      <vt:lpstr>'x-204'!TABLE_CLIENT_1</vt:lpstr>
      <vt:lpstr>'x-206'!TABLE_CLIENT_1</vt:lpstr>
      <vt:lpstr>'x-207'!TABLE_CLIENT_1</vt:lpstr>
      <vt:lpstr>'x-208'!TABLE_CLIENT_1</vt:lpstr>
      <vt:lpstr>'x-210'!TABLE_CLIENT_1</vt:lpstr>
      <vt:lpstr>'x-211'!TABLE_CLIENT_1</vt:lpstr>
      <vt:lpstr>'x-214'!TABLE_CLIENT_1</vt:lpstr>
      <vt:lpstr>'x-215'!TABLE_CLIENT_1</vt:lpstr>
      <vt:lpstr>'x-216'!TABLE_CLIENT_1</vt:lpstr>
      <vt:lpstr>'x-217'!TABLE_CLIENT_1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'x-424'!TABLE_CLIENT_1</vt:lpstr>
      <vt:lpstr>'x-501'!TABLE_CLIENT_1</vt:lpstr>
      <vt:lpstr>'x-502'!TABLE_CLIENT_1</vt:lpstr>
      <vt:lpstr>'x-503'!TABLE_CLIENT_1</vt:lpstr>
      <vt:lpstr>'x-504'!TABLE_CLIENT_1</vt:lpstr>
      <vt:lpstr>'x-601'!TABLE_CLIENT_1</vt:lpstr>
      <vt:lpstr>'x-603'!TABLE_CLIENT_1</vt:lpstr>
      <vt:lpstr>'x-604'!TABLE_CLIENT_1</vt:lpstr>
      <vt:lpstr>'x-605'!TABLE_CLIENT_1</vt:lpstr>
      <vt:lpstr>'x-606'!TABLE_CLIENT_1</vt:lpstr>
      <vt:lpstr>'x-607'!TABLE_CLIENT_1</vt:lpstr>
      <vt:lpstr>'x-608'!TABLE_CLIENT_1</vt:lpstr>
      <vt:lpstr>'x-610'!TABLE_CLIENT_1</vt:lpstr>
      <vt:lpstr>'x-611'!TABLE_CLIENT_1</vt:lpstr>
      <vt:lpstr>'x-612'!TABLE_CLIENT_1</vt:lpstr>
      <vt:lpstr>'x-613'!TABLE_CLIENT_1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'x-717'!TABLE_CLIENT_1</vt:lpstr>
      <vt:lpstr>'x-718'!TABLE_CLIENT_1</vt:lpstr>
      <vt:lpstr>'x-719'!TABLE_CLIENT_1</vt:lpstr>
      <vt:lpstr>'x-720'!TABLE_CLIENT_1</vt:lpstr>
      <vt:lpstr>'x-721'!TABLE_CLIENT_1</vt:lpstr>
      <vt:lpstr>'x-722'!TABLE_CLIENT_1</vt:lpstr>
      <vt:lpstr>'x-723'!TABLE_CLIENT_1</vt:lpstr>
      <vt:lpstr>'x-724'!TABLE_CLIENT_1</vt:lpstr>
      <vt:lpstr>'x-725'!TABLE_CLIENT_1</vt:lpstr>
      <vt:lpstr>'x-726'!TABLE_CLIENT_1</vt:lpstr>
      <vt:lpstr>'x-727'!TABLE_CLIENT_1</vt:lpstr>
      <vt:lpstr>'x-728'!TABLE_CLIENT_1</vt:lpstr>
      <vt:lpstr>'x-729'!TABLE_CLIENT_1</vt:lpstr>
      <vt:lpstr>'x-811'!TABLE_CLIENT_1</vt:lpstr>
      <vt:lpstr>'x-812'!TABLE_CLIENT_1</vt:lpstr>
      <vt:lpstr>'x-813'!TABLE_CLIENT_1</vt:lpstr>
      <vt:lpstr>'x-814'!TABLE_CLIENT_1</vt:lpstr>
      <vt:lpstr>'x-815'!TABLE_CLIENT_1</vt:lpstr>
      <vt:lpstr>'x-001'!TABLE_CLIENT_2</vt:lpstr>
      <vt:lpstr>'x-408'!TABLE_CLIENT_2</vt:lpstr>
      <vt:lpstr>'x-412'!TABLE_CLIENT_2</vt:lpstr>
      <vt:lpstr>'x-610'!TABLE_CLIENT_2</vt:lpstr>
      <vt:lpstr>'x-611'!TABLE_CLIENT_2</vt:lpstr>
      <vt:lpstr>'x-717'!TABLE_CLIENT_2</vt:lpstr>
      <vt:lpstr>'x-718'!TABLE_CLIENT_2</vt:lpstr>
      <vt:lpstr>'x-719'!TABLE_CLIENT_2</vt:lpstr>
      <vt:lpstr>'x-728'!TABLE_CLIENT_2</vt:lpstr>
      <vt:lpstr>'x-717'!TABLE_CLIENT_3</vt:lpstr>
      <vt:lpstr>'x-718'!TABLE_CLIENT_3</vt:lpstr>
      <vt:lpstr>'x-717'!TABLE_CLIENT_4</vt:lpstr>
      <vt:lpstr>TABLE_DATE_IMPLEMENTED</vt:lpstr>
      <vt:lpstr>'x-001'!TABLE_DATE_IMPLEMENTED_1</vt:lpstr>
      <vt:lpstr>'x-201'!TABLE_DATE_IMPLEMENTED_1</vt:lpstr>
      <vt:lpstr>'x-202'!TABLE_DATE_IMPLEMENTED_1</vt:lpstr>
      <vt:lpstr>'x-203'!TABLE_DATE_IMPLEMENTED_1</vt:lpstr>
      <vt:lpstr>'x-204'!TABLE_DATE_IMPLEMENTED_1</vt:lpstr>
      <vt:lpstr>'x-206'!TABLE_DATE_IMPLEMENTED_1</vt:lpstr>
      <vt:lpstr>'x-207'!TABLE_DATE_IMPLEMENTED_1</vt:lpstr>
      <vt:lpstr>'x-208'!TABLE_DATE_IMPLEMENTED_1</vt:lpstr>
      <vt:lpstr>'x-210'!TABLE_DATE_IMPLEMENTED_1</vt:lpstr>
      <vt:lpstr>'x-211'!TABLE_DATE_IMPLEMENTED_1</vt:lpstr>
      <vt:lpstr>'x-214'!TABLE_DATE_IMPLEMENTED_1</vt:lpstr>
      <vt:lpstr>'x-215'!TABLE_DATE_IMPLEMENTED_1</vt:lpstr>
      <vt:lpstr>'x-216'!TABLE_DATE_IMPLEMENTED_1</vt:lpstr>
      <vt:lpstr>'x-217'!TABLE_DATE_IMPLEMENTED_1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'x-501'!TABLE_DATE_IMPLEMENTED_1</vt:lpstr>
      <vt:lpstr>'x-502'!TABLE_DATE_IMPLEMENTED_1</vt:lpstr>
      <vt:lpstr>'x-503'!TABLE_DATE_IMPLEMENTED_1</vt:lpstr>
      <vt:lpstr>'x-504'!TABLE_DATE_IMPLEMENTED_1</vt:lpstr>
      <vt:lpstr>'x-601'!TABLE_DATE_IMPLEMENTED_1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'x-610'!TABLE_DATE_IMPLEMENTED_1</vt:lpstr>
      <vt:lpstr>'x-611'!TABLE_DATE_IMPLEMENTED_1</vt:lpstr>
      <vt:lpstr>'x-612'!TABLE_DATE_IMPLEMENTED_1</vt:lpstr>
      <vt:lpstr>'x-613'!TABLE_DATE_IMPLEMENTED_1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'x-723'!TABLE_DATE_IMPLEMENTED_1</vt:lpstr>
      <vt:lpstr>'x-724'!TABLE_DATE_IMPLEMENTED_1</vt:lpstr>
      <vt:lpstr>'x-725'!TABLE_DATE_IMPLEMENTED_1</vt:lpstr>
      <vt:lpstr>'x-726'!TABLE_DATE_IMPLEMENTED_1</vt:lpstr>
      <vt:lpstr>'x-727'!TABLE_DATE_IMPLEMENTED_1</vt:lpstr>
      <vt:lpstr>'x-728'!TABLE_DATE_IMPLEMENTED_1</vt:lpstr>
      <vt:lpstr>'x-729'!TABLE_DATE_IMPLEMENTED_1</vt:lpstr>
      <vt:lpstr>'x-811'!TABLE_DATE_IMPLEMENTED_1</vt:lpstr>
      <vt:lpstr>'x-812'!TABLE_DATE_IMPLEMENTED_1</vt:lpstr>
      <vt:lpstr>'x-813'!TABLE_DATE_IMPLEMENTED_1</vt:lpstr>
      <vt:lpstr>'x-814'!TABLE_DATE_IMPLEMENTED_1</vt:lpstr>
      <vt:lpstr>'x-815'!TABLE_DATE_IMPLEMENTED_1</vt:lpstr>
      <vt:lpstr>'x-001'!TABLE_DATE_IMPLEMENTED_2</vt:lpstr>
      <vt:lpstr>'x-408'!TABLE_DATE_IMPLEMENTED_2</vt:lpstr>
      <vt:lpstr>'x-412'!TABLE_DATE_IMPLEMENTED_2</vt:lpstr>
      <vt:lpstr>'x-610'!TABLE_DATE_IMPLEMENTED_2</vt:lpstr>
      <vt:lpstr>'x-611'!TABLE_DATE_IMPLEMENTED_2</vt:lpstr>
      <vt:lpstr>'x-717'!TABLE_DATE_IMPLEMENTED_2</vt:lpstr>
      <vt:lpstr>'x-718'!TABLE_DATE_IMPLEMENTED_2</vt:lpstr>
      <vt:lpstr>'x-719'!TABLE_DATE_IMPLEMENTED_2</vt:lpstr>
      <vt:lpstr>'x-728'!TABLE_DATE_IMPLEMENTED_2</vt:lpstr>
      <vt:lpstr>'x-717'!TABLE_DATE_IMPLEMENTED_3</vt:lpstr>
      <vt:lpstr>'x-718'!TABLE_DATE_IMPLEMENTED_3</vt:lpstr>
      <vt:lpstr>'x-717'!TABLE_DATE_IMPLEMENTED_4</vt:lpstr>
      <vt:lpstr>TABLE_DATE_ISSUED</vt:lpstr>
      <vt:lpstr>'x-001'!TABLE_DATE_ISSUED_1</vt:lpstr>
      <vt:lpstr>'x-201'!TABLE_DATE_ISSUED_1</vt:lpstr>
      <vt:lpstr>'x-202'!TABLE_DATE_ISSUED_1</vt:lpstr>
      <vt:lpstr>'x-203'!TABLE_DATE_ISSUED_1</vt:lpstr>
      <vt:lpstr>'x-204'!TABLE_DATE_ISSUED_1</vt:lpstr>
      <vt:lpstr>'x-206'!TABLE_DATE_ISSUED_1</vt:lpstr>
      <vt:lpstr>'x-207'!TABLE_DATE_ISSUED_1</vt:lpstr>
      <vt:lpstr>'x-208'!TABLE_DATE_ISSUED_1</vt:lpstr>
      <vt:lpstr>'x-210'!TABLE_DATE_ISSUED_1</vt:lpstr>
      <vt:lpstr>'x-211'!TABLE_DATE_ISSUED_1</vt:lpstr>
      <vt:lpstr>'x-214'!TABLE_DATE_ISSUED_1</vt:lpstr>
      <vt:lpstr>'x-215'!TABLE_DATE_ISSUED_1</vt:lpstr>
      <vt:lpstr>'x-216'!TABLE_DATE_ISSUED_1</vt:lpstr>
      <vt:lpstr>'x-217'!TABLE_DATE_ISSUED_1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'x-501'!TABLE_DATE_ISSUED_1</vt:lpstr>
      <vt:lpstr>'x-502'!TABLE_DATE_ISSUED_1</vt:lpstr>
      <vt:lpstr>'x-503'!TABLE_DATE_ISSUED_1</vt:lpstr>
      <vt:lpstr>'x-504'!TABLE_DATE_ISSUED_1</vt:lpstr>
      <vt:lpstr>'x-601'!TABLE_DATE_ISSUED_1</vt:lpstr>
      <vt:lpstr>'x-603'!TABLE_DATE_ISSUED_1</vt:lpstr>
      <vt:lpstr>'x-604'!TABLE_DATE_ISSUED_1</vt:lpstr>
      <vt:lpstr>'x-605'!TABLE_DATE_ISSUED_1</vt:lpstr>
      <vt:lpstr>'x-606'!TABLE_DATE_ISSUED_1</vt:lpstr>
      <vt:lpstr>'x-607'!TABLE_DATE_ISSUED_1</vt:lpstr>
      <vt:lpstr>'x-608'!TABLE_DATE_ISSUED_1</vt:lpstr>
      <vt:lpstr>'x-610'!TABLE_DATE_ISSUED_1</vt:lpstr>
      <vt:lpstr>'x-611'!TABLE_DATE_ISSUED_1</vt:lpstr>
      <vt:lpstr>'x-612'!TABLE_DATE_ISSUED_1</vt:lpstr>
      <vt:lpstr>'x-613'!TABLE_DATE_ISSUED_1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'x-717'!TABLE_DATE_ISSUED_1</vt:lpstr>
      <vt:lpstr>'x-718'!TABLE_DATE_ISSUED_1</vt:lpstr>
      <vt:lpstr>'x-719'!TABLE_DATE_ISSUED_1</vt:lpstr>
      <vt:lpstr>'x-720'!TABLE_DATE_ISSUED_1</vt:lpstr>
      <vt:lpstr>'x-721'!TABLE_DATE_ISSUED_1</vt:lpstr>
      <vt:lpstr>'x-722'!TABLE_DATE_ISSUED_1</vt:lpstr>
      <vt:lpstr>'x-723'!TABLE_DATE_ISSUED_1</vt:lpstr>
      <vt:lpstr>'x-724'!TABLE_DATE_ISSUED_1</vt:lpstr>
      <vt:lpstr>'x-725'!TABLE_DATE_ISSUED_1</vt:lpstr>
      <vt:lpstr>'x-726'!TABLE_DATE_ISSUED_1</vt:lpstr>
      <vt:lpstr>'x-727'!TABLE_DATE_ISSUED_1</vt:lpstr>
      <vt:lpstr>'x-728'!TABLE_DATE_ISSUED_1</vt:lpstr>
      <vt:lpstr>'x-729'!TABLE_DATE_ISSUED_1</vt:lpstr>
      <vt:lpstr>'x-811'!TABLE_DATE_ISSUED_1</vt:lpstr>
      <vt:lpstr>'x-812'!TABLE_DATE_ISSUED_1</vt:lpstr>
      <vt:lpstr>'x-813'!TABLE_DATE_ISSUED_1</vt:lpstr>
      <vt:lpstr>'x-814'!TABLE_DATE_ISSUED_1</vt:lpstr>
      <vt:lpstr>'x-815'!TABLE_DATE_ISSUED_1</vt:lpstr>
      <vt:lpstr>'x-001'!TABLE_DATE_ISSUED_2</vt:lpstr>
      <vt:lpstr>'x-408'!TABLE_DATE_ISSUED_2</vt:lpstr>
      <vt:lpstr>'x-412'!TABLE_DATE_ISSUED_2</vt:lpstr>
      <vt:lpstr>'x-610'!TABLE_DATE_ISSUED_2</vt:lpstr>
      <vt:lpstr>'x-611'!TABLE_DATE_ISSUED_2</vt:lpstr>
      <vt:lpstr>'x-717'!TABLE_DATE_ISSUED_2</vt:lpstr>
      <vt:lpstr>'x-718'!TABLE_DATE_ISSUED_2</vt:lpstr>
      <vt:lpstr>'x-719'!TABLE_DATE_ISSUED_2</vt:lpstr>
      <vt:lpstr>'x-728'!TABLE_DATE_ISSUED_2</vt:lpstr>
      <vt:lpstr>'x-717'!TABLE_DATE_ISSUED_3</vt:lpstr>
      <vt:lpstr>'x-718'!TABLE_DATE_ISSUED_3</vt:lpstr>
      <vt:lpstr>'x-717'!TABLE_DATE_ISSUED_4</vt:lpstr>
      <vt:lpstr>TABLE_DESCRIPTION</vt:lpstr>
      <vt:lpstr>'x-001'!TABLE_DESCRIPTION_1</vt:lpstr>
      <vt:lpstr>'x-201'!TABLE_DESCRIPTION_1</vt:lpstr>
      <vt:lpstr>'x-202'!TABLE_DESCRIPTION_1</vt:lpstr>
      <vt:lpstr>'x-203'!TABLE_DESCRIPTION_1</vt:lpstr>
      <vt:lpstr>'x-204'!TABLE_DESCRIPTION_1</vt:lpstr>
      <vt:lpstr>'x-206'!TABLE_DESCRIPTION_1</vt:lpstr>
      <vt:lpstr>'x-207'!TABLE_DESCRIPTION_1</vt:lpstr>
      <vt:lpstr>'x-208'!TABLE_DESCRIPTION_1</vt:lpstr>
      <vt:lpstr>'x-210'!TABLE_DESCRIPTION_1</vt:lpstr>
      <vt:lpstr>'x-211'!TABLE_DESCRIPTION_1</vt:lpstr>
      <vt:lpstr>'x-214'!TABLE_DESCRIPTION_1</vt:lpstr>
      <vt:lpstr>'x-215'!TABLE_DESCRIPTION_1</vt:lpstr>
      <vt:lpstr>'x-216'!TABLE_DESCRIPTION_1</vt:lpstr>
      <vt:lpstr>'x-217'!TABLE_DESCRIPTION_1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'x-501'!TABLE_DESCRIPTION_1</vt:lpstr>
      <vt:lpstr>'x-502'!TABLE_DESCRIPTION_1</vt:lpstr>
      <vt:lpstr>'x-503'!TABLE_DESCRIPTION_1</vt:lpstr>
      <vt:lpstr>'x-504'!TABLE_DESCRIPTION_1</vt:lpstr>
      <vt:lpstr>'x-601'!TABLE_DESCRIPTION_1</vt:lpstr>
      <vt:lpstr>'x-603'!TABLE_DESCRIPTION_1</vt:lpstr>
      <vt:lpstr>'x-604'!TABLE_DESCRIPTION_1</vt:lpstr>
      <vt:lpstr>'x-605'!TABLE_DESCRIPTION_1</vt:lpstr>
      <vt:lpstr>'x-606'!TABLE_DESCRIPTION_1</vt:lpstr>
      <vt:lpstr>'x-607'!TABLE_DESCRIPTION_1</vt:lpstr>
      <vt:lpstr>'x-608'!TABLE_DESCRIPTION_1</vt:lpstr>
      <vt:lpstr>'x-610'!TABLE_DESCRIPTION_1</vt:lpstr>
      <vt:lpstr>'x-611'!TABLE_DESCRIPTION_1</vt:lpstr>
      <vt:lpstr>'x-612'!TABLE_DESCRIPTION_1</vt:lpstr>
      <vt:lpstr>'x-613'!TABLE_DESCRIPTION_1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'x-717'!TABLE_DESCRIPTION_1</vt:lpstr>
      <vt:lpstr>'x-718'!TABLE_DESCRIPTION_1</vt:lpstr>
      <vt:lpstr>'x-719'!TABLE_DESCRIPTION_1</vt:lpstr>
      <vt:lpstr>'x-720'!TABLE_DESCRIPTION_1</vt:lpstr>
      <vt:lpstr>'x-721'!TABLE_DESCRIPTION_1</vt:lpstr>
      <vt:lpstr>'x-722'!TABLE_DESCRIPTION_1</vt:lpstr>
      <vt:lpstr>'x-723'!TABLE_DESCRIPTION_1</vt:lpstr>
      <vt:lpstr>'x-724'!TABLE_DESCRIPTION_1</vt:lpstr>
      <vt:lpstr>'x-725'!TABLE_DESCRIPTION_1</vt:lpstr>
      <vt:lpstr>'x-726'!TABLE_DESCRIPTION_1</vt:lpstr>
      <vt:lpstr>'x-727'!TABLE_DESCRIPTION_1</vt:lpstr>
      <vt:lpstr>'x-728'!TABLE_DESCRIPTION_1</vt:lpstr>
      <vt:lpstr>'x-729'!TABLE_DESCRIPTION_1</vt:lpstr>
      <vt:lpstr>'x-811'!TABLE_DESCRIPTION_1</vt:lpstr>
      <vt:lpstr>'x-812'!TABLE_DESCRIPTION_1</vt:lpstr>
      <vt:lpstr>'x-813'!TABLE_DESCRIPTION_1</vt:lpstr>
      <vt:lpstr>'x-814'!TABLE_DESCRIPTION_1</vt:lpstr>
      <vt:lpstr>'x-815'!TABLE_DESCRIPTION_1</vt:lpstr>
      <vt:lpstr>'x-001'!TABLE_DESCRIPTION_2</vt:lpstr>
      <vt:lpstr>'x-408'!TABLE_DESCRIPTION_2</vt:lpstr>
      <vt:lpstr>'x-412'!TABLE_DESCRIPTION_2</vt:lpstr>
      <vt:lpstr>'x-610'!TABLE_DESCRIPTION_2</vt:lpstr>
      <vt:lpstr>'x-611'!TABLE_DESCRIPTION_2</vt:lpstr>
      <vt:lpstr>'x-717'!TABLE_DESCRIPTION_2</vt:lpstr>
      <vt:lpstr>'x-718'!TABLE_DESCRIPTION_2</vt:lpstr>
      <vt:lpstr>'x-719'!TABLE_DESCRIPTION_2</vt:lpstr>
      <vt:lpstr>'x-728'!TABLE_DESCRIPTION_2</vt:lpstr>
      <vt:lpstr>'x-717'!TABLE_DESCRIPTION_3</vt:lpstr>
      <vt:lpstr>'x-718'!TABLE_DESCRIPTION_3</vt:lpstr>
      <vt:lpstr>'x-717'!TABLE_DESCRIPTION_4</vt:lpstr>
      <vt:lpstr>TABLE_FACTOR_STATUS</vt:lpstr>
      <vt:lpstr>'x-001'!TABLE_FACTOR_STATUS_1</vt:lpstr>
      <vt:lpstr>'x-201'!TABLE_FACTOR_STATUS_1</vt:lpstr>
      <vt:lpstr>'x-202'!TABLE_FACTOR_STATUS_1</vt:lpstr>
      <vt:lpstr>'x-203'!TABLE_FACTOR_STATUS_1</vt:lpstr>
      <vt:lpstr>'x-204'!TABLE_FACTOR_STATUS_1</vt:lpstr>
      <vt:lpstr>'x-206'!TABLE_FACTOR_STATUS_1</vt:lpstr>
      <vt:lpstr>'x-207'!TABLE_FACTOR_STATUS_1</vt:lpstr>
      <vt:lpstr>'x-208'!TABLE_FACTOR_STATUS_1</vt:lpstr>
      <vt:lpstr>'x-210'!TABLE_FACTOR_STATUS_1</vt:lpstr>
      <vt:lpstr>'x-211'!TABLE_FACTOR_STATUS_1</vt:lpstr>
      <vt:lpstr>'x-214'!TABLE_FACTOR_STATUS_1</vt:lpstr>
      <vt:lpstr>'x-215'!TABLE_FACTOR_STATUS_1</vt:lpstr>
      <vt:lpstr>'x-216'!TABLE_FACTOR_STATUS_1</vt:lpstr>
      <vt:lpstr>'x-217'!TABLE_FACTOR_STATUS_1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'x-501'!TABLE_FACTOR_STATUS_1</vt:lpstr>
      <vt:lpstr>'x-502'!TABLE_FACTOR_STATUS_1</vt:lpstr>
      <vt:lpstr>'x-503'!TABLE_FACTOR_STATUS_1</vt:lpstr>
      <vt:lpstr>'x-504'!TABLE_FACTOR_STATUS_1</vt:lpstr>
      <vt:lpstr>'x-601'!TABLE_FACTOR_STATUS_1</vt:lpstr>
      <vt:lpstr>'x-603'!TABLE_FACTOR_STATUS_1</vt:lpstr>
      <vt:lpstr>'x-604'!TABLE_FACTOR_STATUS_1</vt:lpstr>
      <vt:lpstr>'x-605'!TABLE_FACTOR_STATUS_1</vt:lpstr>
      <vt:lpstr>'x-606'!TABLE_FACTOR_STATUS_1</vt:lpstr>
      <vt:lpstr>'x-607'!TABLE_FACTOR_STATUS_1</vt:lpstr>
      <vt:lpstr>'x-608'!TABLE_FACTOR_STATUS_1</vt:lpstr>
      <vt:lpstr>'x-610'!TABLE_FACTOR_STATUS_1</vt:lpstr>
      <vt:lpstr>'x-611'!TABLE_FACTOR_STATUS_1</vt:lpstr>
      <vt:lpstr>'x-612'!TABLE_FACTOR_STATUS_1</vt:lpstr>
      <vt:lpstr>'x-613'!TABLE_FACTOR_STATUS_1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'x-717'!TABLE_FACTOR_STATUS_1</vt:lpstr>
      <vt:lpstr>'x-718'!TABLE_FACTOR_STATUS_1</vt:lpstr>
      <vt:lpstr>'x-719'!TABLE_FACTOR_STATUS_1</vt:lpstr>
      <vt:lpstr>'x-720'!TABLE_FACTOR_STATUS_1</vt:lpstr>
      <vt:lpstr>'x-721'!TABLE_FACTOR_STATUS_1</vt:lpstr>
      <vt:lpstr>'x-722'!TABLE_FACTOR_STATUS_1</vt:lpstr>
      <vt:lpstr>'x-723'!TABLE_FACTOR_STATUS_1</vt:lpstr>
      <vt:lpstr>'x-724'!TABLE_FACTOR_STATUS_1</vt:lpstr>
      <vt:lpstr>'x-725'!TABLE_FACTOR_STATUS_1</vt:lpstr>
      <vt:lpstr>'x-726'!TABLE_FACTOR_STATUS_1</vt:lpstr>
      <vt:lpstr>'x-727'!TABLE_FACTOR_STATUS_1</vt:lpstr>
      <vt:lpstr>'x-728'!TABLE_FACTOR_STATUS_1</vt:lpstr>
      <vt:lpstr>'x-729'!TABLE_FACTOR_STATUS_1</vt:lpstr>
      <vt:lpstr>'x-811'!TABLE_FACTOR_STATUS_1</vt:lpstr>
      <vt:lpstr>'x-812'!TABLE_FACTOR_STATUS_1</vt:lpstr>
      <vt:lpstr>'x-813'!TABLE_FACTOR_STATUS_1</vt:lpstr>
      <vt:lpstr>'x-814'!TABLE_FACTOR_STATUS_1</vt:lpstr>
      <vt:lpstr>'x-815'!TABLE_FACTOR_STATUS_1</vt:lpstr>
      <vt:lpstr>'x-001'!TABLE_FACTOR_STATUS_2</vt:lpstr>
      <vt:lpstr>'x-408'!TABLE_FACTOR_STATUS_2</vt:lpstr>
      <vt:lpstr>'x-412'!TABLE_FACTOR_STATUS_2</vt:lpstr>
      <vt:lpstr>'x-610'!TABLE_FACTOR_STATUS_2</vt:lpstr>
      <vt:lpstr>'x-611'!TABLE_FACTOR_STATUS_2</vt:lpstr>
      <vt:lpstr>'x-717'!TABLE_FACTOR_STATUS_2</vt:lpstr>
      <vt:lpstr>'x-718'!TABLE_FACTOR_STATUS_2</vt:lpstr>
      <vt:lpstr>'x-719'!TABLE_FACTOR_STATUS_2</vt:lpstr>
      <vt:lpstr>'x-728'!TABLE_FACTOR_STATUS_2</vt:lpstr>
      <vt:lpstr>'x-717'!TABLE_FACTOR_STATUS_3</vt:lpstr>
      <vt:lpstr>'x-718'!TABLE_FACTOR_STATUS_3</vt:lpstr>
      <vt:lpstr>TABLE_FACTOR_TYPE</vt:lpstr>
      <vt:lpstr>'x-001'!TABLE_FACTOR_TYPE_1</vt:lpstr>
      <vt:lpstr>'x-201'!TABLE_FACTOR_TYPE_1</vt:lpstr>
      <vt:lpstr>'x-202'!TABLE_FACTOR_TYPE_1</vt:lpstr>
      <vt:lpstr>'x-203'!TABLE_FACTOR_TYPE_1</vt:lpstr>
      <vt:lpstr>'x-204'!TABLE_FACTOR_TYPE_1</vt:lpstr>
      <vt:lpstr>'x-206'!TABLE_FACTOR_TYPE_1</vt:lpstr>
      <vt:lpstr>'x-207'!TABLE_FACTOR_TYPE_1</vt:lpstr>
      <vt:lpstr>'x-208'!TABLE_FACTOR_TYPE_1</vt:lpstr>
      <vt:lpstr>'x-210'!TABLE_FACTOR_TYPE_1</vt:lpstr>
      <vt:lpstr>'x-211'!TABLE_FACTOR_TYPE_1</vt:lpstr>
      <vt:lpstr>'x-214'!TABLE_FACTOR_TYPE_1</vt:lpstr>
      <vt:lpstr>'x-215'!TABLE_FACTOR_TYPE_1</vt:lpstr>
      <vt:lpstr>'x-216'!TABLE_FACTOR_TYPE_1</vt:lpstr>
      <vt:lpstr>'x-217'!TABLE_FACTOR_TYPE_1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'x-501'!TABLE_FACTOR_TYPE_1</vt:lpstr>
      <vt:lpstr>'x-502'!TABLE_FACTOR_TYPE_1</vt:lpstr>
      <vt:lpstr>'x-503'!TABLE_FACTOR_TYPE_1</vt:lpstr>
      <vt:lpstr>'x-504'!TABLE_FACTOR_TYPE_1</vt:lpstr>
      <vt:lpstr>'x-601'!TABLE_FACTOR_TYPE_1</vt:lpstr>
      <vt:lpstr>'x-603'!TABLE_FACTOR_TYPE_1</vt:lpstr>
      <vt:lpstr>'x-604'!TABLE_FACTOR_TYPE_1</vt:lpstr>
      <vt:lpstr>'x-605'!TABLE_FACTOR_TYPE_1</vt:lpstr>
      <vt:lpstr>'x-606'!TABLE_FACTOR_TYPE_1</vt:lpstr>
      <vt:lpstr>'x-607'!TABLE_FACTOR_TYPE_1</vt:lpstr>
      <vt:lpstr>'x-608'!TABLE_FACTOR_TYPE_1</vt:lpstr>
      <vt:lpstr>'x-610'!TABLE_FACTOR_TYPE_1</vt:lpstr>
      <vt:lpstr>'x-611'!TABLE_FACTOR_TYPE_1</vt:lpstr>
      <vt:lpstr>'x-612'!TABLE_FACTOR_TYPE_1</vt:lpstr>
      <vt:lpstr>'x-613'!TABLE_FACTOR_TYPE_1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'x-717'!TABLE_FACTOR_TYPE_1</vt:lpstr>
      <vt:lpstr>'x-718'!TABLE_FACTOR_TYPE_1</vt:lpstr>
      <vt:lpstr>'x-719'!TABLE_FACTOR_TYPE_1</vt:lpstr>
      <vt:lpstr>'x-720'!TABLE_FACTOR_TYPE_1</vt:lpstr>
      <vt:lpstr>'x-721'!TABLE_FACTOR_TYPE_1</vt:lpstr>
      <vt:lpstr>'x-722'!TABLE_FACTOR_TYPE_1</vt:lpstr>
      <vt:lpstr>'x-723'!TABLE_FACTOR_TYPE_1</vt:lpstr>
      <vt:lpstr>'x-724'!TABLE_FACTOR_TYPE_1</vt:lpstr>
      <vt:lpstr>'x-725'!TABLE_FACTOR_TYPE_1</vt:lpstr>
      <vt:lpstr>'x-726'!TABLE_FACTOR_TYPE_1</vt:lpstr>
      <vt:lpstr>'x-727'!TABLE_FACTOR_TYPE_1</vt:lpstr>
      <vt:lpstr>'x-728'!TABLE_FACTOR_TYPE_1</vt:lpstr>
      <vt:lpstr>'x-729'!TABLE_FACTOR_TYPE_1</vt:lpstr>
      <vt:lpstr>'x-811'!TABLE_FACTOR_TYPE_1</vt:lpstr>
      <vt:lpstr>'x-812'!TABLE_FACTOR_TYPE_1</vt:lpstr>
      <vt:lpstr>'x-813'!TABLE_FACTOR_TYPE_1</vt:lpstr>
      <vt:lpstr>'x-814'!TABLE_FACTOR_TYPE_1</vt:lpstr>
      <vt:lpstr>'x-815'!TABLE_FACTOR_TYPE_1</vt:lpstr>
      <vt:lpstr>'x-001'!TABLE_FACTOR_TYPE_2</vt:lpstr>
      <vt:lpstr>'x-408'!TABLE_FACTOR_TYPE_2</vt:lpstr>
      <vt:lpstr>'x-412'!TABLE_FACTOR_TYPE_2</vt:lpstr>
      <vt:lpstr>'x-610'!TABLE_FACTOR_TYPE_2</vt:lpstr>
      <vt:lpstr>'x-611'!TABLE_FACTOR_TYPE_2</vt:lpstr>
      <vt:lpstr>'x-717'!TABLE_FACTOR_TYPE_2</vt:lpstr>
      <vt:lpstr>'x-718'!TABLE_FACTOR_TYPE_2</vt:lpstr>
      <vt:lpstr>'x-719'!TABLE_FACTOR_TYPE_2</vt:lpstr>
      <vt:lpstr>'x-728'!TABLE_FACTOR_TYPE_2</vt:lpstr>
      <vt:lpstr>'x-717'!TABLE_FACTOR_TYPE_3</vt:lpstr>
      <vt:lpstr>'x-718'!TABLE_FACTOR_TYPE_3</vt:lpstr>
      <vt:lpstr>'x-717'!TABLE_FACTOR_TYPE_4</vt:lpstr>
      <vt:lpstr>TABLE_GENDER</vt:lpstr>
      <vt:lpstr>'x-001'!TABLE_GENDER_1</vt:lpstr>
      <vt:lpstr>'x-201'!TABLE_GENDER_1</vt:lpstr>
      <vt:lpstr>'x-202'!TABLE_GENDER_1</vt:lpstr>
      <vt:lpstr>'x-203'!TABLE_GENDER_1</vt:lpstr>
      <vt:lpstr>'x-204'!TABLE_GENDER_1</vt:lpstr>
      <vt:lpstr>'x-206'!TABLE_GENDER_1</vt:lpstr>
      <vt:lpstr>'x-207'!TABLE_GENDER_1</vt:lpstr>
      <vt:lpstr>'x-208'!TABLE_GENDER_1</vt:lpstr>
      <vt:lpstr>'x-210'!TABLE_GENDER_1</vt:lpstr>
      <vt:lpstr>'x-211'!TABLE_GENDER_1</vt:lpstr>
      <vt:lpstr>'x-214'!TABLE_GENDER_1</vt:lpstr>
      <vt:lpstr>'x-215'!TABLE_GENDER_1</vt:lpstr>
      <vt:lpstr>'x-216'!TABLE_GENDER_1</vt:lpstr>
      <vt:lpstr>'x-217'!TABLE_GENDER_1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'x-424'!TABLE_GENDER_1</vt:lpstr>
      <vt:lpstr>'x-501'!TABLE_GENDER_1</vt:lpstr>
      <vt:lpstr>'x-502'!TABLE_GENDER_1</vt:lpstr>
      <vt:lpstr>'x-503'!TABLE_GENDER_1</vt:lpstr>
      <vt:lpstr>'x-504'!TABLE_GENDER_1</vt:lpstr>
      <vt:lpstr>'x-601'!TABLE_GENDER_1</vt:lpstr>
      <vt:lpstr>'x-603'!TABLE_GENDER_1</vt:lpstr>
      <vt:lpstr>'x-604'!TABLE_GENDER_1</vt:lpstr>
      <vt:lpstr>'x-605'!TABLE_GENDER_1</vt:lpstr>
      <vt:lpstr>'x-606'!TABLE_GENDER_1</vt:lpstr>
      <vt:lpstr>'x-607'!TABLE_GENDER_1</vt:lpstr>
      <vt:lpstr>'x-608'!TABLE_GENDER_1</vt:lpstr>
      <vt:lpstr>'x-610'!TABLE_GENDER_1</vt:lpstr>
      <vt:lpstr>'x-611'!TABLE_GENDER_1</vt:lpstr>
      <vt:lpstr>'x-612'!TABLE_GENDER_1</vt:lpstr>
      <vt:lpstr>'x-613'!TABLE_GENDER_1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'x-717'!TABLE_GENDER_1</vt:lpstr>
      <vt:lpstr>'x-718'!TABLE_GENDER_1</vt:lpstr>
      <vt:lpstr>'x-719'!TABLE_GENDER_1</vt:lpstr>
      <vt:lpstr>'x-720'!TABLE_GENDER_1</vt:lpstr>
      <vt:lpstr>'x-721'!TABLE_GENDER_1</vt:lpstr>
      <vt:lpstr>'x-722'!TABLE_GENDER_1</vt:lpstr>
      <vt:lpstr>'x-723'!TABLE_GENDER_1</vt:lpstr>
      <vt:lpstr>'x-724'!TABLE_GENDER_1</vt:lpstr>
      <vt:lpstr>'x-725'!TABLE_GENDER_1</vt:lpstr>
      <vt:lpstr>'x-726'!TABLE_GENDER_1</vt:lpstr>
      <vt:lpstr>'x-727'!TABLE_GENDER_1</vt:lpstr>
      <vt:lpstr>'x-728'!TABLE_GENDER_1</vt:lpstr>
      <vt:lpstr>'x-729'!TABLE_GENDER_1</vt:lpstr>
      <vt:lpstr>'x-811'!TABLE_GENDER_1</vt:lpstr>
      <vt:lpstr>'x-812'!TABLE_GENDER_1</vt:lpstr>
      <vt:lpstr>'x-813'!TABLE_GENDER_1</vt:lpstr>
      <vt:lpstr>'x-814'!TABLE_GENDER_1</vt:lpstr>
      <vt:lpstr>'x-815'!TABLE_GENDER_1</vt:lpstr>
      <vt:lpstr>'x-001'!TABLE_GENDER_2</vt:lpstr>
      <vt:lpstr>'x-408'!TABLE_GENDER_2</vt:lpstr>
      <vt:lpstr>'x-412'!TABLE_GENDER_2</vt:lpstr>
      <vt:lpstr>'x-610'!TABLE_GENDER_2</vt:lpstr>
      <vt:lpstr>'x-611'!TABLE_GENDER_2</vt:lpstr>
      <vt:lpstr>'x-717'!TABLE_GENDER_2</vt:lpstr>
      <vt:lpstr>'x-718'!TABLE_GENDER_2</vt:lpstr>
      <vt:lpstr>'x-719'!TABLE_GENDER_2</vt:lpstr>
      <vt:lpstr>'x-728'!TABLE_GENDER_2</vt:lpstr>
      <vt:lpstr>'x-717'!TABLE_GENDER_3</vt:lpstr>
      <vt:lpstr>'x-718'!TABLE_GENDER_3</vt:lpstr>
      <vt:lpstr>'x-717'!TABLE_GENDER_4</vt:lpstr>
      <vt:lpstr>TABLE_INFO</vt:lpstr>
      <vt:lpstr>'x-001'!TABLE_INFO_1</vt:lpstr>
      <vt:lpstr>'x-201'!TABLE_INFO_1</vt:lpstr>
      <vt:lpstr>'x-202'!TABLE_INFO_1</vt:lpstr>
      <vt:lpstr>'x-203'!TABLE_INFO_1</vt:lpstr>
      <vt:lpstr>'x-204'!TABLE_INFO_1</vt:lpstr>
      <vt:lpstr>'x-206'!TABLE_INFO_1</vt:lpstr>
      <vt:lpstr>'x-207'!TABLE_INFO_1</vt:lpstr>
      <vt:lpstr>'x-208'!TABLE_INFO_1</vt:lpstr>
      <vt:lpstr>'x-210'!TABLE_INFO_1</vt:lpstr>
      <vt:lpstr>'x-211'!TABLE_INFO_1</vt:lpstr>
      <vt:lpstr>'x-214'!TABLE_INFO_1</vt:lpstr>
      <vt:lpstr>'x-215'!TABLE_INFO_1</vt:lpstr>
      <vt:lpstr>'x-216'!TABLE_INFO_1</vt:lpstr>
      <vt:lpstr>'x-217'!TABLE_INFO_1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'x-416'!TABLE_INFO_1</vt:lpstr>
      <vt:lpstr>'x-417'!TABLE_INFO_1</vt:lpstr>
      <vt:lpstr>'x-418'!TABLE_INFO_1</vt:lpstr>
      <vt:lpstr>'x-419'!TABLE_INFO_1</vt:lpstr>
      <vt:lpstr>'x-420'!TABLE_INFO_1</vt:lpstr>
      <vt:lpstr>'x-421'!TABLE_INFO_1</vt:lpstr>
      <vt:lpstr>'x-422'!TABLE_INFO_1</vt:lpstr>
      <vt:lpstr>'x-423'!TABLE_INFO_1</vt:lpstr>
      <vt:lpstr>'x-424'!TABLE_INFO_1</vt:lpstr>
      <vt:lpstr>'x-501'!TABLE_INFO_1</vt:lpstr>
      <vt:lpstr>'x-502'!TABLE_INFO_1</vt:lpstr>
      <vt:lpstr>'x-503'!TABLE_INFO_1</vt:lpstr>
      <vt:lpstr>'x-504'!TABLE_INFO_1</vt:lpstr>
      <vt:lpstr>'x-601'!TABLE_INFO_1</vt:lpstr>
      <vt:lpstr>'x-603'!TABLE_INFO_1</vt:lpstr>
      <vt:lpstr>'x-604'!TABLE_INFO_1</vt:lpstr>
      <vt:lpstr>'x-605'!TABLE_INFO_1</vt:lpstr>
      <vt:lpstr>'x-606'!TABLE_INFO_1</vt:lpstr>
      <vt:lpstr>'x-607'!TABLE_INFO_1</vt:lpstr>
      <vt:lpstr>'x-608'!TABLE_INFO_1</vt:lpstr>
      <vt:lpstr>'x-610'!TABLE_INFO_1</vt:lpstr>
      <vt:lpstr>'x-611'!TABLE_INFO_1</vt:lpstr>
      <vt:lpstr>'x-612'!TABLE_INFO_1</vt:lpstr>
      <vt:lpstr>'x-613'!TABLE_INFO_1</vt:lpstr>
      <vt:lpstr>'x-701'!TABLE_INFO_1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'x-717'!TABLE_INFO_1</vt:lpstr>
      <vt:lpstr>'x-718'!TABLE_INFO_1</vt:lpstr>
      <vt:lpstr>'x-719'!TABLE_INFO_1</vt:lpstr>
      <vt:lpstr>'x-720'!TABLE_INFO_1</vt:lpstr>
      <vt:lpstr>'x-721'!TABLE_INFO_1</vt:lpstr>
      <vt:lpstr>'x-722'!TABLE_INFO_1</vt:lpstr>
      <vt:lpstr>'x-723'!TABLE_INFO_1</vt:lpstr>
      <vt:lpstr>'x-724'!TABLE_INFO_1</vt:lpstr>
      <vt:lpstr>'x-725'!TABLE_INFO_1</vt:lpstr>
      <vt:lpstr>'x-726'!TABLE_INFO_1</vt:lpstr>
      <vt:lpstr>'x-727'!TABLE_INFO_1</vt:lpstr>
      <vt:lpstr>'x-728'!TABLE_INFO_1</vt:lpstr>
      <vt:lpstr>'x-729'!TABLE_INFO_1</vt:lpstr>
      <vt:lpstr>'x-811'!TABLE_INFO_1</vt:lpstr>
      <vt:lpstr>'x-812'!TABLE_INFO_1</vt:lpstr>
      <vt:lpstr>'x-813'!TABLE_INFO_1</vt:lpstr>
      <vt:lpstr>'x-814'!TABLE_INFO_1</vt:lpstr>
      <vt:lpstr>'x-815'!TABLE_INFO_1</vt:lpstr>
      <vt:lpstr>'x-001'!TABLE_INFO_2</vt:lpstr>
      <vt:lpstr>'x-408'!TABLE_INFO_2</vt:lpstr>
      <vt:lpstr>'x-412'!TABLE_INFO_2</vt:lpstr>
      <vt:lpstr>'x-610'!TABLE_INFO_2</vt:lpstr>
      <vt:lpstr>'x-611'!TABLE_INFO_2</vt:lpstr>
      <vt:lpstr>'x-717'!TABLE_INFO_2</vt:lpstr>
      <vt:lpstr>'x-718'!TABLE_INFO_2</vt:lpstr>
      <vt:lpstr>'x-719'!TABLE_INFO_2</vt:lpstr>
      <vt:lpstr>'x-728'!TABLE_INFO_2</vt:lpstr>
      <vt:lpstr>'x-717'!TABLE_INFO_3</vt:lpstr>
      <vt:lpstr>'x-718'!TABLE_INFO_3</vt:lpstr>
      <vt:lpstr>'x-717'!TABLE_INFO_4</vt:lpstr>
      <vt:lpstr>TABLE_REFERENCE</vt:lpstr>
      <vt:lpstr>'x-001'!TABLE_REFERENCE_1</vt:lpstr>
      <vt:lpstr>'x-201'!TABLE_REFERENCE_1</vt:lpstr>
      <vt:lpstr>'x-202'!TABLE_REFERENCE_1</vt:lpstr>
      <vt:lpstr>'x-203'!TABLE_REFERENCE_1</vt:lpstr>
      <vt:lpstr>'x-204'!TABLE_REFERENCE_1</vt:lpstr>
      <vt:lpstr>'x-206'!TABLE_REFERENCE_1</vt:lpstr>
      <vt:lpstr>'x-207'!TABLE_REFERENCE_1</vt:lpstr>
      <vt:lpstr>'x-208'!TABLE_REFERENCE_1</vt:lpstr>
      <vt:lpstr>'x-210'!TABLE_REFERENCE_1</vt:lpstr>
      <vt:lpstr>'x-211'!TABLE_REFERENCE_1</vt:lpstr>
      <vt:lpstr>'x-214'!TABLE_REFERENCE_1</vt:lpstr>
      <vt:lpstr>'x-215'!TABLE_REFERENCE_1</vt:lpstr>
      <vt:lpstr>'x-216'!TABLE_REFERENCE_1</vt:lpstr>
      <vt:lpstr>'x-217'!TABLE_REFERENCE_1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'x-501'!TABLE_REFERENCE_1</vt:lpstr>
      <vt:lpstr>'x-502'!TABLE_REFERENCE_1</vt:lpstr>
      <vt:lpstr>'x-503'!TABLE_REFERENCE_1</vt:lpstr>
      <vt:lpstr>'x-504'!TABLE_REFERENCE_1</vt:lpstr>
      <vt:lpstr>'x-601'!TABLE_REFERENCE_1</vt:lpstr>
      <vt:lpstr>'x-603'!TABLE_REFERENCE_1</vt:lpstr>
      <vt:lpstr>'x-604'!TABLE_REFERENCE_1</vt:lpstr>
      <vt:lpstr>'x-605'!TABLE_REFERENCE_1</vt:lpstr>
      <vt:lpstr>'x-606'!TABLE_REFERENCE_1</vt:lpstr>
      <vt:lpstr>'x-607'!TABLE_REFERENCE_1</vt:lpstr>
      <vt:lpstr>'x-608'!TABLE_REFERENCE_1</vt:lpstr>
      <vt:lpstr>'x-610'!TABLE_REFERENCE_1</vt:lpstr>
      <vt:lpstr>'x-611'!TABLE_REFERENCE_1</vt:lpstr>
      <vt:lpstr>'x-612'!TABLE_REFERENCE_1</vt:lpstr>
      <vt:lpstr>'x-613'!TABLE_REFERENCE_1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'x-717'!TABLE_REFERENCE_1</vt:lpstr>
      <vt:lpstr>'x-718'!TABLE_REFERENCE_1</vt:lpstr>
      <vt:lpstr>'x-719'!TABLE_REFERENCE_1</vt:lpstr>
      <vt:lpstr>'x-720'!TABLE_REFERENCE_1</vt:lpstr>
      <vt:lpstr>'x-721'!TABLE_REFERENCE_1</vt:lpstr>
      <vt:lpstr>'x-722'!TABLE_REFERENCE_1</vt:lpstr>
      <vt:lpstr>'x-723'!TABLE_REFERENCE_1</vt:lpstr>
      <vt:lpstr>'x-724'!TABLE_REFERENCE_1</vt:lpstr>
      <vt:lpstr>'x-725'!TABLE_REFERENCE_1</vt:lpstr>
      <vt:lpstr>'x-726'!TABLE_REFERENCE_1</vt:lpstr>
      <vt:lpstr>'x-727'!TABLE_REFERENCE_1</vt:lpstr>
      <vt:lpstr>'x-728'!TABLE_REFERENCE_1</vt:lpstr>
      <vt:lpstr>'x-729'!TABLE_REFERENCE_1</vt:lpstr>
      <vt:lpstr>'x-811'!TABLE_REFERENCE_1</vt:lpstr>
      <vt:lpstr>'x-812'!TABLE_REFERENCE_1</vt:lpstr>
      <vt:lpstr>'x-813'!TABLE_REFERENCE_1</vt:lpstr>
      <vt:lpstr>'x-814'!TABLE_REFERENCE_1</vt:lpstr>
      <vt:lpstr>'x-815'!TABLE_REFERENCE_1</vt:lpstr>
      <vt:lpstr>'x-001'!TABLE_REFERENCE_2</vt:lpstr>
      <vt:lpstr>'x-408'!TABLE_REFERENCE_2</vt:lpstr>
      <vt:lpstr>'x-412'!TABLE_REFERENCE_2</vt:lpstr>
      <vt:lpstr>'x-610'!TABLE_REFERENCE_2</vt:lpstr>
      <vt:lpstr>'x-611'!TABLE_REFERENCE_2</vt:lpstr>
      <vt:lpstr>'x-717'!TABLE_REFERENCE_2</vt:lpstr>
      <vt:lpstr>'x-718'!TABLE_REFERENCE_2</vt:lpstr>
      <vt:lpstr>'x-719'!TABLE_REFERENCE_2</vt:lpstr>
      <vt:lpstr>'x-728'!TABLE_REFERENCE_2</vt:lpstr>
      <vt:lpstr>'x-717'!TABLE_REFERENCE_3</vt:lpstr>
      <vt:lpstr>'x-718'!TABLE_REFERENCE_3</vt:lpstr>
      <vt:lpstr>'x-717'!TABLE_REFERENCE_4</vt:lpstr>
      <vt:lpstr>TABLE_REFERENCE_GUIDANCE</vt:lpstr>
      <vt:lpstr>'x-001'!TABLE_REFERENCE_GUIDANCE_1</vt:lpstr>
      <vt:lpstr>'x-201'!TABLE_REFERENCE_GUIDANCE_1</vt:lpstr>
      <vt:lpstr>'x-202'!TABLE_REFERENCE_GUIDANCE_1</vt:lpstr>
      <vt:lpstr>'x-203'!TABLE_REFERENCE_GUIDANCE_1</vt:lpstr>
      <vt:lpstr>'x-204'!TABLE_REFERENCE_GUIDANCE_1</vt:lpstr>
      <vt:lpstr>'x-206'!TABLE_REFERENCE_GUIDANCE_1</vt:lpstr>
      <vt:lpstr>'x-207'!TABLE_REFERENCE_GUIDANCE_1</vt:lpstr>
      <vt:lpstr>'x-208'!TABLE_REFERENCE_GUIDANCE_1</vt:lpstr>
      <vt:lpstr>'x-210'!TABLE_REFERENCE_GUIDANCE_1</vt:lpstr>
      <vt:lpstr>'x-211'!TABLE_REFERENCE_GUIDANCE_1</vt:lpstr>
      <vt:lpstr>'x-214'!TABLE_REFERENCE_GUIDANCE_1</vt:lpstr>
      <vt:lpstr>'x-215'!TABLE_REFERENCE_GUIDANCE_1</vt:lpstr>
      <vt:lpstr>'x-216'!TABLE_REFERENCE_GUIDANCE_1</vt:lpstr>
      <vt:lpstr>'x-217'!TABLE_REFERENCE_GUIDANCE_1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'x-501'!TABLE_REFERENCE_GUIDANCE_1</vt:lpstr>
      <vt:lpstr>'x-502'!TABLE_REFERENCE_GUIDANCE_1</vt:lpstr>
      <vt:lpstr>'x-503'!TABLE_REFERENCE_GUIDANCE_1</vt:lpstr>
      <vt:lpstr>'x-504'!TABLE_REFERENCE_GUIDANCE_1</vt:lpstr>
      <vt:lpstr>'x-601'!TABLE_REFERENCE_GUIDANCE_1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'x-610'!TABLE_REFERENCE_GUIDANCE_1</vt:lpstr>
      <vt:lpstr>'x-611'!TABLE_REFERENCE_GUIDANCE_1</vt:lpstr>
      <vt:lpstr>'x-612'!TABLE_REFERENCE_GUIDANCE_1</vt:lpstr>
      <vt:lpstr>'x-613'!TABLE_REFERENCE_GUIDANCE_1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'x-723'!TABLE_REFERENCE_GUIDANCE_1</vt:lpstr>
      <vt:lpstr>'x-724'!TABLE_REFERENCE_GUIDANCE_1</vt:lpstr>
      <vt:lpstr>'x-725'!TABLE_REFERENCE_GUIDANCE_1</vt:lpstr>
      <vt:lpstr>'x-726'!TABLE_REFERENCE_GUIDANCE_1</vt:lpstr>
      <vt:lpstr>'x-727'!TABLE_REFERENCE_GUIDANCE_1</vt:lpstr>
      <vt:lpstr>'x-728'!TABLE_REFERENCE_GUIDANCE_1</vt:lpstr>
      <vt:lpstr>'x-729'!TABLE_REFERENCE_GUIDANCE_1</vt:lpstr>
      <vt:lpstr>'x-811'!TABLE_REFERENCE_GUIDANCE_1</vt:lpstr>
      <vt:lpstr>'x-812'!TABLE_REFERENCE_GUIDANCE_1</vt:lpstr>
      <vt:lpstr>'x-813'!TABLE_REFERENCE_GUIDANCE_1</vt:lpstr>
      <vt:lpstr>'x-814'!TABLE_REFERENCE_GUIDANCE_1</vt:lpstr>
      <vt:lpstr>'x-815'!TABLE_REFERENCE_GUIDANCE_1</vt:lpstr>
      <vt:lpstr>'x-001'!TABLE_REFERENCE_GUIDANCE_2</vt:lpstr>
      <vt:lpstr>'x-408'!TABLE_REFERENCE_GUIDANCE_2</vt:lpstr>
      <vt:lpstr>'x-412'!TABLE_REFERENCE_GUIDANCE_2</vt:lpstr>
      <vt:lpstr>'x-610'!TABLE_REFERENCE_GUIDANCE_2</vt:lpstr>
      <vt:lpstr>'x-611'!TABLE_REFERENCE_GUIDANCE_2</vt:lpstr>
      <vt:lpstr>'x-717'!TABLE_REFERENCE_GUIDANCE_2</vt:lpstr>
      <vt:lpstr>'x-718'!TABLE_REFERENCE_GUIDANCE_2</vt:lpstr>
      <vt:lpstr>'x-719'!TABLE_REFERENCE_GUIDANCE_2</vt:lpstr>
      <vt:lpstr>'x-728'!TABLE_REFERENCE_GUIDANCE_2</vt:lpstr>
      <vt:lpstr>'x-717'!TABLE_REFERENCE_GUIDANCE_3</vt:lpstr>
      <vt:lpstr>'x-718'!TABLE_REFERENCE_GUIDANCE_3</vt:lpstr>
      <vt:lpstr>'x-717'!TABLE_REFERENCE_GUIDANCE_4</vt:lpstr>
      <vt:lpstr>TABLE_RELATED</vt:lpstr>
      <vt:lpstr>'x-001'!TABLE_RELATED_1</vt:lpstr>
      <vt:lpstr>'x-201'!TABLE_RELATED_1</vt:lpstr>
      <vt:lpstr>'x-202'!TABLE_RELATED_1</vt:lpstr>
      <vt:lpstr>'x-203'!TABLE_RELATED_1</vt:lpstr>
      <vt:lpstr>'x-204'!TABLE_RELATED_1</vt:lpstr>
      <vt:lpstr>'x-206'!TABLE_RELATED_1</vt:lpstr>
      <vt:lpstr>'x-207'!TABLE_RELATED_1</vt:lpstr>
      <vt:lpstr>'x-208'!TABLE_RELATED_1</vt:lpstr>
      <vt:lpstr>'x-210'!TABLE_RELATED_1</vt:lpstr>
      <vt:lpstr>'x-211'!TABLE_RELATED_1</vt:lpstr>
      <vt:lpstr>'x-214'!TABLE_RELATED_1</vt:lpstr>
      <vt:lpstr>'x-215'!TABLE_RELATED_1</vt:lpstr>
      <vt:lpstr>'x-216'!TABLE_RELATED_1</vt:lpstr>
      <vt:lpstr>'x-217'!TABLE_RELATED_1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'x-424'!TABLE_RELATED_1</vt:lpstr>
      <vt:lpstr>'x-501'!TABLE_RELATED_1</vt:lpstr>
      <vt:lpstr>'x-502'!TABLE_RELATED_1</vt:lpstr>
      <vt:lpstr>'x-503'!TABLE_RELATED_1</vt:lpstr>
      <vt:lpstr>'x-504'!TABLE_RELATED_1</vt:lpstr>
      <vt:lpstr>'x-601'!TABLE_RELATED_1</vt:lpstr>
      <vt:lpstr>'x-603'!TABLE_RELATED_1</vt:lpstr>
      <vt:lpstr>'x-604'!TABLE_RELATED_1</vt:lpstr>
      <vt:lpstr>'x-605'!TABLE_RELATED_1</vt:lpstr>
      <vt:lpstr>'x-606'!TABLE_RELATED_1</vt:lpstr>
      <vt:lpstr>'x-607'!TABLE_RELATED_1</vt:lpstr>
      <vt:lpstr>'x-608'!TABLE_RELATED_1</vt:lpstr>
      <vt:lpstr>'x-610'!TABLE_RELATED_1</vt:lpstr>
      <vt:lpstr>'x-611'!TABLE_RELATED_1</vt:lpstr>
      <vt:lpstr>'x-612'!TABLE_RELATED_1</vt:lpstr>
      <vt:lpstr>'x-613'!TABLE_RELATED_1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'x-717'!TABLE_RELATED_1</vt:lpstr>
      <vt:lpstr>'x-718'!TABLE_RELATED_1</vt:lpstr>
      <vt:lpstr>'x-719'!TABLE_RELATED_1</vt:lpstr>
      <vt:lpstr>'x-720'!TABLE_RELATED_1</vt:lpstr>
      <vt:lpstr>'x-721'!TABLE_RELATED_1</vt:lpstr>
      <vt:lpstr>'x-722'!TABLE_RELATED_1</vt:lpstr>
      <vt:lpstr>'x-723'!TABLE_RELATED_1</vt:lpstr>
      <vt:lpstr>'x-724'!TABLE_RELATED_1</vt:lpstr>
      <vt:lpstr>'x-725'!TABLE_RELATED_1</vt:lpstr>
      <vt:lpstr>'x-726'!TABLE_RELATED_1</vt:lpstr>
      <vt:lpstr>'x-727'!TABLE_RELATED_1</vt:lpstr>
      <vt:lpstr>'x-728'!TABLE_RELATED_1</vt:lpstr>
      <vt:lpstr>'x-729'!TABLE_RELATED_1</vt:lpstr>
      <vt:lpstr>'x-811'!TABLE_RELATED_1</vt:lpstr>
      <vt:lpstr>'x-812'!TABLE_RELATED_1</vt:lpstr>
      <vt:lpstr>'x-813'!TABLE_RELATED_1</vt:lpstr>
      <vt:lpstr>'x-814'!TABLE_RELATED_1</vt:lpstr>
      <vt:lpstr>'x-815'!TABLE_RELATED_1</vt:lpstr>
      <vt:lpstr>'x-001'!TABLE_RELATED_2</vt:lpstr>
      <vt:lpstr>'x-408'!TABLE_RELATED_2</vt:lpstr>
      <vt:lpstr>'x-412'!TABLE_RELATED_2</vt:lpstr>
      <vt:lpstr>'x-610'!TABLE_RELATED_2</vt:lpstr>
      <vt:lpstr>'x-611'!TABLE_RELATED_2</vt:lpstr>
      <vt:lpstr>'x-717'!TABLE_RELATED_2</vt:lpstr>
      <vt:lpstr>'x-718'!TABLE_RELATED_2</vt:lpstr>
      <vt:lpstr>'x-719'!TABLE_RELATED_2</vt:lpstr>
      <vt:lpstr>'x-728'!TABLE_RELATED_2</vt:lpstr>
      <vt:lpstr>'x-717'!TABLE_RELATED_3</vt:lpstr>
      <vt:lpstr>'x-718'!TABLE_RELATED_3</vt:lpstr>
      <vt:lpstr>'x-717'!TABLE_RELATED_4</vt:lpstr>
      <vt:lpstr>TABLE_SECTION</vt:lpstr>
      <vt:lpstr>'x-001'!TABLE_SECTION_1</vt:lpstr>
      <vt:lpstr>'x-201'!TABLE_SECTION_1</vt:lpstr>
      <vt:lpstr>'x-202'!TABLE_SECTION_1</vt:lpstr>
      <vt:lpstr>'x-203'!TABLE_SECTION_1</vt:lpstr>
      <vt:lpstr>'x-204'!TABLE_SECTION_1</vt:lpstr>
      <vt:lpstr>'x-206'!TABLE_SECTION_1</vt:lpstr>
      <vt:lpstr>'x-207'!TABLE_SECTION_1</vt:lpstr>
      <vt:lpstr>'x-208'!TABLE_SECTION_1</vt:lpstr>
      <vt:lpstr>'x-210'!TABLE_SECTION_1</vt:lpstr>
      <vt:lpstr>'x-211'!TABLE_SECTION_1</vt:lpstr>
      <vt:lpstr>'x-214'!TABLE_SECTION_1</vt:lpstr>
      <vt:lpstr>'x-215'!TABLE_SECTION_1</vt:lpstr>
      <vt:lpstr>'x-216'!TABLE_SECTION_1</vt:lpstr>
      <vt:lpstr>'x-217'!TABLE_SECTION_1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'x-424'!TABLE_SECTION_1</vt:lpstr>
      <vt:lpstr>'x-501'!TABLE_SECTION_1</vt:lpstr>
      <vt:lpstr>'x-502'!TABLE_SECTION_1</vt:lpstr>
      <vt:lpstr>'x-503'!TABLE_SECTION_1</vt:lpstr>
      <vt:lpstr>'x-504'!TABLE_SECTION_1</vt:lpstr>
      <vt:lpstr>'x-601'!TABLE_SECTION_1</vt:lpstr>
      <vt:lpstr>'x-603'!TABLE_SECTION_1</vt:lpstr>
      <vt:lpstr>'x-604'!TABLE_SECTION_1</vt:lpstr>
      <vt:lpstr>'x-605'!TABLE_SECTION_1</vt:lpstr>
      <vt:lpstr>'x-606'!TABLE_SECTION_1</vt:lpstr>
      <vt:lpstr>'x-607'!TABLE_SECTION_1</vt:lpstr>
      <vt:lpstr>'x-608'!TABLE_SECTION_1</vt:lpstr>
      <vt:lpstr>'x-610'!TABLE_SECTION_1</vt:lpstr>
      <vt:lpstr>'x-611'!TABLE_SECTION_1</vt:lpstr>
      <vt:lpstr>'x-612'!TABLE_SECTION_1</vt:lpstr>
      <vt:lpstr>'x-613'!TABLE_SECTION_1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'x-717'!TABLE_SECTION_1</vt:lpstr>
      <vt:lpstr>'x-718'!TABLE_SECTION_1</vt:lpstr>
      <vt:lpstr>'x-719'!TABLE_SECTION_1</vt:lpstr>
      <vt:lpstr>'x-720'!TABLE_SECTION_1</vt:lpstr>
      <vt:lpstr>'x-721'!TABLE_SECTION_1</vt:lpstr>
      <vt:lpstr>'x-722'!TABLE_SECTION_1</vt:lpstr>
      <vt:lpstr>'x-723'!TABLE_SECTION_1</vt:lpstr>
      <vt:lpstr>'x-724'!TABLE_SECTION_1</vt:lpstr>
      <vt:lpstr>'x-725'!TABLE_SECTION_1</vt:lpstr>
      <vt:lpstr>'x-726'!TABLE_SECTION_1</vt:lpstr>
      <vt:lpstr>'x-727'!TABLE_SECTION_1</vt:lpstr>
      <vt:lpstr>'x-728'!TABLE_SECTION_1</vt:lpstr>
      <vt:lpstr>'x-729'!TABLE_SECTION_1</vt:lpstr>
      <vt:lpstr>'x-811'!TABLE_SECTION_1</vt:lpstr>
      <vt:lpstr>'x-812'!TABLE_SECTION_1</vt:lpstr>
      <vt:lpstr>'x-813'!TABLE_SECTION_1</vt:lpstr>
      <vt:lpstr>'x-814'!TABLE_SECTION_1</vt:lpstr>
      <vt:lpstr>'x-815'!TABLE_SECTION_1</vt:lpstr>
      <vt:lpstr>'x-001'!TABLE_SECTION_2</vt:lpstr>
      <vt:lpstr>'x-408'!TABLE_SECTION_2</vt:lpstr>
      <vt:lpstr>'x-412'!TABLE_SECTION_2</vt:lpstr>
      <vt:lpstr>'x-610'!TABLE_SECTION_2</vt:lpstr>
      <vt:lpstr>'x-611'!TABLE_SECTION_2</vt:lpstr>
      <vt:lpstr>'x-717'!TABLE_SECTION_2</vt:lpstr>
      <vt:lpstr>'x-718'!TABLE_SECTION_2</vt:lpstr>
      <vt:lpstr>'x-719'!TABLE_SECTION_2</vt:lpstr>
      <vt:lpstr>'x-728'!TABLE_SECTION_2</vt:lpstr>
      <vt:lpstr>'x-717'!TABLE_SECTION_3</vt:lpstr>
      <vt:lpstr>'x-718'!TABLE_SECTION_3</vt:lpstr>
      <vt:lpstr>'x-717'!TABLE_SECTION_4</vt:lpstr>
      <vt:lpstr>TABLE_SECTION_NUMBER</vt:lpstr>
      <vt:lpstr>'x-001'!TABLE_SECTION_NUMBER_1</vt:lpstr>
      <vt:lpstr>'x-201'!TABLE_SECTION_NUMBER_1</vt:lpstr>
      <vt:lpstr>'x-202'!TABLE_SECTION_NUMBER_1</vt:lpstr>
      <vt:lpstr>'x-203'!TABLE_SECTION_NUMBER_1</vt:lpstr>
      <vt:lpstr>'x-204'!TABLE_SECTION_NUMBER_1</vt:lpstr>
      <vt:lpstr>'x-206'!TABLE_SECTION_NUMBER_1</vt:lpstr>
      <vt:lpstr>'x-207'!TABLE_SECTION_NUMBER_1</vt:lpstr>
      <vt:lpstr>'x-208'!TABLE_SECTION_NUMBER_1</vt:lpstr>
      <vt:lpstr>'x-210'!TABLE_SECTION_NUMBER_1</vt:lpstr>
      <vt:lpstr>'x-211'!TABLE_SECTION_NUMBER_1</vt:lpstr>
      <vt:lpstr>'x-214'!TABLE_SECTION_NUMBER_1</vt:lpstr>
      <vt:lpstr>'x-215'!TABLE_SECTION_NUMBER_1</vt:lpstr>
      <vt:lpstr>'x-216'!TABLE_SECTION_NUMBER_1</vt:lpstr>
      <vt:lpstr>'x-217'!TABLE_SECTION_NUMBER_1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'x-501'!TABLE_SECTION_NUMBER_1</vt:lpstr>
      <vt:lpstr>'x-502'!TABLE_SECTION_NUMBER_1</vt:lpstr>
      <vt:lpstr>'x-503'!TABLE_SECTION_NUMBER_1</vt:lpstr>
      <vt:lpstr>'x-504'!TABLE_SECTION_NUMBER_1</vt:lpstr>
      <vt:lpstr>'x-601'!TABLE_SECTION_NUMBER_1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'x-610'!TABLE_SECTION_NUMBER_1</vt:lpstr>
      <vt:lpstr>'x-611'!TABLE_SECTION_NUMBER_1</vt:lpstr>
      <vt:lpstr>'x-612'!TABLE_SECTION_NUMBER_1</vt:lpstr>
      <vt:lpstr>'x-613'!TABLE_SECTION_NUMBER_1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'x-723'!TABLE_SECTION_NUMBER_1</vt:lpstr>
      <vt:lpstr>'x-724'!TABLE_SECTION_NUMBER_1</vt:lpstr>
      <vt:lpstr>'x-725'!TABLE_SECTION_NUMBER_1</vt:lpstr>
      <vt:lpstr>'x-726'!TABLE_SECTION_NUMBER_1</vt:lpstr>
      <vt:lpstr>'x-727'!TABLE_SECTION_NUMBER_1</vt:lpstr>
      <vt:lpstr>'x-728'!TABLE_SECTION_NUMBER_1</vt:lpstr>
      <vt:lpstr>'x-729'!TABLE_SECTION_NUMBER_1</vt:lpstr>
      <vt:lpstr>'x-811'!TABLE_SECTION_NUMBER_1</vt:lpstr>
      <vt:lpstr>'x-812'!TABLE_SECTION_NUMBER_1</vt:lpstr>
      <vt:lpstr>'x-813'!TABLE_SECTION_NUMBER_1</vt:lpstr>
      <vt:lpstr>'x-814'!TABLE_SECTION_NUMBER_1</vt:lpstr>
      <vt:lpstr>'x-815'!TABLE_SECTION_NUMBER_1</vt:lpstr>
      <vt:lpstr>'x-001'!TABLE_SECTION_NUMBER_2</vt:lpstr>
      <vt:lpstr>'x-408'!TABLE_SECTION_NUMBER_2</vt:lpstr>
      <vt:lpstr>'x-412'!TABLE_SECTION_NUMBER_2</vt:lpstr>
      <vt:lpstr>'x-610'!TABLE_SECTION_NUMBER_2</vt:lpstr>
      <vt:lpstr>'x-611'!TABLE_SECTION_NUMBER_2</vt:lpstr>
      <vt:lpstr>'x-717'!TABLE_SECTION_NUMBER_2</vt:lpstr>
      <vt:lpstr>'x-718'!TABLE_SECTION_NUMBER_2</vt:lpstr>
      <vt:lpstr>'x-719'!TABLE_SECTION_NUMBER_2</vt:lpstr>
      <vt:lpstr>'x-728'!TABLE_SECTION_NUMBER_2</vt:lpstr>
      <vt:lpstr>'x-717'!TABLE_SECTION_NUMBER_3</vt:lpstr>
      <vt:lpstr>'x-718'!TABLE_SECTION_NUMBER_3</vt:lpstr>
      <vt:lpstr>'x-717'!TABLE_SECTION_NUMBER_4</vt:lpstr>
      <vt:lpstr>TABLE_SERIES_NUMBER</vt:lpstr>
      <vt:lpstr>'x-001'!TABLE_SERIES_NUMBER_1</vt:lpstr>
      <vt:lpstr>'x-201'!TABLE_SERIES_NUMBER_1</vt:lpstr>
      <vt:lpstr>'x-202'!TABLE_SERIES_NUMBER_1</vt:lpstr>
      <vt:lpstr>'x-203'!TABLE_SERIES_NUMBER_1</vt:lpstr>
      <vt:lpstr>'x-204'!TABLE_SERIES_NUMBER_1</vt:lpstr>
      <vt:lpstr>'x-206'!TABLE_SERIES_NUMBER_1</vt:lpstr>
      <vt:lpstr>'x-207'!TABLE_SERIES_NUMBER_1</vt:lpstr>
      <vt:lpstr>'x-208'!TABLE_SERIES_NUMBER_1</vt:lpstr>
      <vt:lpstr>'x-210'!TABLE_SERIES_NUMBER_1</vt:lpstr>
      <vt:lpstr>'x-211'!TABLE_SERIES_NUMBER_1</vt:lpstr>
      <vt:lpstr>'x-214'!TABLE_SERIES_NUMBER_1</vt:lpstr>
      <vt:lpstr>'x-215'!TABLE_SERIES_NUMBER_1</vt:lpstr>
      <vt:lpstr>'x-216'!TABLE_SERIES_NUMBER_1</vt:lpstr>
      <vt:lpstr>'x-217'!TABLE_SERIES_NUMBER_1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'x-501'!TABLE_SERIES_NUMBER_1</vt:lpstr>
      <vt:lpstr>'x-502'!TABLE_SERIES_NUMBER_1</vt:lpstr>
      <vt:lpstr>'x-503'!TABLE_SERIES_NUMBER_1</vt:lpstr>
      <vt:lpstr>'x-504'!TABLE_SERIES_NUMBER_1</vt:lpstr>
      <vt:lpstr>'x-601'!TABLE_SERIES_NUMBER_1</vt:lpstr>
      <vt:lpstr>'x-603'!TABLE_SERIES_NUMBER_1</vt:lpstr>
      <vt:lpstr>'x-604'!TABLE_SERIES_NUMBER_1</vt:lpstr>
      <vt:lpstr>'x-605'!TABLE_SERIES_NUMBER_1</vt:lpstr>
      <vt:lpstr>'x-606'!TABLE_SERIES_NUMBER_1</vt:lpstr>
      <vt:lpstr>'x-607'!TABLE_SERIES_NUMBER_1</vt:lpstr>
      <vt:lpstr>'x-608'!TABLE_SERIES_NUMBER_1</vt:lpstr>
      <vt:lpstr>'x-610'!TABLE_SERIES_NUMBER_1</vt:lpstr>
      <vt:lpstr>'x-611'!TABLE_SERIES_NUMBER_1</vt:lpstr>
      <vt:lpstr>'x-612'!TABLE_SERIES_NUMBER_1</vt:lpstr>
      <vt:lpstr>'x-613'!TABLE_SERIES_NUMBER_1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'x-717'!TABLE_SERIES_NUMBER_1</vt:lpstr>
      <vt:lpstr>'x-718'!TABLE_SERIES_NUMBER_1</vt:lpstr>
      <vt:lpstr>'x-719'!TABLE_SERIES_NUMBER_1</vt:lpstr>
      <vt:lpstr>'x-720'!TABLE_SERIES_NUMBER_1</vt:lpstr>
      <vt:lpstr>'x-721'!TABLE_SERIES_NUMBER_1</vt:lpstr>
      <vt:lpstr>'x-722'!TABLE_SERIES_NUMBER_1</vt:lpstr>
      <vt:lpstr>'x-723'!TABLE_SERIES_NUMBER_1</vt:lpstr>
      <vt:lpstr>'x-724'!TABLE_SERIES_NUMBER_1</vt:lpstr>
      <vt:lpstr>'x-725'!TABLE_SERIES_NUMBER_1</vt:lpstr>
      <vt:lpstr>'x-726'!TABLE_SERIES_NUMBER_1</vt:lpstr>
      <vt:lpstr>'x-727'!TABLE_SERIES_NUMBER_1</vt:lpstr>
      <vt:lpstr>'x-728'!TABLE_SERIES_NUMBER_1</vt:lpstr>
      <vt:lpstr>'x-729'!TABLE_SERIES_NUMBER_1</vt:lpstr>
      <vt:lpstr>'x-811'!TABLE_SERIES_NUMBER_1</vt:lpstr>
      <vt:lpstr>'x-812'!TABLE_SERIES_NUMBER_1</vt:lpstr>
      <vt:lpstr>'x-813'!TABLE_SERIES_NUMBER_1</vt:lpstr>
      <vt:lpstr>'x-814'!TABLE_SERIES_NUMBER_1</vt:lpstr>
      <vt:lpstr>'x-815'!TABLE_SERIES_NUMBER_1</vt:lpstr>
      <vt:lpstr>'x-001'!TABLE_SERIES_NUMBER_2</vt:lpstr>
      <vt:lpstr>'x-408'!TABLE_SERIES_NUMBER_2</vt:lpstr>
      <vt:lpstr>'x-412'!TABLE_SERIES_NUMBER_2</vt:lpstr>
      <vt:lpstr>'x-610'!TABLE_SERIES_NUMBER_2</vt:lpstr>
      <vt:lpstr>'x-611'!TABLE_SERIES_NUMBER_2</vt:lpstr>
      <vt:lpstr>'x-717'!TABLE_SERIES_NUMBER_2</vt:lpstr>
      <vt:lpstr>'x-718'!TABLE_SERIES_NUMBER_2</vt:lpstr>
      <vt:lpstr>'x-719'!TABLE_SERIES_NUMBER_2</vt:lpstr>
      <vt:lpstr>'x-728'!TABLE_SERIES_NUMBER_2</vt:lpstr>
      <vt:lpstr>'x-717'!TABLE_SERIES_NUMBER_3</vt:lpstr>
      <vt:lpstr>'x-718'!TABLE_SERIES_NUMBER_3</vt:lpstr>
      <vt:lpstr>'x-717'!TABLE_SERIES_NUMBER_4</vt:lpstr>
      <vt:lpstr>title</vt:lpstr>
      <vt:lpstr>title_new</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Allan</dc:creator>
  <cp:keywords/>
  <dc:description/>
  <cp:lastModifiedBy>Colley, Peter - GAD</cp:lastModifiedBy>
  <cp:revision/>
  <dcterms:created xsi:type="dcterms:W3CDTF">2007-01-30T12:07:56Z</dcterms:created>
  <dcterms:modified xsi:type="dcterms:W3CDTF">2025-12-09T14:31:25Z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a0cf5e61-a1f0-43dd-b230-01741cc49ef4</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